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15345" windowHeight="4575" tabRatio="748"/>
  </bookViews>
  <sheets>
    <sheet name="Instructions" sheetId="13" r:id="rId1"/>
    <sheet name="Am-241 Default" sheetId="1" r:id="rId2"/>
    <sheet name="Cs-137+D Default" sheetId="6" r:id="rId3"/>
    <sheet name="Ra-226+D Default" sheetId="8" r:id="rId4"/>
    <sheet name="Rn-222+D Default" sheetId="7" r:id="rId5"/>
    <sheet name="Am-241 D_bq" sheetId="14" r:id="rId6"/>
    <sheet name="Cs-137+D D_bq" sheetId="16" r:id="rId7"/>
    <sheet name="Ra-226+D D_bq" sheetId="17" r:id="rId8"/>
    <sheet name="Rn-222+D D_bq" sheetId="18" r:id="rId9"/>
    <sheet name="Am-241 D_mass" sheetId="15" r:id="rId10"/>
    <sheet name="Cs-137+D D_mass" sheetId="19" r:id="rId11"/>
    <sheet name="Ra-226+D D_mass" sheetId="20" r:id="rId12"/>
    <sheet name="Rn-222+D D_mass" sheetId="21" r:id="rId13"/>
    <sheet name="AM-241 SS" sheetId="9" r:id="rId14"/>
    <sheet name="Cs-137+D SS" sheetId="10" r:id="rId15"/>
    <sheet name="Ra-226+D SS" sheetId="11" r:id="rId16"/>
    <sheet name="Rn-222+D SS" sheetId="12" r:id="rId17"/>
    <sheet name="Am-241 SS_bq" sheetId="23" r:id="rId18"/>
    <sheet name="Cs-137+D SS_bq" sheetId="25" r:id="rId19"/>
    <sheet name="Ra-226+D SS_bq" sheetId="27" r:id="rId20"/>
    <sheet name="Rn-222 SS_bq" sheetId="30" r:id="rId21"/>
    <sheet name="Am-241 SS_mass" sheetId="24" r:id="rId22"/>
    <sheet name="Cs-137+D SS_mass" sheetId="26" r:id="rId23"/>
    <sheet name="Ra-226+D SS_mass" sheetId="28" r:id="rId24"/>
    <sheet name="Rn-222+D SS_mass" sheetId="29" r:id="rId25"/>
    <sheet name="PEF" sheetId="5" r:id="rId26"/>
  </sheets>
  <calcPr calcId="145621"/>
</workbook>
</file>

<file path=xl/calcChain.xml><?xml version="1.0" encoding="utf-8"?>
<calcChain xmlns="http://schemas.openxmlformats.org/spreadsheetml/2006/main">
  <c r="GD2" i="1" l="1"/>
  <c r="DS16" i="1"/>
  <c r="GD2" i="6"/>
  <c r="DS16" i="6"/>
  <c r="DS16" i="8"/>
  <c r="GD2" i="8"/>
  <c r="DS16" i="7"/>
  <c r="GD2" i="7"/>
  <c r="DS16" i="14"/>
  <c r="GD2" i="14"/>
  <c r="DS16" i="16"/>
  <c r="GD2" i="16"/>
  <c r="DS16" i="17"/>
  <c r="GD2" i="17"/>
  <c r="GD2" i="18"/>
  <c r="DS16" i="18"/>
  <c r="DS16" i="15"/>
  <c r="GD2" i="15"/>
  <c r="DS16" i="19"/>
  <c r="GD2" i="19"/>
  <c r="DS16" i="20"/>
  <c r="GD2" i="20"/>
  <c r="DS16" i="21"/>
  <c r="GD2" i="21"/>
  <c r="B81" i="9"/>
  <c r="B80" i="9"/>
  <c r="B81" i="10"/>
  <c r="B80" i="10"/>
  <c r="B81" i="11"/>
  <c r="B80" i="11"/>
  <c r="B81" i="12"/>
  <c r="B80" i="12"/>
  <c r="B172" i="29"/>
  <c r="B171" i="29"/>
  <c r="B108" i="29"/>
  <c r="B81" i="29"/>
  <c r="B80" i="29"/>
  <c r="B172" i="28"/>
  <c r="B171" i="28"/>
  <c r="B108" i="28"/>
  <c r="B81" i="28"/>
  <c r="B80" i="28"/>
  <c r="B172" i="26"/>
  <c r="B171" i="26"/>
  <c r="B108" i="26"/>
  <c r="B81" i="26"/>
  <c r="B80" i="26"/>
  <c r="B172" i="24"/>
  <c r="B171" i="24"/>
  <c r="B81" i="24"/>
  <c r="B80" i="24"/>
  <c r="B81" i="30"/>
  <c r="B80" i="30"/>
  <c r="B81" i="27"/>
  <c r="B80" i="27"/>
  <c r="B81" i="25"/>
  <c r="B80" i="25"/>
  <c r="B172" i="30"/>
  <c r="B171" i="30"/>
  <c r="B108" i="30"/>
  <c r="B172" i="23"/>
  <c r="B171" i="23"/>
  <c r="B108" i="23"/>
  <c r="B81" i="23"/>
  <c r="B80" i="23"/>
  <c r="B172" i="25"/>
  <c r="B171" i="25"/>
  <c r="B108" i="25"/>
  <c r="B172" i="27"/>
  <c r="B171" i="27"/>
  <c r="GD2" i="24"/>
  <c r="DS16" i="29"/>
  <c r="DS16" i="28"/>
  <c r="DS16" i="26"/>
  <c r="DS16" i="24"/>
  <c r="DS16" i="30"/>
  <c r="DS16" i="27"/>
  <c r="GD2" i="27"/>
  <c r="DS16" i="25"/>
  <c r="DS16" i="23"/>
  <c r="DG2" i="9"/>
  <c r="CU17" i="6"/>
  <c r="CU32" i="6"/>
  <c r="CU33" i="6"/>
  <c r="DA37" i="6"/>
  <c r="DA38" i="6"/>
  <c r="DA16" i="9"/>
  <c r="DA36" i="9"/>
  <c r="DA38" i="9"/>
  <c r="DG2" i="10"/>
  <c r="DD15" i="10"/>
  <c r="DD17" i="10"/>
  <c r="DA36" i="10"/>
  <c r="DA38" i="10"/>
  <c r="CX16" i="10"/>
  <c r="CX17" i="10"/>
  <c r="GD2" i="12"/>
  <c r="GD2" i="11"/>
  <c r="GD2" i="10"/>
  <c r="CU4" i="12"/>
  <c r="CU3" i="12"/>
  <c r="B172" i="12"/>
  <c r="B171" i="12"/>
  <c r="B172" i="10"/>
  <c r="B171" i="10"/>
  <c r="HB27" i="10"/>
  <c r="GM27" i="10"/>
  <c r="FI27" i="10"/>
  <c r="ET27" i="10"/>
  <c r="EE27" i="10"/>
  <c r="HB26" i="10"/>
  <c r="HB24" i="10" s="1"/>
  <c r="GM26" i="10"/>
  <c r="GM24" i="10" s="1"/>
  <c r="FI26" i="10"/>
  <c r="FI24" i="10" s="1"/>
  <c r="ET26" i="10"/>
  <c r="EE26" i="10"/>
  <c r="DP26" i="10"/>
  <c r="DG26" i="10"/>
  <c r="HB25" i="10"/>
  <c r="HB23" i="10" s="1"/>
  <c r="GM25" i="10"/>
  <c r="GM23" i="10" s="1"/>
  <c r="FI25" i="10"/>
  <c r="FI23" i="10" s="1"/>
  <c r="ET25" i="10"/>
  <c r="ET23" i="10" s="1"/>
  <c r="EE25" i="10"/>
  <c r="DP25" i="10"/>
  <c r="ET24" i="10"/>
  <c r="EE24" i="10"/>
  <c r="DP24" i="10"/>
  <c r="EE23" i="10"/>
  <c r="DP23" i="10"/>
  <c r="DG23" i="10"/>
  <c r="DG20" i="10" s="1"/>
  <c r="HB22" i="10"/>
  <c r="GM22" i="10"/>
  <c r="FI22" i="10"/>
  <c r="ET22" i="10"/>
  <c r="EE22" i="10"/>
  <c r="DP22" i="10"/>
  <c r="DD22" i="10"/>
  <c r="DD21" i="10" s="1"/>
  <c r="HB21" i="10"/>
  <c r="GM21" i="10"/>
  <c r="FI21" i="10"/>
  <c r="ET21" i="10"/>
  <c r="EE21" i="10"/>
  <c r="DP21" i="10"/>
  <c r="HB20" i="10"/>
  <c r="HB16" i="10" s="1"/>
  <c r="GM20" i="10"/>
  <c r="GM16" i="10" s="1"/>
  <c r="FI20" i="10"/>
  <c r="FI16" i="10" s="1"/>
  <c r="ET20" i="10"/>
  <c r="EE20" i="10"/>
  <c r="DP20" i="10"/>
  <c r="DD20" i="10"/>
  <c r="HB19" i="10"/>
  <c r="GM19" i="10"/>
  <c r="GA19" i="10"/>
  <c r="GA18" i="10" s="1"/>
  <c r="FL19" i="10"/>
  <c r="FI19" i="10"/>
  <c r="EW19" i="10"/>
  <c r="ET19" i="10"/>
  <c r="EH19" i="10"/>
  <c r="EH18" i="10" s="1"/>
  <c r="EE19" i="10"/>
  <c r="DS19" i="10"/>
  <c r="DS18" i="10" s="1"/>
  <c r="DP19" i="10"/>
  <c r="HB18" i="10"/>
  <c r="GP18" i="10"/>
  <c r="GM18" i="10"/>
  <c r="FL18" i="10"/>
  <c r="FI18" i="10"/>
  <c r="EW18" i="10"/>
  <c r="ET18" i="10"/>
  <c r="EE18" i="10"/>
  <c r="DP18" i="10"/>
  <c r="HB17" i="10"/>
  <c r="GP17" i="10"/>
  <c r="GM17" i="10"/>
  <c r="FI17" i="10"/>
  <c r="ET17" i="10"/>
  <c r="EE17" i="10"/>
  <c r="DP17" i="10"/>
  <c r="DM9" i="10"/>
  <c r="GA16" i="10"/>
  <c r="FL16" i="10"/>
  <c r="EW16" i="10"/>
  <c r="ET16" i="10"/>
  <c r="EH16" i="10"/>
  <c r="EE16" i="10"/>
  <c r="DS16" i="10"/>
  <c r="DP16" i="10"/>
  <c r="DD16" i="10"/>
  <c r="HB15" i="10"/>
  <c r="GP15" i="10"/>
  <c r="GM15" i="10"/>
  <c r="FI15" i="10"/>
  <c r="ET15" i="10"/>
  <c r="EB15" i="10"/>
  <c r="DP15" i="10"/>
  <c r="HB14" i="10"/>
  <c r="GP14" i="10"/>
  <c r="GY14" i="10" s="1"/>
  <c r="GM14" i="10"/>
  <c r="GA14" i="10"/>
  <c r="GJ14" i="10" s="1"/>
  <c r="FL14" i="10"/>
  <c r="FU7" i="10" s="1"/>
  <c r="FI14" i="10"/>
  <c r="EW14" i="10"/>
  <c r="FF14" i="10" s="1"/>
  <c r="ET14" i="10"/>
  <c r="EH14" i="10"/>
  <c r="EQ14" i="10" s="1"/>
  <c r="EE14" i="10"/>
  <c r="EB14" i="10"/>
  <c r="DY14" i="10"/>
  <c r="DS14" i="10"/>
  <c r="DP14" i="10"/>
  <c r="DD14" i="10"/>
  <c r="DD10" i="10" s="1"/>
  <c r="HB13" i="10"/>
  <c r="GY13" i="10"/>
  <c r="GV13" i="10"/>
  <c r="GP13" i="10"/>
  <c r="GP7" i="10" s="1"/>
  <c r="GM13" i="10"/>
  <c r="GJ13" i="10"/>
  <c r="GG13" i="10"/>
  <c r="GA13" i="10"/>
  <c r="GA7" i="10" s="1"/>
  <c r="FL13" i="10"/>
  <c r="FI13" i="10"/>
  <c r="FF13" i="10"/>
  <c r="FC13" i="10"/>
  <c r="EW13" i="10"/>
  <c r="ET13" i="10"/>
  <c r="EQ13" i="10"/>
  <c r="EN13" i="10"/>
  <c r="EH13" i="10"/>
  <c r="EE13" i="10"/>
  <c r="EB13" i="10"/>
  <c r="DY13" i="10"/>
  <c r="DS13" i="10"/>
  <c r="DP13" i="10"/>
  <c r="DD13" i="10"/>
  <c r="HB12" i="10"/>
  <c r="GY12" i="10"/>
  <c r="GV12" i="10"/>
  <c r="GP12" i="10"/>
  <c r="GM12" i="10"/>
  <c r="GJ12" i="10"/>
  <c r="GG12" i="10"/>
  <c r="GA12" i="10"/>
  <c r="FL12" i="10"/>
  <c r="FI12" i="10"/>
  <c r="FF12" i="10"/>
  <c r="FC12" i="10"/>
  <c r="EW12" i="10"/>
  <c r="ET12" i="10"/>
  <c r="EQ12" i="10"/>
  <c r="EN12" i="10"/>
  <c r="EH12" i="10"/>
  <c r="EE12" i="10"/>
  <c r="EB12" i="10"/>
  <c r="DY12" i="10"/>
  <c r="DS12" i="10"/>
  <c r="DP12" i="10"/>
  <c r="DD12" i="10"/>
  <c r="HB11" i="10"/>
  <c r="GY11" i="10"/>
  <c r="GV11" i="10"/>
  <c r="GP11" i="10"/>
  <c r="GM11" i="10"/>
  <c r="GJ11" i="10"/>
  <c r="GG11" i="10"/>
  <c r="GA11" i="10"/>
  <c r="FL11" i="10"/>
  <c r="FI11" i="10"/>
  <c r="FF11" i="10"/>
  <c r="FC11" i="10"/>
  <c r="EW11" i="10"/>
  <c r="ET11" i="10"/>
  <c r="EQ11" i="10"/>
  <c r="EN11" i="10"/>
  <c r="EH11" i="10"/>
  <c r="EE11" i="10"/>
  <c r="EB11" i="10"/>
  <c r="DY11" i="10"/>
  <c r="DS11" i="10"/>
  <c r="DP11" i="10"/>
  <c r="DD11" i="10"/>
  <c r="HB10" i="10"/>
  <c r="HB2" i="10" s="1"/>
  <c r="GY10" i="10"/>
  <c r="GV10" i="10"/>
  <c r="GP10" i="10"/>
  <c r="GM10" i="10"/>
  <c r="GJ10" i="10"/>
  <c r="GG10" i="10"/>
  <c r="GA10" i="10"/>
  <c r="FL10" i="10"/>
  <c r="FI10" i="10"/>
  <c r="FF10" i="10"/>
  <c r="FC10" i="10"/>
  <c r="EW10" i="10"/>
  <c r="EW7" i="10" s="1"/>
  <c r="ET10" i="10"/>
  <c r="ET2" i="10" s="1"/>
  <c r="EQ10" i="10"/>
  <c r="EN10" i="10"/>
  <c r="EH10" i="10"/>
  <c r="EE10" i="10"/>
  <c r="EE2" i="10" s="1"/>
  <c r="EB10" i="10"/>
  <c r="DY10" i="10"/>
  <c r="DS10" i="10"/>
  <c r="DS7" i="10" s="1"/>
  <c r="DP10" i="10"/>
  <c r="DG10" i="10"/>
  <c r="HB9" i="10"/>
  <c r="GY9" i="10"/>
  <c r="GV9" i="10"/>
  <c r="GP9" i="10"/>
  <c r="GM9" i="10"/>
  <c r="GJ9" i="10"/>
  <c r="GG9" i="10"/>
  <c r="GA9" i="10"/>
  <c r="FL9" i="10"/>
  <c r="FI9" i="10"/>
  <c r="FF9" i="10"/>
  <c r="FC9" i="10"/>
  <c r="EW9" i="10"/>
  <c r="ET9" i="10"/>
  <c r="EQ9" i="10"/>
  <c r="EN9" i="10"/>
  <c r="EH9" i="10"/>
  <c r="EE9" i="10"/>
  <c r="EB9" i="10"/>
  <c r="DY9" i="10"/>
  <c r="DS9" i="10"/>
  <c r="DP9" i="10"/>
  <c r="DD9" i="10"/>
  <c r="HB8" i="10"/>
  <c r="GY8" i="10"/>
  <c r="GV8" i="10"/>
  <c r="GV6" i="10" s="1"/>
  <c r="GP8" i="10"/>
  <c r="GM8" i="10"/>
  <c r="GM6" i="10" s="1"/>
  <c r="GJ8" i="10"/>
  <c r="GJ6" i="10" s="1"/>
  <c r="GG8" i="10"/>
  <c r="GA8" i="10"/>
  <c r="FL8" i="10"/>
  <c r="FI8" i="10"/>
  <c r="FI6" i="10" s="1"/>
  <c r="FF8" i="10"/>
  <c r="FF6" i="10" s="1"/>
  <c r="FC8" i="10"/>
  <c r="FC6" i="10" s="1"/>
  <c r="EW8" i="10"/>
  <c r="ET8" i="10"/>
  <c r="EQ8" i="10"/>
  <c r="EN8" i="10"/>
  <c r="EH8" i="10"/>
  <c r="EE8" i="10"/>
  <c r="EB8" i="10"/>
  <c r="DY8" i="10"/>
  <c r="DS8" i="10"/>
  <c r="DP8" i="10"/>
  <c r="DP7" i="10" s="1"/>
  <c r="DM8" i="10"/>
  <c r="DJ8" i="10"/>
  <c r="DD8" i="10"/>
  <c r="HB7" i="10"/>
  <c r="GY7" i="10"/>
  <c r="GV7" i="10"/>
  <c r="GV5" i="10" s="1"/>
  <c r="GM7" i="10"/>
  <c r="GM5" i="10" s="1"/>
  <c r="GJ7" i="10"/>
  <c r="GG7" i="10"/>
  <c r="FL7" i="10"/>
  <c r="FI7" i="10"/>
  <c r="FF7" i="10"/>
  <c r="FC7" i="10"/>
  <c r="ET7" i="10"/>
  <c r="EQ7" i="10"/>
  <c r="EN7" i="10"/>
  <c r="EH7" i="10"/>
  <c r="EE7" i="10"/>
  <c r="EB7" i="10"/>
  <c r="EB5" i="10" s="1"/>
  <c r="DY7" i="10"/>
  <c r="DY5" i="10" s="1"/>
  <c r="DM7" i="10"/>
  <c r="DJ7" i="10"/>
  <c r="DD7" i="10"/>
  <c r="HB6" i="10"/>
  <c r="GY6" i="10"/>
  <c r="GP6" i="10"/>
  <c r="GG6" i="10"/>
  <c r="GD6" i="10"/>
  <c r="GA6" i="10"/>
  <c r="FU6" i="10"/>
  <c r="FR6" i="10"/>
  <c r="FL6" i="10"/>
  <c r="EZ6" i="10"/>
  <c r="EW6" i="10"/>
  <c r="EW2" i="10" s="1"/>
  <c r="ET6" i="10"/>
  <c r="EQ6" i="10"/>
  <c r="EN6" i="10"/>
  <c r="EK6" i="10"/>
  <c r="EH6" i="10"/>
  <c r="EE6" i="10"/>
  <c r="EB6" i="10"/>
  <c r="DY6" i="10"/>
  <c r="DV6" i="10"/>
  <c r="DS6" i="10"/>
  <c r="DM6" i="10"/>
  <c r="DJ6" i="10"/>
  <c r="DD6" i="10"/>
  <c r="HB5" i="10"/>
  <c r="GY5" i="10"/>
  <c r="GS5" i="10"/>
  <c r="GP5" i="10"/>
  <c r="GJ5" i="10"/>
  <c r="GG5" i="10"/>
  <c r="GD5" i="10"/>
  <c r="GA5" i="10"/>
  <c r="GA2" i="10" s="1"/>
  <c r="FX5" i="10"/>
  <c r="FU5" i="10"/>
  <c r="FR5" i="10"/>
  <c r="FO5" i="10"/>
  <c r="FL5" i="10"/>
  <c r="FI5" i="10"/>
  <c r="FF5" i="10"/>
  <c r="FC5" i="10"/>
  <c r="EZ5" i="10"/>
  <c r="EW5" i="10"/>
  <c r="ET5" i="10"/>
  <c r="EQ5" i="10"/>
  <c r="EN5" i="10"/>
  <c r="EK5" i="10"/>
  <c r="EH5" i="10"/>
  <c r="EH2" i="10" s="1"/>
  <c r="EE5" i="10"/>
  <c r="DV5" i="10"/>
  <c r="DS5" i="10"/>
  <c r="DM5" i="10"/>
  <c r="DJ5" i="10"/>
  <c r="DD5" i="10"/>
  <c r="FX2" i="10"/>
  <c r="FL2" i="10"/>
  <c r="FU2" i="10" s="1"/>
  <c r="HB27" i="12"/>
  <c r="GM27" i="12"/>
  <c r="FI27" i="12"/>
  <c r="ET27" i="12"/>
  <c r="EE27" i="12"/>
  <c r="HB26" i="12"/>
  <c r="HB24" i="12" s="1"/>
  <c r="GM26" i="12"/>
  <c r="GM24" i="12" s="1"/>
  <c r="FI26" i="12"/>
  <c r="FI24" i="12" s="1"/>
  <c r="ET26" i="12"/>
  <c r="EE26" i="12"/>
  <c r="DP26" i="12"/>
  <c r="DG26" i="12"/>
  <c r="HB25" i="12"/>
  <c r="HB23" i="12" s="1"/>
  <c r="GM25" i="12"/>
  <c r="GM23" i="12" s="1"/>
  <c r="FI25" i="12"/>
  <c r="FI23" i="12" s="1"/>
  <c r="ET25" i="12"/>
  <c r="ET23" i="12" s="1"/>
  <c r="EE25" i="12"/>
  <c r="DP25" i="12"/>
  <c r="ET24" i="12"/>
  <c r="EE24" i="12"/>
  <c r="DP24" i="12"/>
  <c r="EE23" i="12"/>
  <c r="DP23" i="12"/>
  <c r="DG23" i="12"/>
  <c r="DG20" i="12" s="1"/>
  <c r="HB22" i="12"/>
  <c r="GM22" i="12"/>
  <c r="FI22" i="12"/>
  <c r="ET22" i="12"/>
  <c r="EE22" i="12"/>
  <c r="DP22" i="12"/>
  <c r="DD22" i="12"/>
  <c r="DD21" i="12" s="1"/>
  <c r="HB21" i="12"/>
  <c r="GM21" i="12"/>
  <c r="FI21" i="12"/>
  <c r="ET21" i="12"/>
  <c r="EE21" i="12"/>
  <c r="DP21" i="12"/>
  <c r="HB20" i="12"/>
  <c r="HB16" i="12" s="1"/>
  <c r="GM20" i="12"/>
  <c r="GM16" i="12" s="1"/>
  <c r="FI20" i="12"/>
  <c r="FI16" i="12" s="1"/>
  <c r="ET20" i="12"/>
  <c r="EE20" i="12"/>
  <c r="DP20" i="12"/>
  <c r="DD20" i="12"/>
  <c r="HB19" i="12"/>
  <c r="GM19" i="12"/>
  <c r="GA19" i="12"/>
  <c r="GA18" i="12" s="1"/>
  <c r="FL19" i="12"/>
  <c r="FI19" i="12"/>
  <c r="EW19" i="12"/>
  <c r="ET19" i="12"/>
  <c r="EH19" i="12"/>
  <c r="EH18" i="12" s="1"/>
  <c r="EE19" i="12"/>
  <c r="DS19" i="12"/>
  <c r="DS18" i="12" s="1"/>
  <c r="DP19" i="12"/>
  <c r="HB18" i="12"/>
  <c r="GP18" i="12"/>
  <c r="GM18" i="12"/>
  <c r="FL18" i="12"/>
  <c r="FI18" i="12"/>
  <c r="EW18" i="12"/>
  <c r="ET18" i="12"/>
  <c r="EE18" i="12"/>
  <c r="DP18" i="12"/>
  <c r="HB17" i="12"/>
  <c r="GP17" i="12"/>
  <c r="GM17" i="12"/>
  <c r="FI17" i="12"/>
  <c r="ET17" i="12"/>
  <c r="EE17" i="12"/>
  <c r="DP17" i="12"/>
  <c r="DD17" i="12"/>
  <c r="DM9" i="12" s="1"/>
  <c r="GA16" i="12"/>
  <c r="FL16" i="12"/>
  <c r="EW16" i="12"/>
  <c r="ET16" i="12"/>
  <c r="EH16" i="12"/>
  <c r="EE16" i="12"/>
  <c r="DS16" i="12"/>
  <c r="DP16" i="12"/>
  <c r="DD16" i="12"/>
  <c r="HB15" i="12"/>
  <c r="GP15" i="12"/>
  <c r="GM15" i="12"/>
  <c r="FI15" i="12"/>
  <c r="ET15" i="12"/>
  <c r="EB15" i="12"/>
  <c r="DP15" i="12"/>
  <c r="DD15" i="12"/>
  <c r="HB14" i="12"/>
  <c r="GP14" i="12"/>
  <c r="GY14" i="12" s="1"/>
  <c r="GM14" i="12"/>
  <c r="GA14" i="12"/>
  <c r="GJ14" i="12" s="1"/>
  <c r="FL14" i="12"/>
  <c r="FU7" i="12" s="1"/>
  <c r="FI14" i="12"/>
  <c r="EW14" i="12"/>
  <c r="FF14" i="12" s="1"/>
  <c r="ET14" i="12"/>
  <c r="EH14" i="12"/>
  <c r="EQ14" i="12" s="1"/>
  <c r="EE14" i="12"/>
  <c r="EB14" i="12"/>
  <c r="DY14" i="12"/>
  <c r="DS14" i="12"/>
  <c r="DP14" i="12"/>
  <c r="DD14" i="12"/>
  <c r="DD10" i="12" s="1"/>
  <c r="HB13" i="12"/>
  <c r="GY13" i="12"/>
  <c r="GV13" i="12"/>
  <c r="GP13" i="12"/>
  <c r="GP7" i="12" s="1"/>
  <c r="GM13" i="12"/>
  <c r="GJ13" i="12"/>
  <c r="GG13" i="12"/>
  <c r="GA13" i="12"/>
  <c r="GA7" i="12" s="1"/>
  <c r="FL13" i="12"/>
  <c r="FI13" i="12"/>
  <c r="FF13" i="12"/>
  <c r="FC13" i="12"/>
  <c r="EW13" i="12"/>
  <c r="ET13" i="12"/>
  <c r="EQ13" i="12"/>
  <c r="EN13" i="12"/>
  <c r="EH13" i="12"/>
  <c r="EE13" i="12"/>
  <c r="EB13" i="12"/>
  <c r="DY13" i="12"/>
  <c r="DS13" i="12"/>
  <c r="DP13" i="12"/>
  <c r="DD13" i="12"/>
  <c r="HB12" i="12"/>
  <c r="GY12" i="12"/>
  <c r="GV12" i="12"/>
  <c r="GP12" i="12"/>
  <c r="GM12" i="12"/>
  <c r="GJ12" i="12"/>
  <c r="GG12" i="12"/>
  <c r="GA12" i="12"/>
  <c r="FL12" i="12"/>
  <c r="FI12" i="12"/>
  <c r="FF12" i="12"/>
  <c r="FC12" i="12"/>
  <c r="EW12" i="12"/>
  <c r="ET12" i="12"/>
  <c r="EQ12" i="12"/>
  <c r="EN12" i="12"/>
  <c r="EH12" i="12"/>
  <c r="EE12" i="12"/>
  <c r="EB12" i="12"/>
  <c r="DY12" i="12"/>
  <c r="DS12" i="12"/>
  <c r="DP12" i="12"/>
  <c r="DD12" i="12"/>
  <c r="HB11" i="12"/>
  <c r="GY11" i="12"/>
  <c r="GV11" i="12"/>
  <c r="GP11" i="12"/>
  <c r="GM11" i="12"/>
  <c r="GJ11" i="12"/>
  <c r="GG11" i="12"/>
  <c r="GA11" i="12"/>
  <c r="FL11" i="12"/>
  <c r="FI11" i="12"/>
  <c r="FF11" i="12"/>
  <c r="FC11" i="12"/>
  <c r="EW11" i="12"/>
  <c r="ET11" i="12"/>
  <c r="EQ11" i="12"/>
  <c r="EN11" i="12"/>
  <c r="EH11" i="12"/>
  <c r="EE11" i="12"/>
  <c r="EB11" i="12"/>
  <c r="DY11" i="12"/>
  <c r="DS11" i="12"/>
  <c r="DP11" i="12"/>
  <c r="DD11" i="12"/>
  <c r="HB10" i="12"/>
  <c r="HB2" i="12" s="1"/>
  <c r="GY10" i="12"/>
  <c r="GV10" i="12"/>
  <c r="GP10" i="12"/>
  <c r="GM10" i="12"/>
  <c r="GJ10" i="12"/>
  <c r="GG10" i="12"/>
  <c r="GA10" i="12"/>
  <c r="FL10" i="12"/>
  <c r="FI10" i="12"/>
  <c r="FF10" i="12"/>
  <c r="FC10" i="12"/>
  <c r="EW10" i="12"/>
  <c r="EW7" i="12" s="1"/>
  <c r="ET10" i="12"/>
  <c r="ET2" i="12" s="1"/>
  <c r="EQ10" i="12"/>
  <c r="EN10" i="12"/>
  <c r="EH10" i="12"/>
  <c r="EE10" i="12"/>
  <c r="EE2" i="12" s="1"/>
  <c r="EB10" i="12"/>
  <c r="DY10" i="12"/>
  <c r="DS10" i="12"/>
  <c r="DS7" i="12" s="1"/>
  <c r="DP10" i="12"/>
  <c r="DG10" i="12"/>
  <c r="HB9" i="12"/>
  <c r="GY9" i="12"/>
  <c r="GV9" i="12"/>
  <c r="GP9" i="12"/>
  <c r="GM9" i="12"/>
  <c r="GJ9" i="12"/>
  <c r="GG9" i="12"/>
  <c r="GA9" i="12"/>
  <c r="FL9" i="12"/>
  <c r="FI9" i="12"/>
  <c r="FF9" i="12"/>
  <c r="FC9" i="12"/>
  <c r="EW9" i="12"/>
  <c r="ET9" i="12"/>
  <c r="EQ9" i="12"/>
  <c r="EN9" i="12"/>
  <c r="EH9" i="12"/>
  <c r="EE9" i="12"/>
  <c r="EB9" i="12"/>
  <c r="DY9" i="12"/>
  <c r="DS9" i="12"/>
  <c r="DP9" i="12"/>
  <c r="DD9" i="12"/>
  <c r="HB8" i="12"/>
  <c r="GY8" i="12"/>
  <c r="GV8" i="12"/>
  <c r="GV6" i="12" s="1"/>
  <c r="GP8" i="12"/>
  <c r="GM8" i="12"/>
  <c r="GM6" i="12" s="1"/>
  <c r="GJ8" i="12"/>
  <c r="GJ6" i="12" s="1"/>
  <c r="GG8" i="12"/>
  <c r="GA8" i="12"/>
  <c r="FL8" i="12"/>
  <c r="FI8" i="12"/>
  <c r="FI6" i="12" s="1"/>
  <c r="FF8" i="12"/>
  <c r="FF6" i="12" s="1"/>
  <c r="FC8" i="12"/>
  <c r="FC6" i="12" s="1"/>
  <c r="EW8" i="12"/>
  <c r="ET8" i="12"/>
  <c r="EQ8" i="12"/>
  <c r="EN8" i="12"/>
  <c r="EH8" i="12"/>
  <c r="EE8" i="12"/>
  <c r="EB8" i="12"/>
  <c r="DY8" i="12"/>
  <c r="DS8" i="12"/>
  <c r="DP8" i="12"/>
  <c r="DP7" i="12" s="1"/>
  <c r="DM8" i="12"/>
  <c r="DJ8" i="12"/>
  <c r="DD8" i="12"/>
  <c r="HB7" i="12"/>
  <c r="GY7" i="12"/>
  <c r="GV7" i="12"/>
  <c r="GV5" i="12" s="1"/>
  <c r="GM7" i="12"/>
  <c r="GM5" i="12" s="1"/>
  <c r="GJ7" i="12"/>
  <c r="GG7" i="12"/>
  <c r="FL7" i="12"/>
  <c r="FI7" i="12"/>
  <c r="FF7" i="12"/>
  <c r="FC7" i="12"/>
  <c r="ET7" i="12"/>
  <c r="EQ7" i="12"/>
  <c r="EN7" i="12"/>
  <c r="EH7" i="12"/>
  <c r="EE7" i="12"/>
  <c r="EB7" i="12"/>
  <c r="EB5" i="12" s="1"/>
  <c r="DY7" i="12"/>
  <c r="DY5" i="12" s="1"/>
  <c r="DM7" i="12"/>
  <c r="DJ7" i="12"/>
  <c r="DD7" i="12"/>
  <c r="HB6" i="12"/>
  <c r="GY6" i="12"/>
  <c r="GP6" i="12"/>
  <c r="GG6" i="12"/>
  <c r="GD6" i="12"/>
  <c r="GA6" i="12"/>
  <c r="FU6" i="12"/>
  <c r="FR6" i="12"/>
  <c r="FL6" i="12"/>
  <c r="EZ6" i="12"/>
  <c r="EW6" i="12"/>
  <c r="EW2" i="12" s="1"/>
  <c r="ET6" i="12"/>
  <c r="EQ6" i="12"/>
  <c r="EN6" i="12"/>
  <c r="EK6" i="12"/>
  <c r="EH6" i="12"/>
  <c r="EE6" i="12"/>
  <c r="EB6" i="12"/>
  <c r="DY6" i="12"/>
  <c r="DV6" i="12"/>
  <c r="DS6" i="12"/>
  <c r="DM6" i="12"/>
  <c r="DJ6" i="12"/>
  <c r="DD6" i="12"/>
  <c r="HB5" i="12"/>
  <c r="GY5" i="12"/>
  <c r="GS5" i="12"/>
  <c r="GP5" i="12"/>
  <c r="GJ5" i="12"/>
  <c r="GG5" i="12"/>
  <c r="GD5" i="12"/>
  <c r="GA5" i="12"/>
  <c r="GA2" i="12" s="1"/>
  <c r="FX5" i="12"/>
  <c r="FU5" i="12"/>
  <c r="FR5" i="12"/>
  <c r="FO5" i="12"/>
  <c r="FL5" i="12"/>
  <c r="FL2" i="12" s="1"/>
  <c r="FU2" i="12" s="1"/>
  <c r="FI5" i="12"/>
  <c r="FF5" i="12"/>
  <c r="FC5" i="12"/>
  <c r="EZ5" i="12"/>
  <c r="EW5" i="12"/>
  <c r="ET5" i="12"/>
  <c r="EQ5" i="12"/>
  <c r="EN5" i="12"/>
  <c r="EK5" i="12"/>
  <c r="EH5" i="12"/>
  <c r="EH2" i="12" s="1"/>
  <c r="EE5" i="12"/>
  <c r="DV5" i="12"/>
  <c r="DS5" i="12"/>
  <c r="DM5" i="12"/>
  <c r="DJ5" i="12"/>
  <c r="DD5" i="12"/>
  <c r="FX2" i="12"/>
  <c r="DA3" i="11"/>
  <c r="DA4" i="11"/>
  <c r="GC26" i="9"/>
  <c r="GC25" i="9"/>
  <c r="GD6" i="9"/>
  <c r="GD5" i="9"/>
  <c r="CU3" i="11"/>
  <c r="CU4" i="11"/>
  <c r="DS16" i="11"/>
  <c r="B172" i="11"/>
  <c r="B171" i="11"/>
  <c r="DS16" i="9"/>
  <c r="EH16" i="9"/>
  <c r="B172" i="9"/>
  <c r="B171" i="9"/>
  <c r="CU42" i="9" s="1"/>
  <c r="DD2" i="10" l="1"/>
  <c r="GP2" i="12"/>
  <c r="DS2" i="12"/>
  <c r="DD2" i="12"/>
  <c r="DM2" i="12" s="1"/>
  <c r="GP2" i="10"/>
  <c r="DS2" i="10"/>
  <c r="GG2" i="10"/>
  <c r="GJ2" i="10"/>
  <c r="DG11" i="10"/>
  <c r="DG16" i="10"/>
  <c r="DG7" i="10" s="1"/>
  <c r="DM2" i="10"/>
  <c r="DJ2" i="10"/>
  <c r="EK2" i="10"/>
  <c r="EQ2" i="10"/>
  <c r="EN2" i="10"/>
  <c r="FI2" i="10"/>
  <c r="GM2" i="10"/>
  <c r="GY2" i="10"/>
  <c r="GV2" i="10"/>
  <c r="GS2" i="10"/>
  <c r="FF2" i="10"/>
  <c r="FC2" i="10"/>
  <c r="EZ2" i="10"/>
  <c r="EB2" i="10"/>
  <c r="DV2" i="10"/>
  <c r="DY2" i="10"/>
  <c r="FO2" i="10"/>
  <c r="FR2" i="10"/>
  <c r="DP5" i="10"/>
  <c r="DP6" i="10"/>
  <c r="GG2" i="12"/>
  <c r="GJ2" i="12"/>
  <c r="DG11" i="12"/>
  <c r="DG16" i="12"/>
  <c r="DG7" i="12" s="1"/>
  <c r="EK2" i="12"/>
  <c r="EQ2" i="12"/>
  <c r="EN2" i="12"/>
  <c r="FI2" i="12"/>
  <c r="GY2" i="12"/>
  <c r="GV2" i="12"/>
  <c r="GS2" i="12"/>
  <c r="FF2" i="12"/>
  <c r="FC2" i="12"/>
  <c r="EZ2" i="12"/>
  <c r="EB2" i="12"/>
  <c r="DY2" i="12"/>
  <c r="DV2" i="12"/>
  <c r="DJ2" i="12"/>
  <c r="GM2" i="12"/>
  <c r="FO2" i="12"/>
  <c r="FR2" i="12"/>
  <c r="DP5" i="12"/>
  <c r="DP6" i="12"/>
  <c r="CL28" i="7"/>
  <c r="CL11" i="7"/>
  <c r="CL28" i="8"/>
  <c r="CL11" i="8"/>
  <c r="CL28" i="6"/>
  <c r="CL11" i="6"/>
  <c r="CL28" i="1"/>
  <c r="CL11" i="1"/>
  <c r="CL13" i="1"/>
  <c r="CL12" i="1"/>
  <c r="CL2" i="1"/>
  <c r="CL7" i="1"/>
  <c r="CL8" i="1"/>
  <c r="CR2" i="1"/>
  <c r="CL6" i="1"/>
  <c r="CO5" i="1"/>
  <c r="CO8" i="1"/>
  <c r="DG6" i="10" l="1"/>
  <c r="DG5" i="10"/>
  <c r="DP2" i="10"/>
  <c r="DG6" i="12"/>
  <c r="DG5" i="12"/>
  <c r="DG2" i="12" s="1"/>
  <c r="DP2" i="12"/>
  <c r="CO2" i="1"/>
  <c r="B47" i="14"/>
  <c r="HE5" i="14"/>
  <c r="HE3" i="14" s="1"/>
  <c r="HA32" i="14" s="1"/>
  <c r="HA33" i="15"/>
  <c r="HE4" i="15"/>
  <c r="HE3" i="15"/>
  <c r="HE3" i="1"/>
  <c r="HE16" i="21"/>
  <c r="HE16" i="20"/>
  <c r="HE16" i="19"/>
  <c r="HE16" i="15"/>
  <c r="H13" i="17"/>
  <c r="H14" i="16"/>
  <c r="H13" i="16"/>
  <c r="H10" i="14"/>
  <c r="H11" i="14"/>
  <c r="H12" i="14"/>
  <c r="H14" i="14"/>
  <c r="H13" i="14" s="1"/>
  <c r="H2" i="16"/>
  <c r="HE6" i="16"/>
  <c r="H10" i="16"/>
  <c r="H2" i="19"/>
  <c r="H10" i="19"/>
  <c r="H11" i="19"/>
  <c r="H12" i="19"/>
  <c r="H14" i="19"/>
  <c r="H13" i="19" s="1"/>
  <c r="HE6" i="15"/>
  <c r="H69" i="15"/>
  <c r="H21" i="1"/>
  <c r="H13" i="1"/>
  <c r="H24" i="1"/>
  <c r="H27" i="1"/>
  <c r="H25" i="1"/>
  <c r="AG2" i="7" l="1"/>
  <c r="AF2" i="7"/>
  <c r="AE2" i="7"/>
  <c r="AD2" i="7"/>
  <c r="AC2" i="7"/>
  <c r="BW2" i="7"/>
  <c r="BZ2" i="7"/>
  <c r="DA3" i="7"/>
  <c r="DA4" i="7"/>
  <c r="CU3" i="7"/>
  <c r="CU4" i="7"/>
  <c r="CO2" i="8"/>
  <c r="DA46" i="7"/>
  <c r="DA44" i="7"/>
  <c r="Z44" i="7"/>
  <c r="DA43" i="7"/>
  <c r="CU43" i="7"/>
  <c r="Z43" i="7"/>
  <c r="DA42" i="7"/>
  <c r="CU42" i="7"/>
  <c r="Z42" i="7"/>
  <c r="HE41" i="7"/>
  <c r="DA41" i="7"/>
  <c r="CU41" i="7"/>
  <c r="Z41" i="7"/>
  <c r="HE40" i="7"/>
  <c r="HE37" i="7" s="1"/>
  <c r="DA40" i="7"/>
  <c r="CU40" i="7"/>
  <c r="HE39" i="7"/>
  <c r="DA39" i="7"/>
  <c r="DA24" i="7" s="1"/>
  <c r="CU39" i="7"/>
  <c r="Z39" i="7"/>
  <c r="HE38" i="7"/>
  <c r="DA38" i="7"/>
  <c r="CU38" i="7"/>
  <c r="DA37" i="7"/>
  <c r="DA25" i="7" s="1"/>
  <c r="CU37" i="7"/>
  <c r="AG37" i="7"/>
  <c r="HE36" i="7"/>
  <c r="DA36" i="7"/>
  <c r="CU36" i="7"/>
  <c r="AF36" i="7"/>
  <c r="Z36" i="7"/>
  <c r="W36" i="7"/>
  <c r="HE35" i="7"/>
  <c r="DA35" i="7"/>
  <c r="CU35" i="7"/>
  <c r="BN35" i="7"/>
  <c r="BK35" i="7"/>
  <c r="BE35" i="7"/>
  <c r="BB35" i="7"/>
  <c r="AV35" i="7"/>
  <c r="AS35" i="7"/>
  <c r="AM35" i="7"/>
  <c r="AJ35" i="7"/>
  <c r="AE35" i="7"/>
  <c r="AD35" i="7"/>
  <c r="AC35" i="7"/>
  <c r="Z35" i="7"/>
  <c r="W35" i="7"/>
  <c r="HE34" i="7"/>
  <c r="DA34" i="7"/>
  <c r="CU34" i="7"/>
  <c r="BN34" i="7"/>
  <c r="BK34" i="7"/>
  <c r="BE34" i="7"/>
  <c r="BB34" i="7"/>
  <c r="AV34" i="7"/>
  <c r="AS34" i="7"/>
  <c r="AM34" i="7"/>
  <c r="AJ34" i="7"/>
  <c r="DA33" i="7"/>
  <c r="CU33" i="7"/>
  <c r="BN33" i="7"/>
  <c r="BK33" i="7"/>
  <c r="BE33" i="7"/>
  <c r="BB33" i="7"/>
  <c r="AV33" i="7"/>
  <c r="AS33" i="7"/>
  <c r="AM33" i="7"/>
  <c r="AJ33" i="7"/>
  <c r="Z33" i="7"/>
  <c r="W33" i="7"/>
  <c r="HE32" i="7"/>
  <c r="DA32" i="7"/>
  <c r="CU32" i="7"/>
  <c r="CU44" i="7" s="1"/>
  <c r="CU11" i="7" s="1"/>
  <c r="BZ32" i="7"/>
  <c r="BN32" i="7"/>
  <c r="BK32" i="7"/>
  <c r="BE32" i="7"/>
  <c r="BB32" i="7"/>
  <c r="AV32" i="7"/>
  <c r="AS32" i="7"/>
  <c r="AM32" i="7"/>
  <c r="AJ32" i="7"/>
  <c r="Z32" i="7"/>
  <c r="W32" i="7"/>
  <c r="HE31" i="7"/>
  <c r="DA31" i="7"/>
  <c r="CU31" i="7"/>
  <c r="CF31" i="7"/>
  <c r="CC31" i="7"/>
  <c r="BZ31" i="7"/>
  <c r="BN31" i="7"/>
  <c r="BK31" i="7"/>
  <c r="BE31" i="7"/>
  <c r="BB31" i="7"/>
  <c r="AV31" i="7"/>
  <c r="AS31" i="7"/>
  <c r="AM31" i="7"/>
  <c r="AJ31" i="7"/>
  <c r="Z31" i="7"/>
  <c r="Z38" i="7" s="1"/>
  <c r="Z25" i="7" s="1"/>
  <c r="W31" i="7"/>
  <c r="W38" i="7" s="1"/>
  <c r="W26" i="7" s="1"/>
  <c r="HE30" i="7"/>
  <c r="DA30" i="7"/>
  <c r="CU30" i="7"/>
  <c r="CO30" i="7"/>
  <c r="CL30" i="7"/>
  <c r="CL29" i="7" s="1"/>
  <c r="CF30" i="7"/>
  <c r="CC30" i="7"/>
  <c r="BZ30" i="7"/>
  <c r="BN30" i="7"/>
  <c r="BK30" i="7"/>
  <c r="BE30" i="7"/>
  <c r="BB30" i="7"/>
  <c r="AV30" i="7"/>
  <c r="AS30" i="7"/>
  <c r="AM30" i="7"/>
  <c r="AJ30" i="7"/>
  <c r="Z30" i="7"/>
  <c r="W30" i="7"/>
  <c r="HE29" i="7"/>
  <c r="DA29" i="7"/>
  <c r="CU29" i="7"/>
  <c r="CU25" i="7" s="1"/>
  <c r="CO29" i="7"/>
  <c r="CF29" i="7"/>
  <c r="CC29" i="7"/>
  <c r="BZ29" i="7"/>
  <c r="BN29" i="7"/>
  <c r="BK29" i="7"/>
  <c r="BE29" i="7"/>
  <c r="BB29" i="7"/>
  <c r="AV29" i="7"/>
  <c r="AS29" i="7"/>
  <c r="AM29" i="7"/>
  <c r="AJ29" i="7"/>
  <c r="Z29" i="7"/>
  <c r="W29" i="7"/>
  <c r="HE28" i="7"/>
  <c r="DA28" i="7"/>
  <c r="CU28" i="7"/>
  <c r="CO28" i="7"/>
  <c r="CF28" i="7"/>
  <c r="CC28" i="7"/>
  <c r="BZ28" i="7"/>
  <c r="BT28" i="7"/>
  <c r="BN28" i="7"/>
  <c r="BK28" i="7"/>
  <c r="BE28" i="7"/>
  <c r="BB28" i="7"/>
  <c r="AV28" i="7"/>
  <c r="AS28" i="7"/>
  <c r="AM28" i="7"/>
  <c r="AJ28" i="7"/>
  <c r="AG28" i="7"/>
  <c r="AF28" i="7"/>
  <c r="AE28" i="7"/>
  <c r="AE27" i="7" s="1"/>
  <c r="AD28" i="7"/>
  <c r="AD27" i="7" s="1"/>
  <c r="AC28" i="7"/>
  <c r="AC27" i="7" s="1"/>
  <c r="Z28" i="7"/>
  <c r="W28" i="7"/>
  <c r="W41" i="7" s="1"/>
  <c r="HE27" i="7"/>
  <c r="HB27" i="7"/>
  <c r="GM27" i="7"/>
  <c r="FI27" i="7"/>
  <c r="ET27" i="7"/>
  <c r="EE27" i="7"/>
  <c r="DA27" i="7"/>
  <c r="CU27" i="7"/>
  <c r="CO27" i="7"/>
  <c r="CL27" i="7"/>
  <c r="CF27" i="7"/>
  <c r="CC27" i="7"/>
  <c r="BZ27" i="7"/>
  <c r="BW27" i="7"/>
  <c r="BT27" i="7"/>
  <c r="BN27" i="7"/>
  <c r="BK27" i="7"/>
  <c r="BE27" i="7"/>
  <c r="BB27" i="7"/>
  <c r="AV27" i="7"/>
  <c r="AS27" i="7"/>
  <c r="AM27" i="7"/>
  <c r="AJ27" i="7"/>
  <c r="AG27" i="7"/>
  <c r="AF27" i="7"/>
  <c r="Z27" i="7"/>
  <c r="Z40" i="7" s="1"/>
  <c r="Z26" i="7" s="1"/>
  <c r="W27" i="7"/>
  <c r="W39" i="7" s="1"/>
  <c r="HE26" i="7"/>
  <c r="HB26" i="7"/>
  <c r="GM26" i="7"/>
  <c r="FI26" i="7"/>
  <c r="ET26" i="7"/>
  <c r="EE26" i="7"/>
  <c r="DP26" i="7"/>
  <c r="DG26" i="7"/>
  <c r="DA26" i="7"/>
  <c r="DA23" i="7" s="1"/>
  <c r="CU26" i="7"/>
  <c r="CO26" i="7"/>
  <c r="CO24" i="7" s="1"/>
  <c r="CL26" i="7"/>
  <c r="CF26" i="7"/>
  <c r="CC26" i="7"/>
  <c r="BZ26" i="7"/>
  <c r="BW26" i="7"/>
  <c r="BT26" i="7"/>
  <c r="BN26" i="7"/>
  <c r="BK26" i="7"/>
  <c r="BE26" i="7"/>
  <c r="BB26" i="7"/>
  <c r="AV26" i="7"/>
  <c r="AS26" i="7"/>
  <c r="AM26" i="7"/>
  <c r="AJ26" i="7"/>
  <c r="HE25" i="7"/>
  <c r="HB25" i="7"/>
  <c r="HB23" i="7" s="1"/>
  <c r="GM25" i="7"/>
  <c r="GM23" i="7" s="1"/>
  <c r="FI25" i="7"/>
  <c r="ET25" i="7"/>
  <c r="EE25" i="7"/>
  <c r="EE23" i="7" s="1"/>
  <c r="DP25" i="7"/>
  <c r="DP23" i="7" s="1"/>
  <c r="CX25" i="7"/>
  <c r="CO25" i="7"/>
  <c r="CL25" i="7"/>
  <c r="CF25" i="7"/>
  <c r="CC25" i="7"/>
  <c r="BZ25" i="7"/>
  <c r="BZ33" i="7" s="1"/>
  <c r="BZ10" i="7" s="1"/>
  <c r="BZ15" i="7" s="1"/>
  <c r="BW25" i="7"/>
  <c r="BT25" i="7"/>
  <c r="BT11" i="7" s="1"/>
  <c r="BN25" i="7"/>
  <c r="BK25" i="7"/>
  <c r="AM25" i="7"/>
  <c r="AJ25" i="7"/>
  <c r="AG25" i="7"/>
  <c r="AF25" i="7"/>
  <c r="AE25" i="7"/>
  <c r="AD25" i="7"/>
  <c r="AC25" i="7"/>
  <c r="HB24" i="7"/>
  <c r="GM24" i="7"/>
  <c r="FI24" i="7"/>
  <c r="ET24" i="7"/>
  <c r="EE24" i="7"/>
  <c r="DP24" i="7"/>
  <c r="CX24" i="7"/>
  <c r="CU24" i="7"/>
  <c r="CL24" i="7"/>
  <c r="CF24" i="7"/>
  <c r="CC24" i="7"/>
  <c r="BZ24" i="7"/>
  <c r="BW24" i="7"/>
  <c r="BN24" i="7"/>
  <c r="BN21" i="7" s="1"/>
  <c r="BK24" i="7"/>
  <c r="BK21" i="7" s="1"/>
  <c r="BE24" i="7"/>
  <c r="BB24" i="7"/>
  <c r="AV24" i="7"/>
  <c r="AS24" i="7"/>
  <c r="AM24" i="7"/>
  <c r="AM21" i="7" s="1"/>
  <c r="AJ24" i="7"/>
  <c r="AJ21" i="7" s="1"/>
  <c r="AG24" i="7"/>
  <c r="AF24" i="7"/>
  <c r="AE24" i="7"/>
  <c r="AD24" i="7"/>
  <c r="AC24" i="7"/>
  <c r="FI23" i="7"/>
  <c r="ET23" i="7"/>
  <c r="DG23" i="7"/>
  <c r="CR23" i="7"/>
  <c r="CO23" i="7"/>
  <c r="CL23" i="7"/>
  <c r="BZ23" i="7"/>
  <c r="BW23" i="7"/>
  <c r="AG23" i="7"/>
  <c r="AF23" i="7"/>
  <c r="AE23" i="7"/>
  <c r="AD23" i="7"/>
  <c r="AC23" i="7"/>
  <c r="HB22" i="7"/>
  <c r="GM22" i="7"/>
  <c r="FI22" i="7"/>
  <c r="FI16" i="7" s="1"/>
  <c r="ET22" i="7"/>
  <c r="EE22" i="7"/>
  <c r="EE16" i="7" s="1"/>
  <c r="DP22" i="7"/>
  <c r="DD22" i="7"/>
  <c r="CR22" i="7"/>
  <c r="CO22" i="7"/>
  <c r="CL22" i="7"/>
  <c r="CL19" i="7" s="1"/>
  <c r="CF22" i="7"/>
  <c r="CC22" i="7"/>
  <c r="BZ22" i="7"/>
  <c r="BW22" i="7"/>
  <c r="HB21" i="7"/>
  <c r="GM21" i="7"/>
  <c r="FI21" i="7"/>
  <c r="ET21" i="7"/>
  <c r="EE21" i="7"/>
  <c r="DP21" i="7"/>
  <c r="DD21" i="7"/>
  <c r="CX21" i="7"/>
  <c r="BZ21" i="7"/>
  <c r="BW21" i="7"/>
  <c r="AG21" i="7"/>
  <c r="AF21" i="7"/>
  <c r="AE21" i="7"/>
  <c r="AD21" i="7"/>
  <c r="AC21" i="7"/>
  <c r="HB20" i="7"/>
  <c r="HB16" i="7" s="1"/>
  <c r="GM20" i="7"/>
  <c r="FI20" i="7"/>
  <c r="ET20" i="7"/>
  <c r="ET16" i="7" s="1"/>
  <c r="EE20" i="7"/>
  <c r="DP20" i="7"/>
  <c r="DG20" i="7"/>
  <c r="DD20" i="7"/>
  <c r="BZ20" i="7"/>
  <c r="BZ17" i="7" s="1"/>
  <c r="BZ14" i="7" s="1"/>
  <c r="BW20" i="7"/>
  <c r="BT20" i="7"/>
  <c r="AG20" i="7"/>
  <c r="AF20" i="7"/>
  <c r="AE20" i="7"/>
  <c r="AD20" i="7"/>
  <c r="AC20" i="7"/>
  <c r="HB19" i="7"/>
  <c r="GM19" i="7"/>
  <c r="GA19" i="7"/>
  <c r="GA18" i="7" s="1"/>
  <c r="FL19" i="7"/>
  <c r="FL18" i="7" s="1"/>
  <c r="FI19" i="7"/>
  <c r="EW19" i="7"/>
  <c r="EW18" i="7" s="1"/>
  <c r="ET19" i="7"/>
  <c r="EH19" i="7"/>
  <c r="EE19" i="7"/>
  <c r="DS19" i="7"/>
  <c r="DS18" i="7" s="1"/>
  <c r="DP19" i="7"/>
  <c r="CX19" i="7"/>
  <c r="BZ19" i="7"/>
  <c r="BW19" i="7"/>
  <c r="BT19" i="7"/>
  <c r="AG19" i="7"/>
  <c r="AF19" i="7"/>
  <c r="AE19" i="7"/>
  <c r="AD19" i="7"/>
  <c r="AC19" i="7"/>
  <c r="HB18" i="7"/>
  <c r="GP18" i="7"/>
  <c r="GM18" i="7"/>
  <c r="FI18" i="7"/>
  <c r="ET18" i="7"/>
  <c r="EH18" i="7"/>
  <c r="EE18" i="7"/>
  <c r="DP18" i="7"/>
  <c r="CX18" i="7"/>
  <c r="BZ18" i="7"/>
  <c r="BZ16" i="7" s="1"/>
  <c r="BW18" i="7"/>
  <c r="BW15" i="7" s="1"/>
  <c r="BT18" i="7"/>
  <c r="AG18" i="7"/>
  <c r="AF18" i="7"/>
  <c r="AE18" i="7"/>
  <c r="AD18" i="7"/>
  <c r="AC18" i="7"/>
  <c r="W18" i="7"/>
  <c r="HB17" i="7"/>
  <c r="GP17" i="7"/>
  <c r="GM17" i="7"/>
  <c r="FI17" i="7"/>
  <c r="ET17" i="7"/>
  <c r="EE17" i="7"/>
  <c r="DP17" i="7"/>
  <c r="DD17" i="7"/>
  <c r="DM9" i="7" s="1"/>
  <c r="CX17" i="7"/>
  <c r="BW17" i="7"/>
  <c r="BT17" i="7"/>
  <c r="AG17" i="7"/>
  <c r="AF17" i="7"/>
  <c r="AE17" i="7"/>
  <c r="AD17" i="7"/>
  <c r="AC17" i="7"/>
  <c r="GM16" i="7"/>
  <c r="GA16" i="7"/>
  <c r="FL16" i="7"/>
  <c r="EW16" i="7"/>
  <c r="EH16" i="7"/>
  <c r="DP16" i="7"/>
  <c r="DG16" i="7"/>
  <c r="DG7" i="7" s="1"/>
  <c r="DD16" i="7"/>
  <c r="CX16" i="7"/>
  <c r="BW16" i="7"/>
  <c r="BT16" i="7"/>
  <c r="BQ16" i="7"/>
  <c r="BN16" i="7"/>
  <c r="BK16" i="7"/>
  <c r="BH16" i="7"/>
  <c r="BE16" i="7"/>
  <c r="BB16" i="7"/>
  <c r="AY16" i="7"/>
  <c r="AV16" i="7"/>
  <c r="AS16" i="7"/>
  <c r="AP16" i="7"/>
  <c r="AM16" i="7"/>
  <c r="AJ16" i="7"/>
  <c r="AG16" i="7"/>
  <c r="AF16" i="7"/>
  <c r="AE16" i="7"/>
  <c r="AD16" i="7"/>
  <c r="AC16" i="7"/>
  <c r="HB15" i="7"/>
  <c r="GP15" i="7"/>
  <c r="GM15" i="7"/>
  <c r="FI15" i="7"/>
  <c r="ET15" i="7"/>
  <c r="ET2" i="7" s="1"/>
  <c r="EB15" i="7"/>
  <c r="DP15" i="7"/>
  <c r="DD15" i="7"/>
  <c r="CX15" i="7"/>
  <c r="CX11" i="7" s="1"/>
  <c r="BT15" i="7"/>
  <c r="BQ15" i="7"/>
  <c r="BN15" i="7"/>
  <c r="BK15" i="7"/>
  <c r="BH15" i="7"/>
  <c r="BE15" i="7"/>
  <c r="BB15" i="7"/>
  <c r="AY15" i="7"/>
  <c r="AV15" i="7"/>
  <c r="AS15" i="7"/>
  <c r="AP15" i="7"/>
  <c r="AM15" i="7"/>
  <c r="AJ15" i="7"/>
  <c r="HE14" i="7"/>
  <c r="HB14" i="7"/>
  <c r="GP14" i="7"/>
  <c r="GY14" i="7" s="1"/>
  <c r="GM14" i="7"/>
  <c r="GA14" i="7"/>
  <c r="GJ14" i="7" s="1"/>
  <c r="FL14" i="7"/>
  <c r="FI14" i="7"/>
  <c r="FF14" i="7"/>
  <c r="EW14" i="7"/>
  <c r="ET14" i="7"/>
  <c r="EH14" i="7"/>
  <c r="EQ14" i="7" s="1"/>
  <c r="EE14" i="7"/>
  <c r="EB14" i="7"/>
  <c r="DY14" i="7"/>
  <c r="DS14" i="7"/>
  <c r="DP14" i="7"/>
  <c r="DD14" i="7"/>
  <c r="DD10" i="7" s="1"/>
  <c r="CX14" i="7"/>
  <c r="CI14" i="7"/>
  <c r="CF14" i="7"/>
  <c r="CC14" i="7"/>
  <c r="BW14" i="7"/>
  <c r="BT14" i="7"/>
  <c r="BQ14" i="7"/>
  <c r="BN14" i="7"/>
  <c r="BK14" i="7"/>
  <c r="BH14" i="7"/>
  <c r="BE14" i="7"/>
  <c r="BB14" i="7"/>
  <c r="AY14" i="7"/>
  <c r="AV14" i="7"/>
  <c r="AS14" i="7"/>
  <c r="AP14" i="7"/>
  <c r="AM14" i="7"/>
  <c r="AJ14" i="7"/>
  <c r="AG14" i="7"/>
  <c r="AF14" i="7"/>
  <c r="AE14" i="7"/>
  <c r="AD14" i="7"/>
  <c r="AC14" i="7"/>
  <c r="Z14" i="7"/>
  <c r="W14" i="7"/>
  <c r="HB13" i="7"/>
  <c r="GY13" i="7"/>
  <c r="GV13" i="7"/>
  <c r="GP13" i="7"/>
  <c r="GP7" i="7" s="1"/>
  <c r="GM13" i="7"/>
  <c r="GJ13" i="7"/>
  <c r="GG13" i="7"/>
  <c r="GA13" i="7"/>
  <c r="FL13" i="7"/>
  <c r="FI13" i="7"/>
  <c r="FF13" i="7"/>
  <c r="FC13" i="7"/>
  <c r="EW13" i="7"/>
  <c r="ET13" i="7"/>
  <c r="EQ13" i="7"/>
  <c r="EN13" i="7"/>
  <c r="EH13" i="7"/>
  <c r="EE13" i="7"/>
  <c r="EB13" i="7"/>
  <c r="DY13" i="7"/>
  <c r="DS13" i="7"/>
  <c r="DP13" i="7"/>
  <c r="DD13" i="7"/>
  <c r="CX13" i="7"/>
  <c r="CU13" i="7"/>
  <c r="CO13" i="7"/>
  <c r="CL13" i="7"/>
  <c r="CI13" i="7"/>
  <c r="CF13" i="7"/>
  <c r="CC13" i="7"/>
  <c r="BW13" i="7"/>
  <c r="BT13" i="7"/>
  <c r="BQ13" i="7"/>
  <c r="BN13" i="7"/>
  <c r="BK13" i="7"/>
  <c r="BH13" i="7"/>
  <c r="BE13" i="7"/>
  <c r="BB13" i="7"/>
  <c r="AY13" i="7"/>
  <c r="AV13" i="7"/>
  <c r="AS13" i="7"/>
  <c r="AP13" i="7"/>
  <c r="AM13" i="7"/>
  <c r="AJ13" i="7"/>
  <c r="AG13" i="7"/>
  <c r="AF13" i="7"/>
  <c r="Z13" i="7"/>
  <c r="W13" i="7"/>
  <c r="HB12" i="7"/>
  <c r="GY12" i="7"/>
  <c r="GV12" i="7"/>
  <c r="GP12" i="7"/>
  <c r="GM12" i="7"/>
  <c r="GJ12" i="7"/>
  <c r="GG12" i="7"/>
  <c r="GA12" i="7"/>
  <c r="FL12" i="7"/>
  <c r="FL7" i="7" s="1"/>
  <c r="FI12" i="7"/>
  <c r="FF12" i="7"/>
  <c r="FC12" i="7"/>
  <c r="EW12" i="7"/>
  <c r="ET12" i="7"/>
  <c r="EQ12" i="7"/>
  <c r="EN12" i="7"/>
  <c r="EH12" i="7"/>
  <c r="EH7" i="7" s="1"/>
  <c r="EH2" i="7" s="1"/>
  <c r="EE12" i="7"/>
  <c r="EB12" i="7"/>
  <c r="DY12" i="7"/>
  <c r="DS12" i="7"/>
  <c r="DP12" i="7"/>
  <c r="DD12" i="7"/>
  <c r="DA12" i="7"/>
  <c r="CX12" i="7"/>
  <c r="CU12" i="7"/>
  <c r="CO12" i="7"/>
  <c r="CI12" i="7"/>
  <c r="CF12" i="7"/>
  <c r="CC12" i="7"/>
  <c r="BZ12" i="7"/>
  <c r="BT12" i="7"/>
  <c r="BQ12" i="7"/>
  <c r="BN12" i="7"/>
  <c r="BK12" i="7"/>
  <c r="BQ6" i="7" s="1"/>
  <c r="BH12" i="7"/>
  <c r="BE12" i="7"/>
  <c r="BB12" i="7"/>
  <c r="AY12" i="7"/>
  <c r="AV12" i="7"/>
  <c r="AS12" i="7"/>
  <c r="AP12" i="7"/>
  <c r="AM12" i="7"/>
  <c r="AJ12" i="7"/>
  <c r="AG12" i="7"/>
  <c r="AF12" i="7"/>
  <c r="HE11" i="7"/>
  <c r="HB11" i="7"/>
  <c r="GY11" i="7"/>
  <c r="GV11" i="7"/>
  <c r="GP11" i="7"/>
  <c r="GM11" i="7"/>
  <c r="GJ11" i="7"/>
  <c r="GG11" i="7"/>
  <c r="GA11" i="7"/>
  <c r="FL11" i="7"/>
  <c r="FI11" i="7"/>
  <c r="FF11" i="7"/>
  <c r="FC11" i="7"/>
  <c r="EW11" i="7"/>
  <c r="ET11" i="7"/>
  <c r="EQ11" i="7"/>
  <c r="EN11" i="7"/>
  <c r="EH11" i="7"/>
  <c r="EE11" i="7"/>
  <c r="EB11" i="7"/>
  <c r="DY11" i="7"/>
  <c r="DS11" i="7"/>
  <c r="DP11" i="7"/>
  <c r="DG11" i="7"/>
  <c r="DG6" i="7" s="1"/>
  <c r="DD11" i="7"/>
  <c r="DA11" i="7"/>
  <c r="DA10" i="7" s="1"/>
  <c r="CO11" i="7"/>
  <c r="CI11" i="7"/>
  <c r="CF11" i="7"/>
  <c r="CC11" i="7"/>
  <c r="BZ11" i="7"/>
  <c r="BQ11" i="7"/>
  <c r="BN11" i="7"/>
  <c r="BK11" i="7"/>
  <c r="BH11" i="7"/>
  <c r="BE11" i="7"/>
  <c r="BB11" i="7"/>
  <c r="AY11" i="7"/>
  <c r="AV11" i="7"/>
  <c r="AS11" i="7"/>
  <c r="AP11" i="7"/>
  <c r="AM11" i="7"/>
  <c r="AJ11" i="7"/>
  <c r="AG11" i="7"/>
  <c r="AG26" i="7" s="1"/>
  <c r="AG30" i="7" s="1"/>
  <c r="AF11" i="7"/>
  <c r="AF26" i="7" s="1"/>
  <c r="AF30" i="7" s="1"/>
  <c r="AE11" i="7"/>
  <c r="AE26" i="7" s="1"/>
  <c r="AE30" i="7" s="1"/>
  <c r="AD11" i="7"/>
  <c r="AD26" i="7" s="1"/>
  <c r="AD30" i="7" s="1"/>
  <c r="AD33" i="7" s="1"/>
  <c r="AC11" i="7"/>
  <c r="AC26" i="7" s="1"/>
  <c r="AC30" i="7" s="1"/>
  <c r="Z11" i="7"/>
  <c r="W11" i="7"/>
  <c r="W16" i="7" s="1"/>
  <c r="HE10" i="7"/>
  <c r="HB10" i="7"/>
  <c r="GY10" i="7"/>
  <c r="GV10" i="7"/>
  <c r="GP10" i="7"/>
  <c r="GM10" i="7"/>
  <c r="GJ10" i="7"/>
  <c r="GG10" i="7"/>
  <c r="GA10" i="7"/>
  <c r="GA7" i="7" s="1"/>
  <c r="FL10" i="7"/>
  <c r="FI10" i="7"/>
  <c r="FI2" i="7" s="1"/>
  <c r="FF10" i="7"/>
  <c r="FC10" i="7"/>
  <c r="EW10" i="7"/>
  <c r="ET10" i="7"/>
  <c r="EQ10" i="7"/>
  <c r="EN10" i="7"/>
  <c r="EH10" i="7"/>
  <c r="EE10" i="7"/>
  <c r="EB10" i="7"/>
  <c r="DY10" i="7"/>
  <c r="DS10" i="7"/>
  <c r="DP10" i="7"/>
  <c r="DG10" i="7"/>
  <c r="DG5" i="7" s="1"/>
  <c r="CX10" i="7"/>
  <c r="CU10" i="7"/>
  <c r="CO10" i="7"/>
  <c r="CL10" i="7"/>
  <c r="CI10" i="7"/>
  <c r="CF10" i="7"/>
  <c r="CC10" i="7"/>
  <c r="CF23" i="7" s="1"/>
  <c r="CF19" i="7" s="1"/>
  <c r="BT10" i="7"/>
  <c r="BQ10" i="7"/>
  <c r="BN10" i="7"/>
  <c r="BK10" i="7"/>
  <c r="BH10" i="7"/>
  <c r="BE10" i="7"/>
  <c r="BB10" i="7"/>
  <c r="BE25" i="7" s="1"/>
  <c r="BE21" i="7" s="1"/>
  <c r="AY10" i="7"/>
  <c r="AV10" i="7"/>
  <c r="AS10" i="7"/>
  <c r="AS6" i="7" s="1"/>
  <c r="AP10" i="7"/>
  <c r="AP6" i="7" s="1"/>
  <c r="AM10" i="7"/>
  <c r="AJ10" i="7"/>
  <c r="AJ6" i="7" s="1"/>
  <c r="Z10" i="7"/>
  <c r="W10" i="7"/>
  <c r="HE9" i="7"/>
  <c r="HB9" i="7"/>
  <c r="GY9" i="7"/>
  <c r="GV9" i="7"/>
  <c r="GP9" i="7"/>
  <c r="GM9" i="7"/>
  <c r="GJ9" i="7"/>
  <c r="GG9" i="7"/>
  <c r="GA9" i="7"/>
  <c r="FL9" i="7"/>
  <c r="FI9" i="7"/>
  <c r="FF9" i="7"/>
  <c r="FC9" i="7"/>
  <c r="EW9" i="7"/>
  <c r="ET9" i="7"/>
  <c r="EQ9" i="7"/>
  <c r="EN9" i="7"/>
  <c r="EH9" i="7"/>
  <c r="EE9" i="7"/>
  <c r="EB9" i="7"/>
  <c r="DY9" i="7"/>
  <c r="DS9" i="7"/>
  <c r="DP9" i="7"/>
  <c r="DD9" i="7"/>
  <c r="DA9" i="7"/>
  <c r="CX9" i="7"/>
  <c r="CU9" i="7"/>
  <c r="CO9" i="7"/>
  <c r="CL9" i="7"/>
  <c r="CI9" i="7"/>
  <c r="CF9" i="7"/>
  <c r="CC9" i="7"/>
  <c r="BZ9" i="7"/>
  <c r="BW9" i="7"/>
  <c r="BT9" i="7"/>
  <c r="BQ9" i="7"/>
  <c r="BN9" i="7"/>
  <c r="BK9" i="7"/>
  <c r="BH9" i="7"/>
  <c r="BE9" i="7"/>
  <c r="BB9" i="7"/>
  <c r="AY9" i="7"/>
  <c r="AV9" i="7"/>
  <c r="AS9" i="7"/>
  <c r="AP9" i="7"/>
  <c r="AM9" i="7"/>
  <c r="AJ9" i="7"/>
  <c r="AG9" i="7"/>
  <c r="AG32" i="7" s="1"/>
  <c r="AF9" i="7"/>
  <c r="AE9" i="7"/>
  <c r="AD9" i="7"/>
  <c r="AC9" i="7"/>
  <c r="Z9" i="7"/>
  <c r="W9" i="7"/>
  <c r="HE8" i="7"/>
  <c r="HB8" i="7"/>
  <c r="HB6" i="7" s="1"/>
  <c r="HB2" i="7" s="1"/>
  <c r="GY8" i="7"/>
  <c r="GV8" i="7"/>
  <c r="GP8" i="7"/>
  <c r="GM8" i="7"/>
  <c r="GM6" i="7" s="1"/>
  <c r="GM2" i="7" s="1"/>
  <c r="GJ8" i="7"/>
  <c r="GJ6" i="7" s="1"/>
  <c r="GG8" i="7"/>
  <c r="GG6" i="7" s="1"/>
  <c r="GA8" i="7"/>
  <c r="FL8" i="7"/>
  <c r="FI8" i="7"/>
  <c r="FF8" i="7"/>
  <c r="FC8" i="7"/>
  <c r="EW8" i="7"/>
  <c r="ET8" i="7"/>
  <c r="EQ8" i="7"/>
  <c r="EQ6" i="7" s="1"/>
  <c r="EN8" i="7"/>
  <c r="EH8" i="7"/>
  <c r="EE8" i="7"/>
  <c r="EB8" i="7"/>
  <c r="DY8" i="7"/>
  <c r="DS8" i="7"/>
  <c r="DP8" i="7"/>
  <c r="DM8" i="7"/>
  <c r="DM6" i="7" s="1"/>
  <c r="DJ8" i="7"/>
  <c r="DJ6" i="7" s="1"/>
  <c r="DD8" i="7"/>
  <c r="DD7" i="7" s="1"/>
  <c r="DA8" i="7"/>
  <c r="CX8" i="7"/>
  <c r="CU8" i="7"/>
  <c r="CO8" i="7"/>
  <c r="CO6" i="7" s="1"/>
  <c r="CL8" i="7"/>
  <c r="CI8" i="7"/>
  <c r="CF8" i="7"/>
  <c r="CF7" i="7" s="1"/>
  <c r="CC8" i="7"/>
  <c r="CC7" i="7" s="1"/>
  <c r="BZ8" i="7"/>
  <c r="BW8" i="7"/>
  <c r="BT8" i="7"/>
  <c r="BQ8" i="7"/>
  <c r="BN8" i="7"/>
  <c r="BK8" i="7"/>
  <c r="BH8" i="7"/>
  <c r="BH7" i="7" s="1"/>
  <c r="BE8" i="7"/>
  <c r="BE7" i="7" s="1"/>
  <c r="BB8" i="7"/>
  <c r="AY8" i="7"/>
  <c r="AV8" i="7"/>
  <c r="AS8" i="7"/>
  <c r="AP8" i="7"/>
  <c r="AM8" i="7"/>
  <c r="AJ8" i="7"/>
  <c r="AJ7" i="7" s="1"/>
  <c r="AG8" i="7"/>
  <c r="AF8" i="7"/>
  <c r="AE8" i="7"/>
  <c r="AD8" i="7"/>
  <c r="AC8" i="7"/>
  <c r="Z8" i="7"/>
  <c r="W8" i="7"/>
  <c r="HE7" i="7"/>
  <c r="HB7" i="7"/>
  <c r="GY7" i="7"/>
  <c r="GV7" i="7"/>
  <c r="GM7" i="7"/>
  <c r="GJ7" i="7"/>
  <c r="GG7" i="7"/>
  <c r="GG5" i="7" s="1"/>
  <c r="FU7" i="7"/>
  <c r="FI7" i="7"/>
  <c r="FF7" i="7"/>
  <c r="FC7" i="7"/>
  <c r="FC5" i="7" s="1"/>
  <c r="EW7" i="7"/>
  <c r="ET7" i="7"/>
  <c r="ET5" i="7" s="1"/>
  <c r="EQ7" i="7"/>
  <c r="EQ5" i="7" s="1"/>
  <c r="EN7" i="7"/>
  <c r="EN5" i="7" s="1"/>
  <c r="EE7" i="7"/>
  <c r="EE5" i="7" s="1"/>
  <c r="EB7" i="7"/>
  <c r="EB5" i="7" s="1"/>
  <c r="DY7" i="7"/>
  <c r="DS7" i="7"/>
  <c r="DP7" i="7"/>
  <c r="DM7" i="7"/>
  <c r="DJ7" i="7"/>
  <c r="DA7" i="7"/>
  <c r="CX7" i="7"/>
  <c r="CU7" i="7"/>
  <c r="CO7" i="7"/>
  <c r="CL7" i="7"/>
  <c r="CI7" i="7"/>
  <c r="BZ7" i="7"/>
  <c r="BW7" i="7"/>
  <c r="BT7" i="7"/>
  <c r="BQ7" i="7"/>
  <c r="BN7" i="7"/>
  <c r="BK7" i="7"/>
  <c r="BK2" i="7" s="1"/>
  <c r="BB7" i="7"/>
  <c r="AY7" i="7"/>
  <c r="AV7" i="7"/>
  <c r="AS7" i="7"/>
  <c r="AP7" i="7"/>
  <c r="AM7" i="7"/>
  <c r="AM2" i="7" s="1"/>
  <c r="Z7" i="7"/>
  <c r="W7" i="7"/>
  <c r="HE6" i="7"/>
  <c r="HE4" i="7" s="1"/>
  <c r="GY6" i="7"/>
  <c r="GV6" i="7"/>
  <c r="GP6" i="7"/>
  <c r="GD6" i="7"/>
  <c r="GA6" i="7"/>
  <c r="GA2" i="7" s="1"/>
  <c r="FU6" i="7"/>
  <c r="FR6" i="7"/>
  <c r="FL6" i="7"/>
  <c r="FI6" i="7"/>
  <c r="FF6" i="7"/>
  <c r="FC6" i="7"/>
  <c r="EZ6" i="7"/>
  <c r="EW6" i="7"/>
  <c r="EW2" i="7" s="1"/>
  <c r="ET6" i="7"/>
  <c r="EN6" i="7"/>
  <c r="EK6" i="7"/>
  <c r="EH6" i="7"/>
  <c r="EE6" i="7"/>
  <c r="EB6" i="7"/>
  <c r="DY6" i="7"/>
  <c r="DV6" i="7"/>
  <c r="DS6" i="7"/>
  <c r="DS2" i="7" s="1"/>
  <c r="DP6" i="7"/>
  <c r="DP2" i="7" s="1"/>
  <c r="DD6" i="7"/>
  <c r="DA6" i="7"/>
  <c r="CX6" i="7"/>
  <c r="CX23" i="7" s="1"/>
  <c r="CU6" i="7"/>
  <c r="CR6" i="7"/>
  <c r="CL6" i="7"/>
  <c r="BZ6" i="7"/>
  <c r="BW6" i="7"/>
  <c r="BT6" i="7"/>
  <c r="BK6" i="7"/>
  <c r="BB6" i="7"/>
  <c r="AY6" i="7"/>
  <c r="AV6" i="7"/>
  <c r="AM6" i="7"/>
  <c r="Z6" i="7"/>
  <c r="W6" i="7"/>
  <c r="W19" i="7" s="1"/>
  <c r="HE5" i="7"/>
  <c r="HE3" i="7" s="1"/>
  <c r="HB5" i="7"/>
  <c r="GY5" i="7"/>
  <c r="GV5" i="7"/>
  <c r="GS5" i="7"/>
  <c r="GP5" i="7"/>
  <c r="GM5" i="7"/>
  <c r="GJ5" i="7"/>
  <c r="GD5" i="7"/>
  <c r="GA5" i="7"/>
  <c r="FX5" i="7"/>
  <c r="FU5" i="7"/>
  <c r="FR5" i="7"/>
  <c r="FO5" i="7"/>
  <c r="FL5" i="7"/>
  <c r="FI5" i="7"/>
  <c r="FF5" i="7"/>
  <c r="EZ5" i="7"/>
  <c r="EW5" i="7"/>
  <c r="EK5" i="7"/>
  <c r="EH5" i="7"/>
  <c r="DY5" i="7"/>
  <c r="DV5" i="7"/>
  <c r="DS5" i="7"/>
  <c r="DP5" i="7"/>
  <c r="DM5" i="7"/>
  <c r="DJ5" i="7"/>
  <c r="DD5" i="7"/>
  <c r="DA5" i="7"/>
  <c r="DA14" i="7" s="1"/>
  <c r="CX5" i="7"/>
  <c r="CX20" i="7" s="1"/>
  <c r="CX3" i="7" s="1"/>
  <c r="CU5" i="7"/>
  <c r="CU14" i="7" s="1"/>
  <c r="CR5" i="7"/>
  <c r="CO5" i="7"/>
  <c r="CL5" i="7"/>
  <c r="CL2" i="7" s="1"/>
  <c r="CI5" i="7"/>
  <c r="CF5" i="7"/>
  <c r="CC5" i="7"/>
  <c r="BZ5" i="7"/>
  <c r="BZ13" i="7" s="1"/>
  <c r="BW5" i="7"/>
  <c r="BW11" i="7" s="1"/>
  <c r="BT5" i="7"/>
  <c r="BT24" i="7" s="1"/>
  <c r="BQ5" i="7"/>
  <c r="BN5" i="7"/>
  <c r="BK5" i="7"/>
  <c r="BH5" i="7"/>
  <c r="BE5" i="7"/>
  <c r="BB5" i="7"/>
  <c r="AY5" i="7"/>
  <c r="AY2" i="7" s="1"/>
  <c r="AV5" i="7"/>
  <c r="AV2" i="7" s="1"/>
  <c r="AS5" i="7"/>
  <c r="AP5" i="7"/>
  <c r="AM5" i="7"/>
  <c r="AJ5" i="7"/>
  <c r="AG5" i="7"/>
  <c r="AG34" i="7" s="1"/>
  <c r="AF5" i="7"/>
  <c r="AF32" i="7" s="1"/>
  <c r="AE5" i="7"/>
  <c r="AE32" i="7" s="1"/>
  <c r="AD5" i="7"/>
  <c r="AD32" i="7" s="1"/>
  <c r="AC5" i="7"/>
  <c r="Z5" i="7"/>
  <c r="Z16" i="7" s="1"/>
  <c r="W5" i="7"/>
  <c r="FX2" i="7"/>
  <c r="BB2" i="7"/>
  <c r="DA46" i="8"/>
  <c r="DA44" i="8"/>
  <c r="Z44" i="8"/>
  <c r="DA43" i="8"/>
  <c r="CU43" i="8"/>
  <c r="Z43" i="8"/>
  <c r="DA42" i="8"/>
  <c r="CU42" i="8"/>
  <c r="Z42" i="8"/>
  <c r="HE41" i="8"/>
  <c r="DA41" i="8"/>
  <c r="CU41" i="8"/>
  <c r="Z41" i="8"/>
  <c r="HE40" i="8"/>
  <c r="HE37" i="8" s="1"/>
  <c r="DA40" i="8"/>
  <c r="CU40" i="8"/>
  <c r="HE39" i="8"/>
  <c r="DA39" i="8"/>
  <c r="CU39" i="8"/>
  <c r="Z39" i="8"/>
  <c r="HE38" i="8"/>
  <c r="DA38" i="8"/>
  <c r="CU38" i="8"/>
  <c r="DA37" i="8"/>
  <c r="CU37" i="8"/>
  <c r="AG37" i="8"/>
  <c r="HE36" i="8"/>
  <c r="DA36" i="8"/>
  <c r="CU36" i="8"/>
  <c r="AF36" i="8"/>
  <c r="Z36" i="8"/>
  <c r="W36" i="8"/>
  <c r="HE35" i="8"/>
  <c r="DA35" i="8"/>
  <c r="CU35" i="8"/>
  <c r="BN35" i="8"/>
  <c r="BK35" i="8"/>
  <c r="BE35" i="8"/>
  <c r="BB35" i="8"/>
  <c r="AV35" i="8"/>
  <c r="AS35" i="8"/>
  <c r="AM35" i="8"/>
  <c r="AJ35" i="8"/>
  <c r="AE35" i="8"/>
  <c r="AD35" i="8"/>
  <c r="AC35" i="8"/>
  <c r="Z35" i="8"/>
  <c r="W35" i="8"/>
  <c r="HE34" i="8"/>
  <c r="DA34" i="8"/>
  <c r="CU34" i="8"/>
  <c r="BN34" i="8"/>
  <c r="BK34" i="8"/>
  <c r="BE34" i="8"/>
  <c r="BB34" i="8"/>
  <c r="AV34" i="8"/>
  <c r="AV21" i="8" s="1"/>
  <c r="AS34" i="8"/>
  <c r="AM34" i="8"/>
  <c r="AJ34" i="8"/>
  <c r="DA33" i="8"/>
  <c r="CU33" i="8"/>
  <c r="BN33" i="8"/>
  <c r="BK33" i="8"/>
  <c r="BE33" i="8"/>
  <c r="BB33" i="8"/>
  <c r="AV33" i="8"/>
  <c r="AS33" i="8"/>
  <c r="AM33" i="8"/>
  <c r="AJ33" i="8"/>
  <c r="Z33" i="8"/>
  <c r="W33" i="8"/>
  <c r="HE32" i="8"/>
  <c r="DA32" i="8"/>
  <c r="CU32" i="8"/>
  <c r="CU44" i="8" s="1"/>
  <c r="BZ32" i="8"/>
  <c r="BN32" i="8"/>
  <c r="BK32" i="8"/>
  <c r="BE32" i="8"/>
  <c r="BB32" i="8"/>
  <c r="AV32" i="8"/>
  <c r="AS32" i="8"/>
  <c r="AM32" i="8"/>
  <c r="AJ32" i="8"/>
  <c r="Z32" i="8"/>
  <c r="W32" i="8"/>
  <c r="HE31" i="8"/>
  <c r="DA31" i="8"/>
  <c r="CU31" i="8"/>
  <c r="CF31" i="8"/>
  <c r="CC31" i="8"/>
  <c r="BZ31" i="8"/>
  <c r="BN31" i="8"/>
  <c r="BK31" i="8"/>
  <c r="BE31" i="8"/>
  <c r="BB31" i="8"/>
  <c r="AV31" i="8"/>
  <c r="AS31" i="8"/>
  <c r="AM31" i="8"/>
  <c r="AJ31" i="8"/>
  <c r="Z31" i="8"/>
  <c r="Z38" i="8" s="1"/>
  <c r="Z25" i="8" s="1"/>
  <c r="W31" i="8"/>
  <c r="W38" i="8" s="1"/>
  <c r="W26" i="8" s="1"/>
  <c r="HE30" i="8"/>
  <c r="DA30" i="8"/>
  <c r="CU30" i="8"/>
  <c r="CO30" i="8"/>
  <c r="CL30" i="8"/>
  <c r="CL29" i="8" s="1"/>
  <c r="CF30" i="8"/>
  <c r="CC30" i="8"/>
  <c r="BZ30" i="8"/>
  <c r="BN30" i="8"/>
  <c r="BK30" i="8"/>
  <c r="BE30" i="8"/>
  <c r="BB30" i="8"/>
  <c r="AV30" i="8"/>
  <c r="AS30" i="8"/>
  <c r="AM30" i="8"/>
  <c r="AJ30" i="8"/>
  <c r="Z30" i="8"/>
  <c r="W30" i="8"/>
  <c r="HE29" i="8"/>
  <c r="DA29" i="8"/>
  <c r="CU29" i="8"/>
  <c r="CU25" i="8" s="1"/>
  <c r="CO29" i="8"/>
  <c r="CF29" i="8"/>
  <c r="CC29" i="8"/>
  <c r="BZ29" i="8"/>
  <c r="BN29" i="8"/>
  <c r="BK29" i="8"/>
  <c r="BE29" i="8"/>
  <c r="BB29" i="8"/>
  <c r="AV29" i="8"/>
  <c r="AS29" i="8"/>
  <c r="AM29" i="8"/>
  <c r="AJ29" i="8"/>
  <c r="Z29" i="8"/>
  <c r="W29" i="8"/>
  <c r="HE28" i="8"/>
  <c r="HE27" i="8" s="1"/>
  <c r="DA28" i="8"/>
  <c r="CU28" i="8"/>
  <c r="CO28" i="8"/>
  <c r="CF28" i="8"/>
  <c r="CC28" i="8"/>
  <c r="BZ28" i="8"/>
  <c r="BZ15" i="8" s="1"/>
  <c r="BT28" i="8"/>
  <c r="BN28" i="8"/>
  <c r="BK28" i="8"/>
  <c r="BE28" i="8"/>
  <c r="BB28" i="8"/>
  <c r="AV28" i="8"/>
  <c r="AS28" i="8"/>
  <c r="AM28" i="8"/>
  <c r="AJ28" i="8"/>
  <c r="AG28" i="8"/>
  <c r="AF28" i="8"/>
  <c r="AE28" i="8"/>
  <c r="AE27" i="8" s="1"/>
  <c r="AD28" i="8"/>
  <c r="AD27" i="8" s="1"/>
  <c r="AC28" i="8"/>
  <c r="AC27" i="8" s="1"/>
  <c r="Z28" i="8"/>
  <c r="W28" i="8"/>
  <c r="HB27" i="8"/>
  <c r="GM27" i="8"/>
  <c r="FI27" i="8"/>
  <c r="ET27" i="8"/>
  <c r="EE27" i="8"/>
  <c r="DA27" i="8"/>
  <c r="CU27" i="8"/>
  <c r="CO27" i="8"/>
  <c r="CL27" i="8"/>
  <c r="CF27" i="8"/>
  <c r="CC27" i="8"/>
  <c r="BZ27" i="8"/>
  <c r="BW27" i="8"/>
  <c r="BT27" i="8"/>
  <c r="BN27" i="8"/>
  <c r="BN26" i="8" s="1"/>
  <c r="BK27" i="8"/>
  <c r="BK26" i="8" s="1"/>
  <c r="BE27" i="8"/>
  <c r="BB27" i="8"/>
  <c r="AV27" i="8"/>
  <c r="AS27" i="8"/>
  <c r="AM27" i="8"/>
  <c r="AJ27" i="8"/>
  <c r="AG27" i="8"/>
  <c r="AF27" i="8"/>
  <c r="Z27" i="8"/>
  <c r="Z40" i="8" s="1"/>
  <c r="Z26" i="8" s="1"/>
  <c r="W27" i="8"/>
  <c r="W39" i="8" s="1"/>
  <c r="HE26" i="8"/>
  <c r="HB26" i="8"/>
  <c r="GM26" i="8"/>
  <c r="FI26" i="8"/>
  <c r="ET26" i="8"/>
  <c r="EE26" i="8"/>
  <c r="DP26" i="8"/>
  <c r="DG26" i="8"/>
  <c r="DA26" i="8"/>
  <c r="DA23" i="8" s="1"/>
  <c r="CU26" i="8"/>
  <c r="CO26" i="8"/>
  <c r="CL26" i="8"/>
  <c r="CF26" i="8"/>
  <c r="CC26" i="8"/>
  <c r="BZ26" i="8"/>
  <c r="BW26" i="8"/>
  <c r="BT26" i="8"/>
  <c r="BE26" i="8"/>
  <c r="BB26" i="8"/>
  <c r="AV26" i="8"/>
  <c r="AS26" i="8"/>
  <c r="AM26" i="8"/>
  <c r="AJ26" i="8"/>
  <c r="AF26" i="8"/>
  <c r="AF30" i="8" s="1"/>
  <c r="HE25" i="8"/>
  <c r="HB25" i="8"/>
  <c r="HB23" i="8" s="1"/>
  <c r="GM25" i="8"/>
  <c r="GM23" i="8" s="1"/>
  <c r="FI25" i="8"/>
  <c r="ET25" i="8"/>
  <c r="EE25" i="8"/>
  <c r="EE23" i="8" s="1"/>
  <c r="DP25" i="8"/>
  <c r="DP23" i="8" s="1"/>
  <c r="CX25" i="8"/>
  <c r="CO25" i="8"/>
  <c r="CO23" i="8" s="1"/>
  <c r="CL25" i="8"/>
  <c r="CF25" i="8"/>
  <c r="CC25" i="8"/>
  <c r="BZ25" i="8"/>
  <c r="BZ33" i="8" s="1"/>
  <c r="BW25" i="8"/>
  <c r="BT25" i="8"/>
  <c r="BN25" i="8"/>
  <c r="BK25" i="8"/>
  <c r="AV25" i="8"/>
  <c r="AS25" i="8"/>
  <c r="AM25" i="8"/>
  <c r="AJ25" i="8"/>
  <c r="AG25" i="8"/>
  <c r="AF25" i="8"/>
  <c r="AE25" i="8"/>
  <c r="AD25" i="8"/>
  <c r="AC25" i="8"/>
  <c r="HB24" i="8"/>
  <c r="GM24" i="8"/>
  <c r="FI24" i="8"/>
  <c r="ET24" i="8"/>
  <c r="EE24" i="8"/>
  <c r="DP24" i="8"/>
  <c r="CX24" i="8"/>
  <c r="CU24" i="8"/>
  <c r="CO24" i="8"/>
  <c r="CL24" i="8"/>
  <c r="CF24" i="8"/>
  <c r="CC24" i="8"/>
  <c r="BZ24" i="8"/>
  <c r="BW24" i="8"/>
  <c r="BN24" i="8"/>
  <c r="BK24" i="8"/>
  <c r="BE24" i="8"/>
  <c r="BB24" i="8"/>
  <c r="AV24" i="8"/>
  <c r="AS24" i="8"/>
  <c r="AM24" i="8"/>
  <c r="AM21" i="8" s="1"/>
  <c r="AJ24" i="8"/>
  <c r="AG24" i="8"/>
  <c r="AF24" i="8"/>
  <c r="AE24" i="8"/>
  <c r="AD24" i="8"/>
  <c r="AC24" i="8"/>
  <c r="FI23" i="8"/>
  <c r="ET23" i="8"/>
  <c r="DG23" i="8"/>
  <c r="CR23" i="8"/>
  <c r="CL23" i="8"/>
  <c r="BZ23" i="8"/>
  <c r="BW23" i="8"/>
  <c r="AG23" i="8"/>
  <c r="AF23" i="8"/>
  <c r="AE23" i="8"/>
  <c r="AD23" i="8"/>
  <c r="AC23" i="8"/>
  <c r="HB22" i="8"/>
  <c r="GM22" i="8"/>
  <c r="GM16" i="8" s="1"/>
  <c r="FI22" i="8"/>
  <c r="FI16" i="8" s="1"/>
  <c r="ET22" i="8"/>
  <c r="ET16" i="8" s="1"/>
  <c r="EE22" i="8"/>
  <c r="EE16" i="8" s="1"/>
  <c r="DP22" i="8"/>
  <c r="DD22" i="8"/>
  <c r="CO22" i="8"/>
  <c r="CR22" i="8" s="1"/>
  <c r="CL22" i="8"/>
  <c r="CL19" i="8" s="1"/>
  <c r="CF22" i="8"/>
  <c r="CC22" i="8"/>
  <c r="BZ22" i="8"/>
  <c r="BW22" i="8"/>
  <c r="HB21" i="8"/>
  <c r="GM21" i="8"/>
  <c r="FI21" i="8"/>
  <c r="ET21" i="8"/>
  <c r="EE21" i="8"/>
  <c r="DP21" i="8"/>
  <c r="DD21" i="8"/>
  <c r="BZ21" i="8"/>
  <c r="BW21" i="8"/>
  <c r="AS21" i="8"/>
  <c r="AG21" i="8"/>
  <c r="AF21" i="8"/>
  <c r="AE21" i="8"/>
  <c r="AD21" i="8"/>
  <c r="AC21" i="8"/>
  <c r="HB20" i="8"/>
  <c r="GM20" i="8"/>
  <c r="FI20" i="8"/>
  <c r="ET20" i="8"/>
  <c r="EE20" i="8"/>
  <c r="DP20" i="8"/>
  <c r="DG20" i="8"/>
  <c r="DG16" i="8" s="1"/>
  <c r="DG7" i="8" s="1"/>
  <c r="DD20" i="8"/>
  <c r="BZ20" i="8"/>
  <c r="BW20" i="8"/>
  <c r="BT20" i="8"/>
  <c r="AG20" i="8"/>
  <c r="AF20" i="8"/>
  <c r="AE20" i="8"/>
  <c r="AD20" i="8"/>
  <c r="AC20" i="8"/>
  <c r="HB19" i="8"/>
  <c r="GM19" i="8"/>
  <c r="GA19" i="8"/>
  <c r="GA18" i="8" s="1"/>
  <c r="FL19" i="8"/>
  <c r="FL18" i="8" s="1"/>
  <c r="FI19" i="8"/>
  <c r="EW19" i="8"/>
  <c r="ET19" i="8"/>
  <c r="EH19" i="8"/>
  <c r="EE19" i="8"/>
  <c r="DS19" i="8"/>
  <c r="DS18" i="8" s="1"/>
  <c r="DP19" i="8"/>
  <c r="DP11" i="8" s="1"/>
  <c r="DP5" i="8" s="1"/>
  <c r="CX19" i="8"/>
  <c r="BZ19" i="8"/>
  <c r="BW19" i="8"/>
  <c r="BT19" i="8"/>
  <c r="AG19" i="8"/>
  <c r="AF19" i="8"/>
  <c r="AE19" i="8"/>
  <c r="AD19" i="8"/>
  <c r="AC19" i="8"/>
  <c r="HB18" i="8"/>
  <c r="GP18" i="8"/>
  <c r="GM18" i="8"/>
  <c r="FI18" i="8"/>
  <c r="EW18" i="8"/>
  <c r="ET18" i="8"/>
  <c r="EH18" i="8"/>
  <c r="EE18" i="8"/>
  <c r="DP18" i="8"/>
  <c r="CX18" i="8"/>
  <c r="CX21" i="8" s="1"/>
  <c r="BZ18" i="8"/>
  <c r="BZ16" i="8" s="1"/>
  <c r="BW18" i="8"/>
  <c r="BW15" i="8" s="1"/>
  <c r="BT18" i="8"/>
  <c r="AG18" i="8"/>
  <c r="AF18" i="8"/>
  <c r="AE18" i="8"/>
  <c r="AD18" i="8"/>
  <c r="AC18" i="8"/>
  <c r="HB17" i="8"/>
  <c r="GP17" i="8"/>
  <c r="GM17" i="8"/>
  <c r="FI17" i="8"/>
  <c r="ET17" i="8"/>
  <c r="EE17" i="8"/>
  <c r="DP17" i="8"/>
  <c r="DD17" i="8"/>
  <c r="CX17" i="8"/>
  <c r="BW17" i="8"/>
  <c r="BT17" i="8"/>
  <c r="AG17" i="8"/>
  <c r="AF17" i="8"/>
  <c r="AF33" i="8" s="1"/>
  <c r="AE17" i="8"/>
  <c r="AD17" i="8"/>
  <c r="AC17" i="8"/>
  <c r="HB16" i="8"/>
  <c r="GA16" i="8"/>
  <c r="FL16" i="8"/>
  <c r="EW16" i="8"/>
  <c r="EH16" i="8"/>
  <c r="DP16" i="8"/>
  <c r="DD16" i="8"/>
  <c r="CX16" i="8"/>
  <c r="BW16" i="8"/>
  <c r="BT16" i="8"/>
  <c r="BQ16" i="8"/>
  <c r="BN16" i="8"/>
  <c r="BK16" i="8"/>
  <c r="BH16" i="8"/>
  <c r="BE16" i="8"/>
  <c r="BB16" i="8"/>
  <c r="AY16" i="8"/>
  <c r="AV16" i="8"/>
  <c r="AS16" i="8"/>
  <c r="AP16" i="8"/>
  <c r="AM16" i="8"/>
  <c r="AJ16" i="8"/>
  <c r="AG16" i="8"/>
  <c r="AF16" i="8"/>
  <c r="AE16" i="8"/>
  <c r="AD16" i="8"/>
  <c r="AC16" i="8"/>
  <c r="HB15" i="8"/>
  <c r="GP15" i="8"/>
  <c r="GM15" i="8"/>
  <c r="FI15" i="8"/>
  <c r="FI2" i="8" s="1"/>
  <c r="ET15" i="8"/>
  <c r="DP15" i="8"/>
  <c r="DD15" i="8"/>
  <c r="CX15" i="8"/>
  <c r="CX11" i="8" s="1"/>
  <c r="BT15" i="8"/>
  <c r="BQ15" i="8"/>
  <c r="BN15" i="8"/>
  <c r="BK15" i="8"/>
  <c r="BH15" i="8"/>
  <c r="BE15" i="8"/>
  <c r="BB15" i="8"/>
  <c r="AY15" i="8"/>
  <c r="AV15" i="8"/>
  <c r="AS15" i="8"/>
  <c r="AP15" i="8"/>
  <c r="AM15" i="8"/>
  <c r="AJ15" i="8"/>
  <c r="HE14" i="8"/>
  <c r="HB14" i="8"/>
  <c r="GP14" i="8"/>
  <c r="GY14" i="8" s="1"/>
  <c r="GM14" i="8"/>
  <c r="GA14" i="8"/>
  <c r="GJ14" i="8" s="1"/>
  <c r="FL14" i="8"/>
  <c r="FI14" i="8"/>
  <c r="EW14" i="8"/>
  <c r="FF14" i="8" s="1"/>
  <c r="ET14" i="8"/>
  <c r="EH14" i="8"/>
  <c r="EQ14" i="8" s="1"/>
  <c r="EE14" i="8"/>
  <c r="EB14" i="8"/>
  <c r="DY14" i="8"/>
  <c r="DS14" i="8"/>
  <c r="EB15" i="8" s="1"/>
  <c r="DP14" i="8"/>
  <c r="DD14" i="8"/>
  <c r="CX14" i="8"/>
  <c r="CI14" i="8"/>
  <c r="CF14" i="8"/>
  <c r="CC14" i="8"/>
  <c r="BW14" i="8"/>
  <c r="BT14" i="8"/>
  <c r="BQ14" i="8"/>
  <c r="BN14" i="8"/>
  <c r="BK14" i="8"/>
  <c r="BH14" i="8"/>
  <c r="BE14" i="8"/>
  <c r="BB14" i="8"/>
  <c r="AY14" i="8"/>
  <c r="AV14" i="8"/>
  <c r="AS14" i="8"/>
  <c r="AP14" i="8"/>
  <c r="AM14" i="8"/>
  <c r="AJ14" i="8"/>
  <c r="AG14" i="8"/>
  <c r="AG32" i="8" s="1"/>
  <c r="AF14" i="8"/>
  <c r="AE14" i="8"/>
  <c r="AD14" i="8"/>
  <c r="AC14" i="8"/>
  <c r="Z14" i="8"/>
  <c r="W14" i="8"/>
  <c r="HB13" i="8"/>
  <c r="GY13" i="8"/>
  <c r="GV13" i="8"/>
  <c r="GP13" i="8"/>
  <c r="GP7" i="8" s="1"/>
  <c r="GM13" i="8"/>
  <c r="GJ13" i="8"/>
  <c r="GG13" i="8"/>
  <c r="GA13" i="8"/>
  <c r="FL13" i="8"/>
  <c r="FI13" i="8"/>
  <c r="FF13" i="8"/>
  <c r="FC13" i="8"/>
  <c r="EW13" i="8"/>
  <c r="ET13" i="8"/>
  <c r="EQ13" i="8"/>
  <c r="EN13" i="8"/>
  <c r="EH13" i="8"/>
  <c r="EE13" i="8"/>
  <c r="EB13" i="8"/>
  <c r="DY13" i="8"/>
  <c r="DS13" i="8"/>
  <c r="DP13" i="8"/>
  <c r="DD13" i="8"/>
  <c r="CX13" i="8"/>
  <c r="CU13" i="8"/>
  <c r="CO13" i="8"/>
  <c r="CL13" i="8"/>
  <c r="CL12" i="8" s="1"/>
  <c r="CI13" i="8"/>
  <c r="CF13" i="8"/>
  <c r="CC13" i="8"/>
  <c r="BW13" i="8"/>
  <c r="BT13" i="8"/>
  <c r="BQ13" i="8"/>
  <c r="BN13" i="8"/>
  <c r="BK13" i="8"/>
  <c r="BH13" i="8"/>
  <c r="BE13" i="8"/>
  <c r="BB13" i="8"/>
  <c r="AY13" i="8"/>
  <c r="AV13" i="8"/>
  <c r="AS13" i="8"/>
  <c r="AP13" i="8"/>
  <c r="AM13" i="8"/>
  <c r="AJ13" i="8"/>
  <c r="AG13" i="8"/>
  <c r="AF13" i="8"/>
  <c r="Z13" i="8"/>
  <c r="W13" i="8"/>
  <c r="HB12" i="8"/>
  <c r="GY12" i="8"/>
  <c r="GV12" i="8"/>
  <c r="GP12" i="8"/>
  <c r="GM12" i="8"/>
  <c r="GJ12" i="8"/>
  <c r="GG12" i="8"/>
  <c r="GA12" i="8"/>
  <c r="FL12" i="8"/>
  <c r="FI12" i="8"/>
  <c r="FF12" i="8"/>
  <c r="FC12" i="8"/>
  <c r="EW12" i="8"/>
  <c r="ET12" i="8"/>
  <c r="EQ12" i="8"/>
  <c r="EN12" i="8"/>
  <c r="EH12" i="8"/>
  <c r="EE12" i="8"/>
  <c r="EB12" i="8"/>
  <c r="DY12" i="8"/>
  <c r="DS12" i="8"/>
  <c r="DP12" i="8"/>
  <c r="DD12" i="8"/>
  <c r="DA12" i="8"/>
  <c r="CX12" i="8"/>
  <c r="CU12" i="8"/>
  <c r="CO12" i="8"/>
  <c r="CI12" i="8"/>
  <c r="CF12" i="8"/>
  <c r="CC12" i="8"/>
  <c r="BZ12" i="8"/>
  <c r="BT12" i="8"/>
  <c r="BQ12" i="8"/>
  <c r="BN12" i="8"/>
  <c r="BK12" i="8"/>
  <c r="BQ6" i="8" s="1"/>
  <c r="BH12" i="8"/>
  <c r="BE12" i="8"/>
  <c r="BB12" i="8"/>
  <c r="AY12" i="8"/>
  <c r="AV12" i="8"/>
  <c r="AS12" i="8"/>
  <c r="AP12" i="8"/>
  <c r="AM12" i="8"/>
  <c r="AJ12" i="8"/>
  <c r="AG12" i="8"/>
  <c r="AF12" i="8"/>
  <c r="HE11" i="8"/>
  <c r="HB11" i="8"/>
  <c r="GY11" i="8"/>
  <c r="GV11" i="8"/>
  <c r="GP11" i="8"/>
  <c r="GM11" i="8"/>
  <c r="GJ11" i="8"/>
  <c r="GG11" i="8"/>
  <c r="GA11" i="8"/>
  <c r="FL11" i="8"/>
  <c r="FI11" i="8"/>
  <c r="FF11" i="8"/>
  <c r="FC11" i="8"/>
  <c r="EW11" i="8"/>
  <c r="ET11" i="8"/>
  <c r="EQ11" i="8"/>
  <c r="EN11" i="8"/>
  <c r="EH11" i="8"/>
  <c r="EE11" i="8"/>
  <c r="EB11" i="8"/>
  <c r="DY11" i="8"/>
  <c r="DS11" i="8"/>
  <c r="DD11" i="8"/>
  <c r="DA11" i="8"/>
  <c r="CO11" i="8"/>
  <c r="CI11" i="8"/>
  <c r="CF11" i="8"/>
  <c r="CC11" i="8"/>
  <c r="BZ11" i="8"/>
  <c r="BQ11" i="8"/>
  <c r="BN11" i="8"/>
  <c r="BK11" i="8"/>
  <c r="BH11" i="8"/>
  <c r="BE11" i="8"/>
  <c r="BB11" i="8"/>
  <c r="AY11" i="8"/>
  <c r="AV11" i="8"/>
  <c r="AS11" i="8"/>
  <c r="AP11" i="8"/>
  <c r="AM11" i="8"/>
  <c r="AJ11" i="8"/>
  <c r="AG11" i="8"/>
  <c r="AG26" i="8" s="1"/>
  <c r="AG30" i="8" s="1"/>
  <c r="AF11" i="8"/>
  <c r="AE11" i="8"/>
  <c r="AE26" i="8" s="1"/>
  <c r="AD11" i="8"/>
  <c r="AD26" i="8" s="1"/>
  <c r="AD30" i="8" s="1"/>
  <c r="AC11" i="8"/>
  <c r="AC26" i="8" s="1"/>
  <c r="AC30" i="8" s="1"/>
  <c r="Z11" i="8"/>
  <c r="W11" i="8"/>
  <c r="HE10" i="8"/>
  <c r="HB10" i="8"/>
  <c r="HB2" i="8" s="1"/>
  <c r="GY10" i="8"/>
  <c r="GV10" i="8"/>
  <c r="GP10" i="8"/>
  <c r="GM10" i="8"/>
  <c r="GJ10" i="8"/>
  <c r="GG10" i="8"/>
  <c r="GA10" i="8"/>
  <c r="FL10" i="8"/>
  <c r="FI10" i="8"/>
  <c r="FF10" i="8"/>
  <c r="FC10" i="8"/>
  <c r="EW10" i="8"/>
  <c r="ET10" i="8"/>
  <c r="EQ10" i="8"/>
  <c r="EN10" i="8"/>
  <c r="EH10" i="8"/>
  <c r="EE10" i="8"/>
  <c r="EB10" i="8"/>
  <c r="DY10" i="8"/>
  <c r="DS10" i="8"/>
  <c r="DP10" i="8"/>
  <c r="DG10" i="8"/>
  <c r="DD10" i="8"/>
  <c r="DA10" i="8"/>
  <c r="CX10" i="8"/>
  <c r="CU10" i="8"/>
  <c r="CO10" i="8"/>
  <c r="CL10" i="8"/>
  <c r="CI10" i="8"/>
  <c r="CF10" i="8"/>
  <c r="CC10" i="8"/>
  <c r="BZ10" i="8"/>
  <c r="BT10" i="8"/>
  <c r="BQ10" i="8"/>
  <c r="BN10" i="8"/>
  <c r="BK10" i="8"/>
  <c r="BH10" i="8"/>
  <c r="BE10" i="8"/>
  <c r="BB10" i="8"/>
  <c r="AY10" i="8"/>
  <c r="AV10" i="8"/>
  <c r="AS10" i="8"/>
  <c r="AS6" i="8" s="1"/>
  <c r="AP10" i="8"/>
  <c r="AP6" i="8" s="1"/>
  <c r="AM10" i="8"/>
  <c r="AM6" i="8" s="1"/>
  <c r="AM2" i="8" s="1"/>
  <c r="AJ10" i="8"/>
  <c r="AJ6" i="8" s="1"/>
  <c r="AJ2" i="8" s="1"/>
  <c r="Z10" i="8"/>
  <c r="W10" i="8"/>
  <c r="HE9" i="8"/>
  <c r="HB9" i="8"/>
  <c r="GY9" i="8"/>
  <c r="GV9" i="8"/>
  <c r="GP9" i="8"/>
  <c r="GM9" i="8"/>
  <c r="GJ9" i="8"/>
  <c r="GG9" i="8"/>
  <c r="GA9" i="8"/>
  <c r="FL9" i="8"/>
  <c r="FI9" i="8"/>
  <c r="FF9" i="8"/>
  <c r="FC9" i="8"/>
  <c r="EW9" i="8"/>
  <c r="EW7" i="8" s="1"/>
  <c r="ET9" i="8"/>
  <c r="EQ9" i="8"/>
  <c r="EN9" i="8"/>
  <c r="EH9" i="8"/>
  <c r="EE9" i="8"/>
  <c r="EB9" i="8"/>
  <c r="DY9" i="8"/>
  <c r="DS9" i="8"/>
  <c r="DS7" i="8" s="1"/>
  <c r="DS2" i="8" s="1"/>
  <c r="DP9" i="8"/>
  <c r="DM9" i="8"/>
  <c r="DD9" i="8"/>
  <c r="DA9" i="8"/>
  <c r="CX9" i="8"/>
  <c r="CU9" i="8"/>
  <c r="CO9" i="8"/>
  <c r="CL9" i="8"/>
  <c r="CI9" i="8"/>
  <c r="CF9" i="8"/>
  <c r="CC9" i="8"/>
  <c r="BZ9" i="8"/>
  <c r="BW9" i="8"/>
  <c r="BT9" i="8"/>
  <c r="BQ9" i="8"/>
  <c r="BN9" i="8"/>
  <c r="BK9" i="8"/>
  <c r="BH9" i="8"/>
  <c r="BE9" i="8"/>
  <c r="BB9" i="8"/>
  <c r="AY9" i="8"/>
  <c r="AV9" i="8"/>
  <c r="AS9" i="8"/>
  <c r="AP9" i="8"/>
  <c r="AM9" i="8"/>
  <c r="AJ9" i="8"/>
  <c r="AG9" i="8"/>
  <c r="AF9" i="8"/>
  <c r="AE9" i="8"/>
  <c r="AD9" i="8"/>
  <c r="AC9" i="8"/>
  <c r="Z9" i="8"/>
  <c r="Z18" i="8" s="1"/>
  <c r="W9" i="8"/>
  <c r="W18" i="8" s="1"/>
  <c r="HE8" i="8"/>
  <c r="HB8" i="8"/>
  <c r="GY8" i="8"/>
  <c r="GV8" i="8"/>
  <c r="GP8" i="8"/>
  <c r="GM8" i="8"/>
  <c r="GM6" i="8" s="1"/>
  <c r="GJ8" i="8"/>
  <c r="GJ6" i="8" s="1"/>
  <c r="GG8" i="8"/>
  <c r="GG6" i="8" s="1"/>
  <c r="GA8" i="8"/>
  <c r="GA7" i="8" s="1"/>
  <c r="FL8" i="8"/>
  <c r="FI8" i="8"/>
  <c r="FF8" i="8"/>
  <c r="FC8" i="8"/>
  <c r="EW8" i="8"/>
  <c r="ET8" i="8"/>
  <c r="ET6" i="8" s="1"/>
  <c r="EQ8" i="8"/>
  <c r="EQ6" i="8" s="1"/>
  <c r="EN8" i="8"/>
  <c r="EN6" i="8" s="1"/>
  <c r="EH8" i="8"/>
  <c r="EE8" i="8"/>
  <c r="EB8" i="8"/>
  <c r="DY8" i="8"/>
  <c r="DS8" i="8"/>
  <c r="DP8" i="8"/>
  <c r="DP7" i="8" s="1"/>
  <c r="DM8" i="8"/>
  <c r="DM6" i="8" s="1"/>
  <c r="DJ8" i="8"/>
  <c r="DJ6" i="8" s="1"/>
  <c r="DD8" i="8"/>
  <c r="DA8" i="8"/>
  <c r="CX8" i="8"/>
  <c r="CU8" i="8"/>
  <c r="CO8" i="8"/>
  <c r="CO6" i="8" s="1"/>
  <c r="CL8" i="8"/>
  <c r="CL2" i="8" s="1"/>
  <c r="CI8" i="8"/>
  <c r="CI7" i="8" s="1"/>
  <c r="CF8" i="8"/>
  <c r="CF7" i="8" s="1"/>
  <c r="CC8" i="8"/>
  <c r="CC7" i="8" s="1"/>
  <c r="BZ8" i="8"/>
  <c r="BW8" i="8"/>
  <c r="BT8" i="8"/>
  <c r="BQ8" i="8"/>
  <c r="BN8" i="8"/>
  <c r="BN7" i="8" s="1"/>
  <c r="BK8" i="8"/>
  <c r="BK7" i="8" s="1"/>
  <c r="BK2" i="8" s="1"/>
  <c r="BH8" i="8"/>
  <c r="BH7" i="8" s="1"/>
  <c r="BE8" i="8"/>
  <c r="BE7" i="8" s="1"/>
  <c r="BB8" i="8"/>
  <c r="AY8" i="8"/>
  <c r="AV8" i="8"/>
  <c r="AS8" i="8"/>
  <c r="AP8" i="8"/>
  <c r="AM8" i="8"/>
  <c r="AJ8" i="8"/>
  <c r="AJ7" i="8" s="1"/>
  <c r="AG8" i="8"/>
  <c r="AF8" i="8"/>
  <c r="AE8" i="8"/>
  <c r="AD8" i="8"/>
  <c r="AC8" i="8"/>
  <c r="Z8" i="8"/>
  <c r="W8" i="8"/>
  <c r="HE7" i="8"/>
  <c r="HB7" i="8"/>
  <c r="GY7" i="8"/>
  <c r="GV7" i="8"/>
  <c r="GM7" i="8"/>
  <c r="GJ7" i="8"/>
  <c r="GG7" i="8"/>
  <c r="FU7" i="8"/>
  <c r="FI7" i="8"/>
  <c r="FF7" i="8"/>
  <c r="FC7" i="8"/>
  <c r="FC5" i="8" s="1"/>
  <c r="ET7" i="8"/>
  <c r="ET5" i="8" s="1"/>
  <c r="EQ7" i="8"/>
  <c r="EQ5" i="8" s="1"/>
  <c r="EN7" i="8"/>
  <c r="EN5" i="8" s="1"/>
  <c r="EE7" i="8"/>
  <c r="EE5" i="8" s="1"/>
  <c r="EB7" i="8"/>
  <c r="EB5" i="8" s="1"/>
  <c r="DY7" i="8"/>
  <c r="DY5" i="8" s="1"/>
  <c r="DM7" i="8"/>
  <c r="DM5" i="8" s="1"/>
  <c r="DJ7" i="8"/>
  <c r="DJ5" i="8" s="1"/>
  <c r="DA7" i="8"/>
  <c r="CX7" i="8"/>
  <c r="CU7" i="8"/>
  <c r="CO7" i="8"/>
  <c r="CL7" i="8"/>
  <c r="BZ7" i="8"/>
  <c r="BW7" i="8"/>
  <c r="BT7" i="8"/>
  <c r="BT6" i="8" s="1"/>
  <c r="BQ7" i="8"/>
  <c r="BB7" i="8"/>
  <c r="AY7" i="8"/>
  <c r="AV7" i="8"/>
  <c r="AS7" i="8"/>
  <c r="AP7" i="8"/>
  <c r="AM7" i="8"/>
  <c r="Z7" i="8"/>
  <c r="W7" i="8"/>
  <c r="HE6" i="8"/>
  <c r="HB6" i="8"/>
  <c r="GY6" i="8"/>
  <c r="GV6" i="8"/>
  <c r="GP6" i="8"/>
  <c r="GD6" i="8"/>
  <c r="GA6" i="8"/>
  <c r="FU6" i="8"/>
  <c r="FR6" i="8"/>
  <c r="FL6" i="8"/>
  <c r="FI6" i="8"/>
  <c r="FF6" i="8"/>
  <c r="FC6" i="8"/>
  <c r="EZ6" i="8"/>
  <c r="EW6" i="8"/>
  <c r="EK6" i="8"/>
  <c r="EH6" i="8"/>
  <c r="EE6" i="8"/>
  <c r="EB6" i="8"/>
  <c r="DY6" i="8"/>
  <c r="DV6" i="8"/>
  <c r="DS6" i="8"/>
  <c r="DD6" i="8"/>
  <c r="DA6" i="8"/>
  <c r="CX6" i="8"/>
  <c r="CX23" i="8" s="1"/>
  <c r="CU6" i="8"/>
  <c r="CR6" i="8"/>
  <c r="CL6" i="8"/>
  <c r="BZ6" i="8"/>
  <c r="BW6" i="8"/>
  <c r="BK6" i="8"/>
  <c r="BE6" i="8"/>
  <c r="BE2" i="8" s="1"/>
  <c r="AY6" i="8"/>
  <c r="AV6" i="8"/>
  <c r="Z6" i="8"/>
  <c r="W6" i="8"/>
  <c r="W19" i="8" s="1"/>
  <c r="HE5" i="8"/>
  <c r="HB5" i="8"/>
  <c r="GY5" i="8"/>
  <c r="GV5" i="8"/>
  <c r="GS5" i="8"/>
  <c r="GP5" i="8"/>
  <c r="GM5" i="8"/>
  <c r="GM2" i="8" s="1"/>
  <c r="GJ5" i="8"/>
  <c r="GG5" i="8"/>
  <c r="GD5" i="8"/>
  <c r="GA5" i="8"/>
  <c r="FX5" i="8"/>
  <c r="FU5" i="8"/>
  <c r="FR5" i="8"/>
  <c r="FO5" i="8"/>
  <c r="FL5" i="8"/>
  <c r="FI5" i="8"/>
  <c r="FF5" i="8"/>
  <c r="EZ5" i="8"/>
  <c r="EW5" i="8"/>
  <c r="EK5" i="8"/>
  <c r="EH5" i="8"/>
  <c r="DV5" i="8"/>
  <c r="DS5" i="8"/>
  <c r="DD5" i="8"/>
  <c r="DA5" i="8"/>
  <c r="CX5" i="8"/>
  <c r="CU5" i="8"/>
  <c r="CO5" i="8"/>
  <c r="CR5" i="8" s="1"/>
  <c r="CL5" i="8"/>
  <c r="CI5" i="8"/>
  <c r="CF5" i="8"/>
  <c r="CC5" i="8"/>
  <c r="BZ5" i="8"/>
  <c r="BW5" i="8"/>
  <c r="BT5" i="8"/>
  <c r="BQ5" i="8"/>
  <c r="BQ2" i="8" s="1"/>
  <c r="BN5" i="8"/>
  <c r="BK5" i="8"/>
  <c r="BH5" i="8"/>
  <c r="BE5" i="8"/>
  <c r="BB5" i="8"/>
  <c r="AY5" i="8"/>
  <c r="AV5" i="8"/>
  <c r="AV2" i="8" s="1"/>
  <c r="AS5" i="8"/>
  <c r="AS2" i="8" s="1"/>
  <c r="AP5" i="8"/>
  <c r="AM5" i="8"/>
  <c r="AJ5" i="8"/>
  <c r="AG5" i="8"/>
  <c r="AF5" i="8"/>
  <c r="AE5" i="8"/>
  <c r="AD5" i="8"/>
  <c r="AD32" i="8" s="1"/>
  <c r="AC5" i="8"/>
  <c r="Z5" i="8"/>
  <c r="W5" i="8"/>
  <c r="FX2" i="8"/>
  <c r="DA46" i="6"/>
  <c r="DA44" i="6"/>
  <c r="Z44" i="6"/>
  <c r="DA43" i="6"/>
  <c r="DA25" i="6" s="1"/>
  <c r="CU43" i="6"/>
  <c r="Z43" i="6"/>
  <c r="DA42" i="6"/>
  <c r="CU42" i="6"/>
  <c r="Z42" i="6"/>
  <c r="HE41" i="6"/>
  <c r="DA41" i="6"/>
  <c r="CU41" i="6"/>
  <c r="HE40" i="6"/>
  <c r="HE37" i="6" s="1"/>
  <c r="DA40" i="6"/>
  <c r="CU40" i="6"/>
  <c r="HE39" i="6"/>
  <c r="DA39" i="6"/>
  <c r="DA24" i="6" s="1"/>
  <c r="CU39" i="6"/>
  <c r="Z39" i="6"/>
  <c r="HE38" i="6"/>
  <c r="CU38" i="6"/>
  <c r="CU37" i="6"/>
  <c r="AG37" i="6"/>
  <c r="HE36" i="6"/>
  <c r="DA36" i="6"/>
  <c r="CU36" i="6"/>
  <c r="AF36" i="6"/>
  <c r="Z36" i="6"/>
  <c r="W36" i="6"/>
  <c r="HE35" i="6"/>
  <c r="DA35" i="6"/>
  <c r="CU35" i="6"/>
  <c r="BN35" i="6"/>
  <c r="BK35" i="6"/>
  <c r="BE35" i="6"/>
  <c r="BB35" i="6"/>
  <c r="AV35" i="6"/>
  <c r="AS35" i="6"/>
  <c r="AM35" i="6"/>
  <c r="AJ35" i="6"/>
  <c r="AE35" i="6"/>
  <c r="AD35" i="6"/>
  <c r="AC35" i="6"/>
  <c r="Z35" i="6"/>
  <c r="W35" i="6"/>
  <c r="HE34" i="6"/>
  <c r="DA34" i="6"/>
  <c r="CU34" i="6"/>
  <c r="BN34" i="6"/>
  <c r="BK34" i="6"/>
  <c r="BE34" i="6"/>
  <c r="BB34" i="6"/>
  <c r="AV34" i="6"/>
  <c r="AS34" i="6"/>
  <c r="AM34" i="6"/>
  <c r="AJ34" i="6"/>
  <c r="DA33" i="6"/>
  <c r="BZ33" i="6"/>
  <c r="BZ10" i="6" s="1"/>
  <c r="BN33" i="6"/>
  <c r="BK33" i="6"/>
  <c r="BE33" i="6"/>
  <c r="BB33" i="6"/>
  <c r="AV33" i="6"/>
  <c r="AS33" i="6"/>
  <c r="AM33" i="6"/>
  <c r="AJ33" i="6"/>
  <c r="Z33" i="6"/>
  <c r="W33" i="6"/>
  <c r="HE32" i="6"/>
  <c r="DA32" i="6"/>
  <c r="CU44" i="6"/>
  <c r="BZ32" i="6"/>
  <c r="BN32" i="6"/>
  <c r="BK32" i="6"/>
  <c r="BE32" i="6"/>
  <c r="BB32" i="6"/>
  <c r="AV32" i="6"/>
  <c r="AV21" i="6" s="1"/>
  <c r="AS32" i="6"/>
  <c r="AM32" i="6"/>
  <c r="AJ32" i="6"/>
  <c r="Z32" i="6"/>
  <c r="W32" i="6"/>
  <c r="HE31" i="6"/>
  <c r="DA31" i="6"/>
  <c r="CU31" i="6"/>
  <c r="CF31" i="6"/>
  <c r="CC31" i="6"/>
  <c r="BZ31" i="6"/>
  <c r="BN31" i="6"/>
  <c r="BK31" i="6"/>
  <c r="BE31" i="6"/>
  <c r="BB31" i="6"/>
  <c r="AV31" i="6"/>
  <c r="AS31" i="6"/>
  <c r="AM31" i="6"/>
  <c r="AJ31" i="6"/>
  <c r="Z31" i="6"/>
  <c r="W31" i="6"/>
  <c r="HE30" i="6"/>
  <c r="DA30" i="6"/>
  <c r="CU30" i="6"/>
  <c r="CO30" i="6"/>
  <c r="CL30" i="6"/>
  <c r="CF30" i="6"/>
  <c r="CC30" i="6"/>
  <c r="BZ30" i="6"/>
  <c r="BN30" i="6"/>
  <c r="BK30" i="6"/>
  <c r="BE30" i="6"/>
  <c r="BB30" i="6"/>
  <c r="AV30" i="6"/>
  <c r="AS30" i="6"/>
  <c r="AM30" i="6"/>
  <c r="AJ30" i="6"/>
  <c r="Z30" i="6"/>
  <c r="W30" i="6"/>
  <c r="HE29" i="6"/>
  <c r="DA29" i="6"/>
  <c r="CU29" i="6"/>
  <c r="CO29" i="6"/>
  <c r="CF29" i="6"/>
  <c r="CC29" i="6"/>
  <c r="BZ29" i="6"/>
  <c r="BN29" i="6"/>
  <c r="BK29" i="6"/>
  <c r="BE29" i="6"/>
  <c r="BB29" i="6"/>
  <c r="AV29" i="6"/>
  <c r="AS29" i="6"/>
  <c r="AM29" i="6"/>
  <c r="AM25" i="6" s="1"/>
  <c r="AJ29" i="6"/>
  <c r="Z29" i="6"/>
  <c r="W29" i="6"/>
  <c r="HE28" i="6"/>
  <c r="DA28" i="6"/>
  <c r="CU28" i="6"/>
  <c r="CO28" i="6"/>
  <c r="CF28" i="6"/>
  <c r="CC28" i="6"/>
  <c r="BZ28" i="6"/>
  <c r="BN28" i="6"/>
  <c r="BK28" i="6"/>
  <c r="BE28" i="6"/>
  <c r="BB28" i="6"/>
  <c r="AV28" i="6"/>
  <c r="AS28" i="6"/>
  <c r="AM28" i="6"/>
  <c r="AJ28" i="6"/>
  <c r="AG28" i="6"/>
  <c r="AF28" i="6"/>
  <c r="AE28" i="6"/>
  <c r="AE27" i="6" s="1"/>
  <c r="AD28" i="6"/>
  <c r="AD27" i="6" s="1"/>
  <c r="AC28" i="6"/>
  <c r="AC27" i="6" s="1"/>
  <c r="Z28" i="6"/>
  <c r="W28" i="6"/>
  <c r="HE27" i="6"/>
  <c r="HB27" i="6"/>
  <c r="GM27" i="6"/>
  <c r="FI27" i="6"/>
  <c r="ET27" i="6"/>
  <c r="EE27" i="6"/>
  <c r="DA27" i="6"/>
  <c r="CU27" i="6"/>
  <c r="CO27" i="6"/>
  <c r="CL27" i="6"/>
  <c r="CF27" i="6"/>
  <c r="CC27" i="6"/>
  <c r="BZ27" i="6"/>
  <c r="BZ17" i="6" s="1"/>
  <c r="BW27" i="6"/>
  <c r="BT27" i="6"/>
  <c r="BN27" i="6"/>
  <c r="BK27" i="6"/>
  <c r="BK26" i="6" s="1"/>
  <c r="BE27" i="6"/>
  <c r="BB27" i="6"/>
  <c r="AV27" i="6"/>
  <c r="AS27" i="6"/>
  <c r="AS26" i="6" s="1"/>
  <c r="AM27" i="6"/>
  <c r="AJ27" i="6"/>
  <c r="AG27" i="6"/>
  <c r="AF27" i="6"/>
  <c r="Z27" i="6"/>
  <c r="Z40" i="6" s="1"/>
  <c r="W27" i="6"/>
  <c r="W39" i="6" s="1"/>
  <c r="HE26" i="6"/>
  <c r="HB26" i="6"/>
  <c r="HB24" i="6" s="1"/>
  <c r="GM26" i="6"/>
  <c r="FI26" i="6"/>
  <c r="ET26" i="6"/>
  <c r="EE26" i="6"/>
  <c r="DP26" i="6"/>
  <c r="DG26" i="6"/>
  <c r="DA26" i="6"/>
  <c r="DA23" i="6" s="1"/>
  <c r="CU26" i="6"/>
  <c r="CU24" i="6" s="1"/>
  <c r="CO26" i="6"/>
  <c r="CL26" i="6"/>
  <c r="CF26" i="6"/>
  <c r="CC26" i="6"/>
  <c r="BZ26" i="6"/>
  <c r="BW26" i="6"/>
  <c r="BT26" i="6"/>
  <c r="BN26" i="6"/>
  <c r="BE26" i="6"/>
  <c r="BB26" i="6"/>
  <c r="AV26" i="6"/>
  <c r="AM26" i="6"/>
  <c r="AJ26" i="6"/>
  <c r="AG26" i="6"/>
  <c r="AG30" i="6" s="1"/>
  <c r="HE25" i="6"/>
  <c r="HB25" i="6"/>
  <c r="HB23" i="6" s="1"/>
  <c r="GM25" i="6"/>
  <c r="GM23" i="6" s="1"/>
  <c r="FI25" i="6"/>
  <c r="ET25" i="6"/>
  <c r="EE25" i="6"/>
  <c r="EE23" i="6" s="1"/>
  <c r="DP25" i="6"/>
  <c r="DP23" i="6" s="1"/>
  <c r="CX25" i="6"/>
  <c r="CU25" i="6"/>
  <c r="CO25" i="6"/>
  <c r="CO23" i="6" s="1"/>
  <c r="CL25" i="6"/>
  <c r="CF25" i="6"/>
  <c r="CC25" i="6"/>
  <c r="BZ25" i="6"/>
  <c r="BW25" i="6"/>
  <c r="BT25" i="6"/>
  <c r="BN25" i="6"/>
  <c r="BK25" i="6"/>
  <c r="AV25" i="6"/>
  <c r="AS25" i="6"/>
  <c r="AJ25" i="6"/>
  <c r="AG25" i="6"/>
  <c r="AF25" i="6"/>
  <c r="AE25" i="6"/>
  <c r="AD25" i="6"/>
  <c r="AC25" i="6"/>
  <c r="GM24" i="6"/>
  <c r="FI24" i="6"/>
  <c r="ET24" i="6"/>
  <c r="EE24" i="6"/>
  <c r="DP24" i="6"/>
  <c r="CX24" i="6"/>
  <c r="CO24" i="6"/>
  <c r="CL24" i="6"/>
  <c r="CF24" i="6"/>
  <c r="CC24" i="6"/>
  <c r="BZ24" i="6"/>
  <c r="BW24" i="6"/>
  <c r="BN24" i="6"/>
  <c r="BN21" i="6" s="1"/>
  <c r="BK24" i="6"/>
  <c r="BE24" i="6"/>
  <c r="BB24" i="6"/>
  <c r="AV24" i="6"/>
  <c r="AS24" i="6"/>
  <c r="AS21" i="6" s="1"/>
  <c r="AM24" i="6"/>
  <c r="AJ24" i="6"/>
  <c r="AG24" i="6"/>
  <c r="AF24" i="6"/>
  <c r="AE24" i="6"/>
  <c r="AD24" i="6"/>
  <c r="AC24" i="6"/>
  <c r="FI23" i="6"/>
  <c r="ET23" i="6"/>
  <c r="DG23" i="6"/>
  <c r="CR23" i="6"/>
  <c r="CL23" i="6"/>
  <c r="BZ23" i="6"/>
  <c r="BW23" i="6"/>
  <c r="AG23" i="6"/>
  <c r="AF23" i="6"/>
  <c r="AE23" i="6"/>
  <c r="AD23" i="6"/>
  <c r="AC23" i="6"/>
  <c r="HB22" i="6"/>
  <c r="GM22" i="6"/>
  <c r="FI22" i="6"/>
  <c r="FI16" i="6" s="1"/>
  <c r="ET22" i="6"/>
  <c r="EE22" i="6"/>
  <c r="EE16" i="6" s="1"/>
  <c r="DP22" i="6"/>
  <c r="DD22" i="6"/>
  <c r="CO22" i="6"/>
  <c r="CR22" i="6" s="1"/>
  <c r="CL22" i="6"/>
  <c r="CL19" i="6" s="1"/>
  <c r="CF22" i="6"/>
  <c r="CC22" i="6"/>
  <c r="BZ22" i="6"/>
  <c r="BW22" i="6"/>
  <c r="HB21" i="6"/>
  <c r="GM21" i="6"/>
  <c r="FI21" i="6"/>
  <c r="ET21" i="6"/>
  <c r="EE21" i="6"/>
  <c r="DP21" i="6"/>
  <c r="DD21" i="6"/>
  <c r="BZ21" i="6"/>
  <c r="BW21" i="6"/>
  <c r="AG21" i="6"/>
  <c r="AF21" i="6"/>
  <c r="AE21" i="6"/>
  <c r="AD21" i="6"/>
  <c r="AC21" i="6"/>
  <c r="HB20" i="6"/>
  <c r="GM20" i="6"/>
  <c r="FI20" i="6"/>
  <c r="ET20" i="6"/>
  <c r="ET16" i="6" s="1"/>
  <c r="EE20" i="6"/>
  <c r="DP20" i="6"/>
  <c r="DG20" i="6"/>
  <c r="DD20" i="6"/>
  <c r="BZ20" i="6"/>
  <c r="BW20" i="6"/>
  <c r="BW12" i="6" s="1"/>
  <c r="BT20" i="6"/>
  <c r="AG20" i="6"/>
  <c r="AF20" i="6"/>
  <c r="AE20" i="6"/>
  <c r="AD20" i="6"/>
  <c r="AC20" i="6"/>
  <c r="HB19" i="6"/>
  <c r="GM19" i="6"/>
  <c r="GA19" i="6"/>
  <c r="GA18" i="6" s="1"/>
  <c r="FL19" i="6"/>
  <c r="FI19" i="6"/>
  <c r="EW19" i="6"/>
  <c r="ET19" i="6"/>
  <c r="EH19" i="6"/>
  <c r="EE19" i="6"/>
  <c r="DS19" i="6"/>
  <c r="DS18" i="6" s="1"/>
  <c r="DP19" i="6"/>
  <c r="DP11" i="6" s="1"/>
  <c r="DP6" i="6" s="1"/>
  <c r="CX19" i="6"/>
  <c r="BZ19" i="6"/>
  <c r="BW19" i="6"/>
  <c r="BT19" i="6"/>
  <c r="AG19" i="6"/>
  <c r="AF19" i="6"/>
  <c r="AE19" i="6"/>
  <c r="AD19" i="6"/>
  <c r="AC19" i="6"/>
  <c r="HB18" i="6"/>
  <c r="GP18" i="6"/>
  <c r="GM18" i="6"/>
  <c r="FL18" i="6"/>
  <c r="FI18" i="6"/>
  <c r="EW18" i="6"/>
  <c r="ET18" i="6"/>
  <c r="EH18" i="6"/>
  <c r="EE18" i="6"/>
  <c r="DP18" i="6"/>
  <c r="CX18" i="6"/>
  <c r="BZ18" i="6"/>
  <c r="BZ16" i="6" s="1"/>
  <c r="BW18" i="6"/>
  <c r="BT18" i="6"/>
  <c r="AG18" i="6"/>
  <c r="AF18" i="6"/>
  <c r="AE18" i="6"/>
  <c r="AD18" i="6"/>
  <c r="AC18" i="6"/>
  <c r="HB17" i="6"/>
  <c r="GP17" i="6"/>
  <c r="GM17" i="6"/>
  <c r="FI17" i="6"/>
  <c r="ET17" i="6"/>
  <c r="EE17" i="6"/>
  <c r="DP17" i="6"/>
  <c r="DD17" i="6"/>
  <c r="DM9" i="6" s="1"/>
  <c r="CX17" i="6"/>
  <c r="BW17" i="6"/>
  <c r="BW15" i="6" s="1"/>
  <c r="BT17" i="6"/>
  <c r="AG17" i="6"/>
  <c r="AF17" i="6"/>
  <c r="AF33" i="6" s="1"/>
  <c r="AE17" i="6"/>
  <c r="AD17" i="6"/>
  <c r="AC17" i="6"/>
  <c r="HB16" i="6"/>
  <c r="GM16" i="6"/>
  <c r="GA16" i="6"/>
  <c r="FL16" i="6"/>
  <c r="EW16" i="6"/>
  <c r="EH16" i="6"/>
  <c r="DP16" i="6"/>
  <c r="DG16" i="6"/>
  <c r="DG7" i="6" s="1"/>
  <c r="DD16" i="6"/>
  <c r="CX16" i="6"/>
  <c r="BW16" i="6"/>
  <c r="BT16" i="6"/>
  <c r="BQ16" i="6"/>
  <c r="BN16" i="6"/>
  <c r="BK16" i="6"/>
  <c r="BH16" i="6"/>
  <c r="BE16" i="6"/>
  <c r="BB16" i="6"/>
  <c r="AY16" i="6"/>
  <c r="AV16" i="6"/>
  <c r="AS16" i="6"/>
  <c r="AP16" i="6"/>
  <c r="AM16" i="6"/>
  <c r="AJ16" i="6"/>
  <c r="AG16" i="6"/>
  <c r="AF16" i="6"/>
  <c r="AE16" i="6"/>
  <c r="AD16" i="6"/>
  <c r="AC16" i="6"/>
  <c r="HB15" i="6"/>
  <c r="GP15" i="6"/>
  <c r="GM15" i="6"/>
  <c r="FI15" i="6"/>
  <c r="ET15" i="6"/>
  <c r="DP15" i="6"/>
  <c r="DD15" i="6"/>
  <c r="CX15" i="6"/>
  <c r="BT15" i="6"/>
  <c r="BQ15" i="6"/>
  <c r="BN15" i="6"/>
  <c r="BK15" i="6"/>
  <c r="BH15" i="6"/>
  <c r="BE15" i="6"/>
  <c r="BB15" i="6"/>
  <c r="AY15" i="6"/>
  <c r="AV15" i="6"/>
  <c r="AS15" i="6"/>
  <c r="AP15" i="6"/>
  <c r="AM15" i="6"/>
  <c r="AJ15" i="6"/>
  <c r="HE14" i="6"/>
  <c r="HB14" i="6"/>
  <c r="GP14" i="6"/>
  <c r="GY14" i="6" s="1"/>
  <c r="GM14" i="6"/>
  <c r="GA14" i="6"/>
  <c r="GJ14" i="6" s="1"/>
  <c r="FL14" i="6"/>
  <c r="FU7" i="6" s="1"/>
  <c r="FI14" i="6"/>
  <c r="FF14" i="6"/>
  <c r="EW14" i="6"/>
  <c r="ET14" i="6"/>
  <c r="EH14" i="6"/>
  <c r="EQ14" i="6" s="1"/>
  <c r="EE14" i="6"/>
  <c r="EB14" i="6"/>
  <c r="DY14" i="6"/>
  <c r="DS14" i="6"/>
  <c r="EB15" i="6" s="1"/>
  <c r="DP14" i="6"/>
  <c r="DD14" i="6"/>
  <c r="CX14" i="6"/>
  <c r="CI14" i="6"/>
  <c r="CF14" i="6"/>
  <c r="CC14" i="6"/>
  <c r="BW14" i="6"/>
  <c r="BT14" i="6"/>
  <c r="BQ14" i="6"/>
  <c r="BN14" i="6"/>
  <c r="BK14" i="6"/>
  <c r="BH14" i="6"/>
  <c r="BE14" i="6"/>
  <c r="BB14" i="6"/>
  <c r="AY14" i="6"/>
  <c r="AV14" i="6"/>
  <c r="AS14" i="6"/>
  <c r="AP14" i="6"/>
  <c r="AM14" i="6"/>
  <c r="AJ14" i="6"/>
  <c r="AG14" i="6"/>
  <c r="AF14" i="6"/>
  <c r="AE14" i="6"/>
  <c r="AD14" i="6"/>
  <c r="AC14" i="6"/>
  <c r="Z14" i="6"/>
  <c r="W14" i="6"/>
  <c r="HB13" i="6"/>
  <c r="GY13" i="6"/>
  <c r="GV13" i="6"/>
  <c r="GP13" i="6"/>
  <c r="GP7" i="6" s="1"/>
  <c r="GM13" i="6"/>
  <c r="GJ13" i="6"/>
  <c r="GG13" i="6"/>
  <c r="GA13" i="6"/>
  <c r="FL13" i="6"/>
  <c r="FI13" i="6"/>
  <c r="FF13" i="6"/>
  <c r="FC13" i="6"/>
  <c r="EW13" i="6"/>
  <c r="ET13" i="6"/>
  <c r="EQ13" i="6"/>
  <c r="EN13" i="6"/>
  <c r="EH13" i="6"/>
  <c r="EE13" i="6"/>
  <c r="EB13" i="6"/>
  <c r="DY13" i="6"/>
  <c r="DS13" i="6"/>
  <c r="DP13" i="6"/>
  <c r="DD13" i="6"/>
  <c r="CX13" i="6"/>
  <c r="CU13" i="6"/>
  <c r="CO13" i="6"/>
  <c r="CL13" i="6"/>
  <c r="CI13" i="6"/>
  <c r="CF13" i="6"/>
  <c r="CC13" i="6"/>
  <c r="BW13" i="6"/>
  <c r="BT13" i="6"/>
  <c r="BQ13" i="6"/>
  <c r="BN13" i="6"/>
  <c r="BK13" i="6"/>
  <c r="BH13" i="6"/>
  <c r="BE13" i="6"/>
  <c r="BB13" i="6"/>
  <c r="AY13" i="6"/>
  <c r="AV13" i="6"/>
  <c r="AS13" i="6"/>
  <c r="AP13" i="6"/>
  <c r="AM13" i="6"/>
  <c r="AJ13" i="6"/>
  <c r="AG13" i="6"/>
  <c r="AF13" i="6"/>
  <c r="Z13" i="6"/>
  <c r="W13" i="6"/>
  <c r="HB12" i="6"/>
  <c r="GY12" i="6"/>
  <c r="GV12" i="6"/>
  <c r="GP12" i="6"/>
  <c r="GM12" i="6"/>
  <c r="GJ12" i="6"/>
  <c r="GG12" i="6"/>
  <c r="GA12" i="6"/>
  <c r="GA7" i="6" s="1"/>
  <c r="FL12" i="6"/>
  <c r="FI12" i="6"/>
  <c r="FI2" i="6" s="1"/>
  <c r="FF12" i="6"/>
  <c r="FC12" i="6"/>
  <c r="EW12" i="6"/>
  <c r="ET12" i="6"/>
  <c r="EQ12" i="6"/>
  <c r="EN12" i="6"/>
  <c r="EH12" i="6"/>
  <c r="EE12" i="6"/>
  <c r="EB12" i="6"/>
  <c r="DY12" i="6"/>
  <c r="DS12" i="6"/>
  <c r="DP12" i="6"/>
  <c r="DD12" i="6"/>
  <c r="DA12" i="6"/>
  <c r="CX12" i="6"/>
  <c r="CU12" i="6"/>
  <c r="CO12" i="6"/>
  <c r="CI12" i="6"/>
  <c r="CF12" i="6"/>
  <c r="CC12" i="6"/>
  <c r="BZ12" i="6"/>
  <c r="BT12" i="6"/>
  <c r="BQ12" i="6"/>
  <c r="BN12" i="6"/>
  <c r="BK12" i="6"/>
  <c r="BH12" i="6"/>
  <c r="BE12" i="6"/>
  <c r="BB12" i="6"/>
  <c r="AY12" i="6"/>
  <c r="AV12" i="6"/>
  <c r="AS12" i="6"/>
  <c r="AP12" i="6"/>
  <c r="AM12" i="6"/>
  <c r="AJ12" i="6"/>
  <c r="AG12" i="6"/>
  <c r="AF12" i="6"/>
  <c r="HE11" i="6"/>
  <c r="HB11" i="6"/>
  <c r="GY11" i="6"/>
  <c r="GV11" i="6"/>
  <c r="GP11" i="6"/>
  <c r="GM11" i="6"/>
  <c r="GJ11" i="6"/>
  <c r="GG11" i="6"/>
  <c r="GA11" i="6"/>
  <c r="FL11" i="6"/>
  <c r="FI11" i="6"/>
  <c r="FF11" i="6"/>
  <c r="FC11" i="6"/>
  <c r="EW11" i="6"/>
  <c r="ET11" i="6"/>
  <c r="EQ11" i="6"/>
  <c r="EN11" i="6"/>
  <c r="EH11" i="6"/>
  <c r="EE11" i="6"/>
  <c r="EB11" i="6"/>
  <c r="DY11" i="6"/>
  <c r="DS11" i="6"/>
  <c r="DG11" i="6"/>
  <c r="DG6" i="6" s="1"/>
  <c r="DD11" i="6"/>
  <c r="DD10" i="6" s="1"/>
  <c r="DA11" i="6"/>
  <c r="DA10" i="6" s="1"/>
  <c r="CO11" i="6"/>
  <c r="CI11" i="6"/>
  <c r="CF11" i="6"/>
  <c r="CC11" i="6"/>
  <c r="BZ11" i="6"/>
  <c r="BQ11" i="6"/>
  <c r="BN11" i="6"/>
  <c r="BK11" i="6"/>
  <c r="BH11" i="6"/>
  <c r="BE11" i="6"/>
  <c r="BB11" i="6"/>
  <c r="AY11" i="6"/>
  <c r="AV11" i="6"/>
  <c r="AS11" i="6"/>
  <c r="AP11" i="6"/>
  <c r="AM11" i="6"/>
  <c r="AJ11" i="6"/>
  <c r="AG11" i="6"/>
  <c r="AF11" i="6"/>
  <c r="AF26" i="6" s="1"/>
  <c r="AF30" i="6" s="1"/>
  <c r="AE11" i="6"/>
  <c r="AE26" i="6" s="1"/>
  <c r="AD11" i="6"/>
  <c r="AD26" i="6" s="1"/>
  <c r="AC11" i="6"/>
  <c r="AC26" i="6" s="1"/>
  <c r="AC30" i="6" s="1"/>
  <c r="Z11" i="6"/>
  <c r="W11" i="6"/>
  <c r="W16" i="6" s="1"/>
  <c r="HE10" i="6"/>
  <c r="HB10" i="6"/>
  <c r="GY10" i="6"/>
  <c r="GV10" i="6"/>
  <c r="GP10" i="6"/>
  <c r="GM10" i="6"/>
  <c r="GJ10" i="6"/>
  <c r="GG10" i="6"/>
  <c r="GA10" i="6"/>
  <c r="FL10" i="6"/>
  <c r="FI10" i="6"/>
  <c r="FF10" i="6"/>
  <c r="FC10" i="6"/>
  <c r="EW10" i="6"/>
  <c r="ET10" i="6"/>
  <c r="EQ10" i="6"/>
  <c r="EN10" i="6"/>
  <c r="EH10" i="6"/>
  <c r="EE10" i="6"/>
  <c r="EB10" i="6"/>
  <c r="DY10" i="6"/>
  <c r="DS10" i="6"/>
  <c r="DP10" i="6"/>
  <c r="DG10" i="6"/>
  <c r="DG5" i="6" s="1"/>
  <c r="CX10" i="6"/>
  <c r="CU10" i="6"/>
  <c r="CO10" i="6"/>
  <c r="CL10" i="6"/>
  <c r="CI10" i="6"/>
  <c r="CF10" i="6"/>
  <c r="CC10" i="6"/>
  <c r="BT10" i="6"/>
  <c r="BQ10" i="6"/>
  <c r="BN10" i="6"/>
  <c r="BK10" i="6"/>
  <c r="BH10" i="6"/>
  <c r="BE10" i="6"/>
  <c r="BB10" i="6"/>
  <c r="AY10" i="6"/>
  <c r="AV10" i="6"/>
  <c r="AS10" i="6"/>
  <c r="AS6" i="6" s="1"/>
  <c r="AP10" i="6"/>
  <c r="AP6" i="6" s="1"/>
  <c r="AM10" i="6"/>
  <c r="AM6" i="6" s="1"/>
  <c r="AM2" i="6" s="1"/>
  <c r="AJ10" i="6"/>
  <c r="AJ6" i="6" s="1"/>
  <c r="AJ2" i="6" s="1"/>
  <c r="Z10" i="6"/>
  <c r="W10" i="6"/>
  <c r="HE9" i="6"/>
  <c r="HB9" i="6"/>
  <c r="GY9" i="6"/>
  <c r="GV9" i="6"/>
  <c r="GP9" i="6"/>
  <c r="GM9" i="6"/>
  <c r="GJ9" i="6"/>
  <c r="GG9" i="6"/>
  <c r="GA9" i="6"/>
  <c r="FL9" i="6"/>
  <c r="FI9" i="6"/>
  <c r="FF9" i="6"/>
  <c r="FC9" i="6"/>
  <c r="EW9" i="6"/>
  <c r="EW7" i="6" s="1"/>
  <c r="EW2" i="6" s="1"/>
  <c r="ET9" i="6"/>
  <c r="EQ9" i="6"/>
  <c r="EN9" i="6"/>
  <c r="EH9" i="6"/>
  <c r="EE9" i="6"/>
  <c r="EB9" i="6"/>
  <c r="DY9" i="6"/>
  <c r="DS9" i="6"/>
  <c r="DP9" i="6"/>
  <c r="DD9" i="6"/>
  <c r="DA9" i="6"/>
  <c r="CX9" i="6"/>
  <c r="CU9" i="6"/>
  <c r="CO9" i="6"/>
  <c r="CO7" i="6" s="1"/>
  <c r="CL9" i="6"/>
  <c r="CI9" i="6"/>
  <c r="CF9" i="6"/>
  <c r="CC9" i="6"/>
  <c r="BZ9" i="6"/>
  <c r="BW9" i="6"/>
  <c r="BT9" i="6"/>
  <c r="BT28" i="6" s="1"/>
  <c r="BQ9" i="6"/>
  <c r="BN9" i="6"/>
  <c r="BK9" i="6"/>
  <c r="BH9" i="6"/>
  <c r="BE9" i="6"/>
  <c r="BB9" i="6"/>
  <c r="AY9" i="6"/>
  <c r="AV9" i="6"/>
  <c r="AS9" i="6"/>
  <c r="AP9" i="6"/>
  <c r="AM9" i="6"/>
  <c r="AJ9" i="6"/>
  <c r="AG9" i="6"/>
  <c r="AF9" i="6"/>
  <c r="AE9" i="6"/>
  <c r="AD9" i="6"/>
  <c r="AC9" i="6"/>
  <c r="Z9" i="6"/>
  <c r="Z19" i="6" s="1"/>
  <c r="W9" i="6"/>
  <c r="HE8" i="6"/>
  <c r="HB8" i="6"/>
  <c r="GY8" i="6"/>
  <c r="GV8" i="6"/>
  <c r="GP8" i="6"/>
  <c r="GM8" i="6"/>
  <c r="GM6" i="6" s="1"/>
  <c r="GJ8" i="6"/>
  <c r="GJ6" i="6" s="1"/>
  <c r="GG8" i="6"/>
  <c r="GA8" i="6"/>
  <c r="FL8" i="6"/>
  <c r="FI8" i="6"/>
  <c r="FF8" i="6"/>
  <c r="FC8" i="6"/>
  <c r="FC6" i="6" s="1"/>
  <c r="EW8" i="6"/>
  <c r="ET8" i="6"/>
  <c r="ET6" i="6" s="1"/>
  <c r="EQ8" i="6"/>
  <c r="EN8" i="6"/>
  <c r="EH8" i="6"/>
  <c r="EE8" i="6"/>
  <c r="EB8" i="6"/>
  <c r="DY8" i="6"/>
  <c r="DY6" i="6" s="1"/>
  <c r="DS8" i="6"/>
  <c r="DS7" i="6" s="1"/>
  <c r="DS2" i="6" s="1"/>
  <c r="DP8" i="6"/>
  <c r="DM8" i="6"/>
  <c r="DM6" i="6" s="1"/>
  <c r="DJ8" i="6"/>
  <c r="DJ6" i="6" s="1"/>
  <c r="DD8" i="6"/>
  <c r="DD7" i="6" s="1"/>
  <c r="DA8" i="6"/>
  <c r="CX8" i="6"/>
  <c r="CU8" i="6"/>
  <c r="CO8" i="6"/>
  <c r="CO6" i="6" s="1"/>
  <c r="CL8" i="6"/>
  <c r="CL2" i="6" s="1"/>
  <c r="CI8" i="6"/>
  <c r="CF8" i="6"/>
  <c r="CF7" i="6" s="1"/>
  <c r="CC8" i="6"/>
  <c r="CC7" i="6" s="1"/>
  <c r="BZ8" i="6"/>
  <c r="BW8" i="6"/>
  <c r="BT8" i="6"/>
  <c r="BT22" i="6" s="1"/>
  <c r="BQ8" i="6"/>
  <c r="BQ7" i="6" s="1"/>
  <c r="BN8" i="6"/>
  <c r="BN7" i="6" s="1"/>
  <c r="BK8" i="6"/>
  <c r="BH8" i="6"/>
  <c r="BH7" i="6" s="1"/>
  <c r="BE8" i="6"/>
  <c r="BE7" i="6" s="1"/>
  <c r="BB8" i="6"/>
  <c r="AY8" i="6"/>
  <c r="AV8" i="6"/>
  <c r="AS8" i="6"/>
  <c r="AS7" i="6" s="1"/>
  <c r="AS2" i="6" s="1"/>
  <c r="AP8" i="6"/>
  <c r="AP7" i="6" s="1"/>
  <c r="AM8" i="6"/>
  <c r="AJ8" i="6"/>
  <c r="AJ7" i="6" s="1"/>
  <c r="AG8" i="6"/>
  <c r="AF8" i="6"/>
  <c r="AE8" i="6"/>
  <c r="AD8" i="6"/>
  <c r="AC8" i="6"/>
  <c r="AC34" i="6" s="1"/>
  <c r="Z8" i="6"/>
  <c r="W8" i="6"/>
  <c r="HE7" i="6"/>
  <c r="HB7" i="6"/>
  <c r="HB5" i="6" s="1"/>
  <c r="GY7" i="6"/>
  <c r="GV7" i="6"/>
  <c r="GM7" i="6"/>
  <c r="GM5" i="6" s="1"/>
  <c r="GJ7" i="6"/>
  <c r="GJ5" i="6" s="1"/>
  <c r="GG7" i="6"/>
  <c r="FI7" i="6"/>
  <c r="FF7" i="6"/>
  <c r="FF5" i="6" s="1"/>
  <c r="FC7" i="6"/>
  <c r="FC5" i="6" s="1"/>
  <c r="ET7" i="6"/>
  <c r="ET5" i="6" s="1"/>
  <c r="EQ7" i="6"/>
  <c r="EN7" i="6"/>
  <c r="EE7" i="6"/>
  <c r="EE5" i="6" s="1"/>
  <c r="EB7" i="6"/>
  <c r="EB5" i="6" s="1"/>
  <c r="DY7" i="6"/>
  <c r="DY5" i="6" s="1"/>
  <c r="DM7" i="6"/>
  <c r="DM5" i="6" s="1"/>
  <c r="DJ7" i="6"/>
  <c r="DA7" i="6"/>
  <c r="CX7" i="6"/>
  <c r="CU7" i="6"/>
  <c r="CL7" i="6"/>
  <c r="CI7" i="6"/>
  <c r="BZ7" i="6"/>
  <c r="BW7" i="6"/>
  <c r="BT7" i="6"/>
  <c r="BK7" i="6"/>
  <c r="BB7" i="6"/>
  <c r="AY7" i="6"/>
  <c r="AV7" i="6"/>
  <c r="AM7" i="6"/>
  <c r="Z7" i="6"/>
  <c r="W7" i="6"/>
  <c r="HE6" i="6"/>
  <c r="HB6" i="6"/>
  <c r="GY6" i="6"/>
  <c r="GV6" i="6"/>
  <c r="GP6" i="6"/>
  <c r="GG6" i="6"/>
  <c r="GD6" i="6"/>
  <c r="GA6" i="6"/>
  <c r="FU6" i="6"/>
  <c r="FR6" i="6"/>
  <c r="FL6" i="6"/>
  <c r="FI6" i="6"/>
  <c r="FF6" i="6"/>
  <c r="EZ6" i="6"/>
  <c r="EW6" i="6"/>
  <c r="EQ6" i="6"/>
  <c r="EN6" i="6"/>
  <c r="EK6" i="6"/>
  <c r="EH6" i="6"/>
  <c r="EE6" i="6"/>
  <c r="EB6" i="6"/>
  <c r="DV6" i="6"/>
  <c r="DS6" i="6"/>
  <c r="DD6" i="6"/>
  <c r="DA6" i="6"/>
  <c r="CX6" i="6"/>
  <c r="CU6" i="6"/>
  <c r="CR6" i="6"/>
  <c r="CL6" i="6"/>
  <c r="CI6" i="6"/>
  <c r="CI2" i="6" s="1"/>
  <c r="CF6" i="6"/>
  <c r="CC6" i="6"/>
  <c r="BZ6" i="6"/>
  <c r="BW6" i="6"/>
  <c r="BT6" i="6"/>
  <c r="BK6" i="6"/>
  <c r="BK2" i="6" s="1"/>
  <c r="BH6" i="6"/>
  <c r="BH2" i="6" s="1"/>
  <c r="BE6" i="6"/>
  <c r="AY6" i="6"/>
  <c r="AV6" i="6"/>
  <c r="Z6" i="6"/>
  <c r="W6" i="6"/>
  <c r="HE5" i="6"/>
  <c r="HE3" i="6" s="1"/>
  <c r="GY5" i="6"/>
  <c r="GV5" i="6"/>
  <c r="GS5" i="6"/>
  <c r="GP5" i="6"/>
  <c r="GG5" i="6"/>
  <c r="GD5" i="6"/>
  <c r="GA5" i="6"/>
  <c r="FX5" i="6"/>
  <c r="FU5" i="6"/>
  <c r="FR5" i="6"/>
  <c r="FO5" i="6"/>
  <c r="FL5" i="6"/>
  <c r="FI5" i="6"/>
  <c r="EZ5" i="6"/>
  <c r="EW5" i="6"/>
  <c r="EQ5" i="6"/>
  <c r="EN5" i="6"/>
  <c r="EK5" i="6"/>
  <c r="EH5" i="6"/>
  <c r="DV5" i="6"/>
  <c r="DS5" i="6"/>
  <c r="DJ5" i="6"/>
  <c r="DD5" i="6"/>
  <c r="DA5" i="6"/>
  <c r="CX5" i="6"/>
  <c r="CU5" i="6"/>
  <c r="CO5" i="6"/>
  <c r="CR5" i="6" s="1"/>
  <c r="CL5" i="6"/>
  <c r="CI5" i="6"/>
  <c r="CF5" i="6"/>
  <c r="CC5" i="6"/>
  <c r="CC2" i="6" s="1"/>
  <c r="BZ5" i="6"/>
  <c r="BZ15" i="6" s="1"/>
  <c r="BW5" i="6"/>
  <c r="BT5" i="6"/>
  <c r="BQ5" i="6"/>
  <c r="BN5" i="6"/>
  <c r="BK5" i="6"/>
  <c r="BH5" i="6"/>
  <c r="BE5" i="6"/>
  <c r="BE2" i="6" s="1"/>
  <c r="BB5" i="6"/>
  <c r="AY5" i="6"/>
  <c r="AV5" i="6"/>
  <c r="AS5" i="6"/>
  <c r="AP5" i="6"/>
  <c r="AP2" i="6" s="1"/>
  <c r="AM5" i="6"/>
  <c r="AJ5" i="6"/>
  <c r="AG5" i="6"/>
  <c r="AG34" i="6" s="1"/>
  <c r="AF5" i="6"/>
  <c r="AE5" i="6"/>
  <c r="AD5" i="6"/>
  <c r="AC5" i="6"/>
  <c r="Z5" i="6"/>
  <c r="W5" i="6"/>
  <c r="FX2" i="6"/>
  <c r="CF2" i="6"/>
  <c r="CU16" i="6" l="1"/>
  <c r="FC2" i="7"/>
  <c r="CU18" i="7" s="1"/>
  <c r="EZ2" i="7"/>
  <c r="DA17" i="7" s="1"/>
  <c r="FF2" i="7"/>
  <c r="GJ2" i="7"/>
  <c r="DA21" i="7"/>
  <c r="GG2" i="7"/>
  <c r="CU22" i="7" s="1"/>
  <c r="AE34" i="7"/>
  <c r="Z4" i="7"/>
  <c r="AP2" i="7"/>
  <c r="BN2" i="7"/>
  <c r="AC34" i="7"/>
  <c r="DY2" i="7"/>
  <c r="CU21" i="7" s="1"/>
  <c r="EB2" i="7"/>
  <c r="DV2" i="7"/>
  <c r="DA20" i="7" s="1"/>
  <c r="AJ2" i="7"/>
  <c r="W3" i="7"/>
  <c r="EE2" i="7"/>
  <c r="CL12" i="7"/>
  <c r="CO2" i="7" s="1"/>
  <c r="CR19" i="7"/>
  <c r="CO19" i="7"/>
  <c r="HE23" i="7"/>
  <c r="GP2" i="7"/>
  <c r="EQ2" i="7"/>
  <c r="EN2" i="7"/>
  <c r="CU20" i="7" s="1"/>
  <c r="EK2" i="7"/>
  <c r="DA19" i="7" s="1"/>
  <c r="AF33" i="7"/>
  <c r="HE33" i="7"/>
  <c r="HE24" i="7" s="1"/>
  <c r="CR2" i="7"/>
  <c r="W4" i="7"/>
  <c r="AC33" i="7"/>
  <c r="AS2" i="7"/>
  <c r="BQ2" i="7"/>
  <c r="DD2" i="7"/>
  <c r="FL2" i="7"/>
  <c r="BW12" i="7"/>
  <c r="BW10" i="7" s="1"/>
  <c r="Z18" i="7"/>
  <c r="AE33" i="7"/>
  <c r="AD34" i="7"/>
  <c r="Z19" i="7"/>
  <c r="BT23" i="7"/>
  <c r="BT4" i="7" s="1"/>
  <c r="CC6" i="7"/>
  <c r="CC2" i="7" s="1"/>
  <c r="CU15" i="7"/>
  <c r="W17" i="7"/>
  <c r="BT22" i="7"/>
  <c r="AG33" i="7"/>
  <c r="AF34" i="7"/>
  <c r="BH6" i="7"/>
  <c r="BH2" i="7" s="1"/>
  <c r="CF6" i="7"/>
  <c r="CF2" i="7" s="1"/>
  <c r="DA13" i="7"/>
  <c r="CU16" i="7"/>
  <c r="Z17" i="7"/>
  <c r="CX22" i="7"/>
  <c r="CX4" i="7" s="1"/>
  <c r="AS25" i="7"/>
  <c r="AS21" i="7" s="1"/>
  <c r="AC32" i="7"/>
  <c r="W40" i="7"/>
  <c r="W25" i="7" s="1"/>
  <c r="CI6" i="7"/>
  <c r="CI2" i="7" s="1"/>
  <c r="DA15" i="7"/>
  <c r="CC23" i="7"/>
  <c r="CC19" i="7" s="1"/>
  <c r="AV25" i="7"/>
  <c r="AV21" i="7" s="1"/>
  <c r="BN6" i="7"/>
  <c r="BT21" i="7"/>
  <c r="BT3" i="7" s="1"/>
  <c r="BB25" i="7"/>
  <c r="BB21" i="7" s="1"/>
  <c r="BE6" i="7"/>
  <c r="BE2" i="7" s="1"/>
  <c r="W3" i="8"/>
  <c r="CR2" i="8"/>
  <c r="Z3" i="8"/>
  <c r="EB2" i="8"/>
  <c r="DV2" i="8"/>
  <c r="DA20" i="8" s="1"/>
  <c r="DA3" i="8" s="1"/>
  <c r="W17" i="8"/>
  <c r="AD34" i="8"/>
  <c r="AC33" i="8"/>
  <c r="AC32" i="8"/>
  <c r="AC2" i="8" s="1"/>
  <c r="CI6" i="8"/>
  <c r="CI2" i="8" s="1"/>
  <c r="CF6" i="8"/>
  <c r="CF2" i="8" s="1"/>
  <c r="CF23" i="8"/>
  <c r="CF19" i="8" s="1"/>
  <c r="CC23" i="8"/>
  <c r="CC19" i="8" s="1"/>
  <c r="BK21" i="8"/>
  <c r="BE25" i="8"/>
  <c r="BE21" i="8" s="1"/>
  <c r="BB25" i="8"/>
  <c r="BB21" i="8" s="1"/>
  <c r="BH6" i="8"/>
  <c r="BH2" i="8" s="1"/>
  <c r="GP2" i="8"/>
  <c r="AY2" i="8"/>
  <c r="BW11" i="8"/>
  <c r="CU14" i="8"/>
  <c r="CU16" i="8"/>
  <c r="HE3" i="8"/>
  <c r="DA13" i="8"/>
  <c r="W16" i="8"/>
  <c r="AF34" i="8"/>
  <c r="BN21" i="8"/>
  <c r="HE33" i="8"/>
  <c r="HE24" i="8" s="1"/>
  <c r="AF32" i="8"/>
  <c r="AF2" i="8" s="1"/>
  <c r="BZ13" i="8"/>
  <c r="CX20" i="8"/>
  <c r="CX3" i="8" s="1"/>
  <c r="EH7" i="8"/>
  <c r="EH2" i="8" s="1"/>
  <c r="FL7" i="8"/>
  <c r="FL2" i="8" s="1"/>
  <c r="AG34" i="8"/>
  <c r="AJ21" i="8"/>
  <c r="BT24" i="8"/>
  <c r="CR19" i="8"/>
  <c r="CO19" i="8"/>
  <c r="AD33" i="8"/>
  <c r="AD2" i="8" s="1"/>
  <c r="W41" i="8"/>
  <c r="AE33" i="8"/>
  <c r="DP6" i="8"/>
  <c r="DP2" i="8" s="1"/>
  <c r="BW12" i="8"/>
  <c r="ET2" i="8"/>
  <c r="CC6" i="8"/>
  <c r="CC2" i="8" s="1"/>
  <c r="HE4" i="8"/>
  <c r="DG11" i="8"/>
  <c r="DG6" i="8" s="1"/>
  <c r="AG33" i="8"/>
  <c r="AG2" i="8" s="1"/>
  <c r="BT22" i="8"/>
  <c r="HE23" i="8"/>
  <c r="CU11" i="8"/>
  <c r="DY2" i="8" s="1"/>
  <c r="CU21" i="8" s="1"/>
  <c r="CU3" i="8" s="1"/>
  <c r="DA25" i="8"/>
  <c r="DA24" i="8"/>
  <c r="DA14" i="8" s="1"/>
  <c r="AE30" i="8"/>
  <c r="AE34" i="8" s="1"/>
  <c r="BT11" i="8"/>
  <c r="BT21" i="8" s="1"/>
  <c r="BT3" i="8" s="1"/>
  <c r="BZ17" i="8"/>
  <c r="BZ14" i="8" s="1"/>
  <c r="Z16" i="8"/>
  <c r="Z17" i="8"/>
  <c r="AP2" i="8"/>
  <c r="BB6" i="8"/>
  <c r="BB2" i="8" s="1"/>
  <c r="EW2" i="8"/>
  <c r="GA2" i="8"/>
  <c r="DD7" i="8"/>
  <c r="DD2" i="8" s="1"/>
  <c r="BW10" i="8"/>
  <c r="BW2" i="8" s="1"/>
  <c r="EE2" i="8"/>
  <c r="CU15" i="8"/>
  <c r="Z19" i="8"/>
  <c r="AC34" i="8"/>
  <c r="W40" i="8"/>
  <c r="DA15" i="8"/>
  <c r="CX22" i="8"/>
  <c r="CX4" i="8" s="1"/>
  <c r="BN6" i="8"/>
  <c r="BN2" i="8" s="1"/>
  <c r="EB2" i="6"/>
  <c r="DV2" i="6"/>
  <c r="DA20" i="6" s="1"/>
  <c r="BW10" i="6"/>
  <c r="BW2" i="6" s="1"/>
  <c r="ET2" i="6"/>
  <c r="BZ13" i="6"/>
  <c r="BZ2" i="6" s="1"/>
  <c r="GM2" i="6"/>
  <c r="BN2" i="6"/>
  <c r="FL2" i="6"/>
  <c r="GP2" i="6"/>
  <c r="BZ14" i="6"/>
  <c r="EZ2" i="6"/>
  <c r="DA17" i="6" s="1"/>
  <c r="FF2" i="6"/>
  <c r="CR19" i="6"/>
  <c r="BK21" i="6"/>
  <c r="EH2" i="6"/>
  <c r="CR2" i="6"/>
  <c r="DP5" i="6"/>
  <c r="DP2" i="6" s="1"/>
  <c r="HB2" i="6"/>
  <c r="AF34" i="6"/>
  <c r="Z26" i="6"/>
  <c r="DA14" i="6"/>
  <c r="W19" i="6"/>
  <c r="FL7" i="6"/>
  <c r="CX11" i="6"/>
  <c r="CX22" i="6" s="1"/>
  <c r="CX4" i="6" s="1"/>
  <c r="CX23" i="6"/>
  <c r="HE4" i="6"/>
  <c r="DA15" i="6"/>
  <c r="CX21" i="6"/>
  <c r="W41" i="6"/>
  <c r="AD30" i="6"/>
  <c r="AD32" i="6" s="1"/>
  <c r="Z41" i="6"/>
  <c r="EH7" i="6"/>
  <c r="Z18" i="6"/>
  <c r="Z3" i="6" s="1"/>
  <c r="CL12" i="6"/>
  <c r="CO2" i="6" s="1"/>
  <c r="W18" i="6"/>
  <c r="W3" i="6" s="1"/>
  <c r="HE33" i="6"/>
  <c r="HE23" i="6" s="1"/>
  <c r="DP7" i="6"/>
  <c r="Z16" i="6"/>
  <c r="GA2" i="6"/>
  <c r="AC33" i="6"/>
  <c r="AE30" i="6"/>
  <c r="AE33" i="6" s="1"/>
  <c r="DA13" i="6"/>
  <c r="W17" i="6"/>
  <c r="W4" i="6" s="1"/>
  <c r="BT11" i="6"/>
  <c r="BT23" i="6" s="1"/>
  <c r="BT4" i="6" s="1"/>
  <c r="AC32" i="6"/>
  <c r="AD33" i="6"/>
  <c r="AV2" i="6"/>
  <c r="EE2" i="6"/>
  <c r="Z17" i="6"/>
  <c r="CL29" i="6"/>
  <c r="CO19" i="6" s="1"/>
  <c r="AG32" i="6"/>
  <c r="W38" i="6"/>
  <c r="W26" i="6" s="1"/>
  <c r="AY2" i="6"/>
  <c r="BW11" i="6"/>
  <c r="DD2" i="6"/>
  <c r="BE25" i="6"/>
  <c r="BE21" i="6" s="1"/>
  <c r="BB25" i="6"/>
  <c r="BB21" i="6" s="1"/>
  <c r="BQ6" i="6"/>
  <c r="BQ2" i="6" s="1"/>
  <c r="BN6" i="6"/>
  <c r="AJ21" i="6"/>
  <c r="BT24" i="6"/>
  <c r="Z38" i="6"/>
  <c r="Z25" i="6" s="1"/>
  <c r="W40" i="6"/>
  <c r="W25" i="6" s="1"/>
  <c r="AF32" i="6"/>
  <c r="AF2" i="6" s="1"/>
  <c r="CX20" i="6"/>
  <c r="BB6" i="6"/>
  <c r="BB2" i="6" s="1"/>
  <c r="CF23" i="6"/>
  <c r="CF19" i="6" s="1"/>
  <c r="CC23" i="6"/>
  <c r="CC19" i="6" s="1"/>
  <c r="AM21" i="6"/>
  <c r="CU11" i="6"/>
  <c r="CU15" i="6" s="1"/>
  <c r="AG33" i="6"/>
  <c r="B108" i="24"/>
  <c r="B108" i="27"/>
  <c r="B108" i="12"/>
  <c r="B108" i="11"/>
  <c r="B108" i="10"/>
  <c r="H70" i="29"/>
  <c r="H69" i="29"/>
  <c r="H68" i="29"/>
  <c r="H67" i="29"/>
  <c r="H63" i="29" s="1"/>
  <c r="H66" i="29"/>
  <c r="H65" i="29"/>
  <c r="H64" i="29"/>
  <c r="H62" i="29"/>
  <c r="H61" i="29"/>
  <c r="H60" i="29"/>
  <c r="H58" i="29"/>
  <c r="H57" i="29"/>
  <c r="H56" i="29"/>
  <c r="K55" i="29"/>
  <c r="K54" i="29"/>
  <c r="H54" i="29"/>
  <c r="E54" i="29"/>
  <c r="K53" i="29"/>
  <c r="K51" i="29" s="1"/>
  <c r="H53" i="29"/>
  <c r="E53" i="29"/>
  <c r="K52" i="29"/>
  <c r="DA51" i="29"/>
  <c r="E51" i="29"/>
  <c r="DA50" i="29"/>
  <c r="K50" i="29"/>
  <c r="E50" i="29"/>
  <c r="CU49" i="29"/>
  <c r="H49" i="29"/>
  <c r="H47" i="29" s="1"/>
  <c r="CU48" i="29"/>
  <c r="H48" i="29"/>
  <c r="E48" i="29"/>
  <c r="Z47" i="29"/>
  <c r="E47" i="29"/>
  <c r="DA46" i="29"/>
  <c r="Z46" i="29"/>
  <c r="H46" i="29"/>
  <c r="E46" i="29"/>
  <c r="K45" i="29"/>
  <c r="E45" i="29"/>
  <c r="DA44" i="29"/>
  <c r="Z44" i="29"/>
  <c r="K44" i="29"/>
  <c r="E44" i="29"/>
  <c r="DA43" i="29"/>
  <c r="CU43" i="29"/>
  <c r="Z43" i="29"/>
  <c r="W43" i="29"/>
  <c r="K43" i="29"/>
  <c r="H43" i="29"/>
  <c r="B43" i="29"/>
  <c r="DA42" i="29"/>
  <c r="CU42" i="29"/>
  <c r="Z42" i="29"/>
  <c r="W42" i="29"/>
  <c r="K42" i="29"/>
  <c r="B42" i="29"/>
  <c r="HE41" i="29"/>
  <c r="DA41" i="29"/>
  <c r="CU41" i="29"/>
  <c r="K41" i="29"/>
  <c r="HE40" i="29"/>
  <c r="DA40" i="29"/>
  <c r="CU40" i="29"/>
  <c r="K40" i="29"/>
  <c r="H40" i="29"/>
  <c r="HE39" i="29"/>
  <c r="DA39" i="29"/>
  <c r="CU39" i="29"/>
  <c r="AG39" i="29"/>
  <c r="AF39" i="29"/>
  <c r="AE39" i="29"/>
  <c r="AD39" i="29"/>
  <c r="AC39" i="29"/>
  <c r="H39" i="29"/>
  <c r="E39" i="29"/>
  <c r="HE38" i="29"/>
  <c r="DA38" i="29"/>
  <c r="CU38" i="29"/>
  <c r="BZ38" i="29"/>
  <c r="AG38" i="29"/>
  <c r="AF38" i="29"/>
  <c r="AE38" i="29"/>
  <c r="AD38" i="29"/>
  <c r="AC38" i="29"/>
  <c r="K38" i="29"/>
  <c r="H38" i="29"/>
  <c r="E38" i="29"/>
  <c r="DA37" i="29"/>
  <c r="CU37" i="29"/>
  <c r="BZ37" i="29"/>
  <c r="BN37" i="29"/>
  <c r="BK37" i="29"/>
  <c r="BE37" i="29"/>
  <c r="BB37" i="29"/>
  <c r="AV37" i="29"/>
  <c r="AS37" i="29"/>
  <c r="AM37" i="29"/>
  <c r="AJ37" i="29"/>
  <c r="Q37" i="29"/>
  <c r="N37" i="29"/>
  <c r="K37" i="29"/>
  <c r="H37" i="29"/>
  <c r="HE36" i="29"/>
  <c r="DA36" i="29"/>
  <c r="CU36" i="29"/>
  <c r="BN36" i="29"/>
  <c r="BK36" i="29"/>
  <c r="BE36" i="29"/>
  <c r="BB36" i="29"/>
  <c r="AV36" i="29"/>
  <c r="AS36" i="29"/>
  <c r="AM36" i="29"/>
  <c r="AJ36" i="29"/>
  <c r="AF36" i="29"/>
  <c r="Z36" i="29"/>
  <c r="W36" i="29"/>
  <c r="Q36" i="29"/>
  <c r="N36" i="29"/>
  <c r="K36" i="29"/>
  <c r="H36" i="29"/>
  <c r="E36" i="29"/>
  <c r="HE35" i="29"/>
  <c r="DA35" i="29"/>
  <c r="CU35" i="29"/>
  <c r="BN35" i="29"/>
  <c r="BK35" i="29"/>
  <c r="BE35" i="29"/>
  <c r="BB35" i="29"/>
  <c r="AV35" i="29"/>
  <c r="AS35" i="29"/>
  <c r="AM35" i="29"/>
  <c r="AJ35" i="29"/>
  <c r="AE35" i="29"/>
  <c r="AD35" i="29"/>
  <c r="AC35" i="29"/>
  <c r="Z35" i="29"/>
  <c r="W35" i="29"/>
  <c r="Q35" i="29"/>
  <c r="N35" i="29"/>
  <c r="K35" i="29"/>
  <c r="H35" i="29"/>
  <c r="E35" i="29"/>
  <c r="HE34" i="29"/>
  <c r="DA34" i="29"/>
  <c r="CU34" i="29"/>
  <c r="BW34" i="29"/>
  <c r="BN34" i="29"/>
  <c r="BK34" i="29"/>
  <c r="BE34" i="29"/>
  <c r="BB34" i="29"/>
  <c r="AV34" i="29"/>
  <c r="AS34" i="29"/>
  <c r="AM34" i="29"/>
  <c r="AJ34" i="29"/>
  <c r="Q34" i="29"/>
  <c r="N34" i="29"/>
  <c r="K34" i="29"/>
  <c r="K46" i="29" s="1"/>
  <c r="K11" i="29" s="1"/>
  <c r="H34" i="29"/>
  <c r="E34" i="29"/>
  <c r="B34" i="29"/>
  <c r="AG37" i="29" s="1"/>
  <c r="DA33" i="29"/>
  <c r="CU33" i="29"/>
  <c r="CF33" i="29"/>
  <c r="CC33" i="29"/>
  <c r="BW33" i="29"/>
  <c r="BN33" i="29"/>
  <c r="BK33" i="29"/>
  <c r="BE33" i="29"/>
  <c r="BB33" i="29"/>
  <c r="AV33" i="29"/>
  <c r="AS33" i="29"/>
  <c r="AM33" i="29"/>
  <c r="AJ33" i="29"/>
  <c r="Z33" i="29"/>
  <c r="W33" i="29"/>
  <c r="Q33" i="29"/>
  <c r="N33" i="29"/>
  <c r="K33" i="29"/>
  <c r="H33" i="29"/>
  <c r="E33" i="29"/>
  <c r="B33" i="29"/>
  <c r="HE32" i="29"/>
  <c r="DA32" i="29"/>
  <c r="CU32" i="29"/>
  <c r="CU44" i="29" s="1"/>
  <c r="CL32" i="29"/>
  <c r="CF32" i="29"/>
  <c r="CC32" i="29"/>
  <c r="BZ32" i="29"/>
  <c r="BW32" i="29"/>
  <c r="BN32" i="29"/>
  <c r="BK32" i="29"/>
  <c r="BE32" i="29"/>
  <c r="BB32" i="29"/>
  <c r="AV32" i="29"/>
  <c r="AS32" i="29"/>
  <c r="AM32" i="29"/>
  <c r="AJ32" i="29"/>
  <c r="Z32" i="29"/>
  <c r="W32" i="29"/>
  <c r="K32" i="29"/>
  <c r="H32" i="29"/>
  <c r="H15" i="29" s="1"/>
  <c r="E32" i="29"/>
  <c r="B32" i="29"/>
  <c r="K10" i="29" s="1"/>
  <c r="HE31" i="29"/>
  <c r="DA31" i="29"/>
  <c r="CU31" i="29"/>
  <c r="CL31" i="29"/>
  <c r="CL30" i="29" s="1"/>
  <c r="CF31" i="29"/>
  <c r="CC31" i="29"/>
  <c r="BZ31" i="29"/>
  <c r="BN31" i="29"/>
  <c r="BK31" i="29"/>
  <c r="BE31" i="29"/>
  <c r="BB31" i="29"/>
  <c r="AV31" i="29"/>
  <c r="AS31" i="29"/>
  <c r="AM31" i="29"/>
  <c r="AJ31" i="29"/>
  <c r="Z31" i="29"/>
  <c r="W31" i="29"/>
  <c r="K31" i="29"/>
  <c r="H31" i="29"/>
  <c r="HE30" i="29"/>
  <c r="DA30" i="29"/>
  <c r="CU30" i="29"/>
  <c r="CO30" i="29"/>
  <c r="CF30" i="29"/>
  <c r="CC30" i="29"/>
  <c r="BZ30" i="29"/>
  <c r="BT30" i="29"/>
  <c r="BN30" i="29"/>
  <c r="BK30" i="29"/>
  <c r="BE30" i="29"/>
  <c r="BB30" i="29"/>
  <c r="AV30" i="29"/>
  <c r="AS30" i="29"/>
  <c r="AM30" i="29"/>
  <c r="AJ30" i="29"/>
  <c r="Z30" i="29"/>
  <c r="W30" i="29"/>
  <c r="K30" i="29"/>
  <c r="H30" i="29"/>
  <c r="HE29" i="29"/>
  <c r="DA29" i="29"/>
  <c r="CU29" i="29"/>
  <c r="CO29" i="29"/>
  <c r="CL29" i="29"/>
  <c r="CF29" i="29"/>
  <c r="CC29" i="29"/>
  <c r="BZ29" i="29"/>
  <c r="BT29" i="29"/>
  <c r="BN29" i="29"/>
  <c r="BK29" i="29"/>
  <c r="BE29" i="29"/>
  <c r="BB29" i="29"/>
  <c r="AV29" i="29"/>
  <c r="AS29" i="29"/>
  <c r="AM29" i="29"/>
  <c r="AM25" i="29" s="1"/>
  <c r="AM21" i="29" s="1"/>
  <c r="AJ29" i="29"/>
  <c r="AJ25" i="29" s="1"/>
  <c r="Z29" i="29"/>
  <c r="W29" i="29"/>
  <c r="W28" i="29" s="1"/>
  <c r="Q29" i="29"/>
  <c r="N29" i="29"/>
  <c r="K29" i="29"/>
  <c r="H29" i="29"/>
  <c r="HE28" i="29"/>
  <c r="DA28" i="29"/>
  <c r="CU28" i="29"/>
  <c r="CO28" i="29"/>
  <c r="CL28" i="29"/>
  <c r="CF28" i="29"/>
  <c r="CC28" i="29"/>
  <c r="BZ28" i="29"/>
  <c r="BN28" i="29"/>
  <c r="BK28" i="29"/>
  <c r="BE28" i="29"/>
  <c r="BB28" i="29"/>
  <c r="AV28" i="29"/>
  <c r="AS28" i="29"/>
  <c r="AM28" i="29"/>
  <c r="AJ28" i="29"/>
  <c r="AG28" i="29"/>
  <c r="AF28" i="29"/>
  <c r="AE28" i="29"/>
  <c r="AD28" i="29"/>
  <c r="AD27" i="29" s="1"/>
  <c r="AC28" i="29"/>
  <c r="AC27" i="29" s="1"/>
  <c r="Z28" i="29"/>
  <c r="Q28" i="29"/>
  <c r="N28" i="29"/>
  <c r="H28" i="29"/>
  <c r="HE27" i="29"/>
  <c r="HB27" i="29"/>
  <c r="GM27" i="29"/>
  <c r="FI27" i="29"/>
  <c r="ET27" i="29"/>
  <c r="EE27" i="29"/>
  <c r="DA27" i="29"/>
  <c r="CX27" i="29"/>
  <c r="CU27" i="29"/>
  <c r="CO27" i="29"/>
  <c r="CL27" i="29"/>
  <c r="CF27" i="29"/>
  <c r="CC27" i="29"/>
  <c r="BZ27" i="29"/>
  <c r="BW27" i="29"/>
  <c r="BT27" i="29"/>
  <c r="BN27" i="29"/>
  <c r="BN26" i="29" s="1"/>
  <c r="BK27" i="29"/>
  <c r="BK26" i="29" s="1"/>
  <c r="BE27" i="29"/>
  <c r="BE26" i="29" s="1"/>
  <c r="BB27" i="29"/>
  <c r="AV27" i="29"/>
  <c r="AS27" i="29"/>
  <c r="AS26" i="29" s="1"/>
  <c r="AM27" i="29"/>
  <c r="AM26" i="29" s="1"/>
  <c r="AJ27" i="29"/>
  <c r="AJ26" i="29" s="1"/>
  <c r="AG27" i="29"/>
  <c r="AF27" i="29"/>
  <c r="AE27" i="29"/>
  <c r="Z27" i="29"/>
  <c r="W27" i="29"/>
  <c r="Q27" i="29"/>
  <c r="Q26" i="29" s="1"/>
  <c r="N27" i="29"/>
  <c r="N26" i="29" s="1"/>
  <c r="K27" i="29"/>
  <c r="H27" i="29"/>
  <c r="E27" i="29"/>
  <c r="HB26" i="29"/>
  <c r="GM26" i="29"/>
  <c r="FI26" i="29"/>
  <c r="ET26" i="29"/>
  <c r="EE26" i="29"/>
  <c r="EE24" i="29" s="1"/>
  <c r="DP26" i="29"/>
  <c r="DP24" i="29" s="1"/>
  <c r="DG26" i="29"/>
  <c r="DA26" i="29"/>
  <c r="CX26" i="29"/>
  <c r="CU26" i="29"/>
  <c r="CO26" i="29"/>
  <c r="CL26" i="29"/>
  <c r="CF26" i="29"/>
  <c r="CC26" i="29"/>
  <c r="BZ26" i="29"/>
  <c r="BW26" i="29"/>
  <c r="BT26" i="29"/>
  <c r="BB26" i="29"/>
  <c r="AV26" i="29"/>
  <c r="AG26" i="29"/>
  <c r="AG30" i="29" s="1"/>
  <c r="AF26" i="29"/>
  <c r="AF30" i="29" s="1"/>
  <c r="K26" i="29"/>
  <c r="H26" i="29"/>
  <c r="E26" i="29"/>
  <c r="HE25" i="29"/>
  <c r="HB25" i="29"/>
  <c r="GM25" i="29"/>
  <c r="GM23" i="29" s="1"/>
  <c r="FI25" i="29"/>
  <c r="FI23" i="29" s="1"/>
  <c r="ET25" i="29"/>
  <c r="ET23" i="29" s="1"/>
  <c r="EE25" i="29"/>
  <c r="EE23" i="29" s="1"/>
  <c r="DP25" i="29"/>
  <c r="DP23" i="29" s="1"/>
  <c r="CX25" i="29"/>
  <c r="CO25" i="29"/>
  <c r="CL25" i="29"/>
  <c r="CF25" i="29"/>
  <c r="CC25" i="29"/>
  <c r="CC24" i="29" s="1"/>
  <c r="BZ25" i="29"/>
  <c r="BZ33" i="29" s="1"/>
  <c r="BW25" i="29"/>
  <c r="BT25" i="29"/>
  <c r="AS25" i="29"/>
  <c r="AG25" i="29"/>
  <c r="AF25" i="29"/>
  <c r="AE25" i="29"/>
  <c r="AD25" i="29"/>
  <c r="AC25" i="29"/>
  <c r="E25" i="29"/>
  <c r="HB24" i="29"/>
  <c r="GM24" i="29"/>
  <c r="FI24" i="29"/>
  <c r="ET24" i="29"/>
  <c r="DD24" i="29"/>
  <c r="CX24" i="29"/>
  <c r="CO24" i="29"/>
  <c r="CL24" i="29"/>
  <c r="CF24" i="29"/>
  <c r="BZ24" i="29"/>
  <c r="BW24" i="29"/>
  <c r="BN24" i="29"/>
  <c r="BK24" i="29"/>
  <c r="BE24" i="29"/>
  <c r="BB24" i="29"/>
  <c r="AV24" i="29"/>
  <c r="AS24" i="29"/>
  <c r="AM24" i="29"/>
  <c r="AJ24" i="29"/>
  <c r="AG24" i="29"/>
  <c r="AF24" i="29"/>
  <c r="AE24" i="29"/>
  <c r="AD24" i="29"/>
  <c r="AC24" i="29"/>
  <c r="Q24" i="29"/>
  <c r="N24" i="29"/>
  <c r="N21" i="29" s="1"/>
  <c r="K24" i="29"/>
  <c r="H24" i="29"/>
  <c r="E24" i="29"/>
  <c r="HB23" i="29"/>
  <c r="DG23" i="29"/>
  <c r="DG20" i="29" s="1"/>
  <c r="DD23" i="29"/>
  <c r="CR23" i="29"/>
  <c r="CO23" i="29"/>
  <c r="CL23" i="29"/>
  <c r="BZ23" i="29"/>
  <c r="BW23" i="29"/>
  <c r="AG23" i="29"/>
  <c r="AF23" i="29"/>
  <c r="AE23" i="29"/>
  <c r="AD23" i="29"/>
  <c r="AC23" i="29"/>
  <c r="K23" i="29"/>
  <c r="H23" i="29"/>
  <c r="HB22" i="29"/>
  <c r="HB16" i="29" s="1"/>
  <c r="GM22" i="29"/>
  <c r="FI22" i="29"/>
  <c r="FI16" i="29" s="1"/>
  <c r="ET22" i="29"/>
  <c r="ET16" i="29" s="1"/>
  <c r="EE22" i="29"/>
  <c r="EE16" i="29" s="1"/>
  <c r="DP22" i="29"/>
  <c r="DD22" i="29"/>
  <c r="CO22" i="29"/>
  <c r="CR22" i="29" s="1"/>
  <c r="CL22" i="29"/>
  <c r="CF22" i="29"/>
  <c r="CC22" i="29"/>
  <c r="BZ22" i="29"/>
  <c r="BW22" i="29"/>
  <c r="K22" i="29"/>
  <c r="HB21" i="29"/>
  <c r="GM21" i="29"/>
  <c r="GA21" i="29"/>
  <c r="FL21" i="29"/>
  <c r="FI21" i="29"/>
  <c r="EW21" i="29"/>
  <c r="ET21" i="29"/>
  <c r="EH21" i="29"/>
  <c r="EE21" i="29"/>
  <c r="DS21" i="29"/>
  <c r="DP21" i="29"/>
  <c r="DD21" i="29"/>
  <c r="BZ21" i="29"/>
  <c r="BW21" i="29"/>
  <c r="AG21" i="29"/>
  <c r="AF21" i="29"/>
  <c r="AE21" i="29"/>
  <c r="AD21" i="29"/>
  <c r="AC21" i="29"/>
  <c r="Z21" i="29"/>
  <c r="W21" i="29"/>
  <c r="K21" i="29"/>
  <c r="HB20" i="29"/>
  <c r="GP20" i="29"/>
  <c r="GM20" i="29"/>
  <c r="GA20" i="29"/>
  <c r="FL20" i="29"/>
  <c r="FI20" i="29"/>
  <c r="EW20" i="29"/>
  <c r="ET20" i="29"/>
  <c r="EH20" i="29"/>
  <c r="EE20" i="29"/>
  <c r="DS20" i="29"/>
  <c r="DP20" i="29"/>
  <c r="DD20" i="29"/>
  <c r="BZ20" i="29"/>
  <c r="BW20" i="29"/>
  <c r="BT20" i="29"/>
  <c r="AG20" i="29"/>
  <c r="AF20" i="29"/>
  <c r="AE20" i="29"/>
  <c r="AD20" i="29"/>
  <c r="AC20" i="29"/>
  <c r="Z20" i="29"/>
  <c r="W20" i="29"/>
  <c r="H20" i="29"/>
  <c r="HB19" i="29"/>
  <c r="GP19" i="29"/>
  <c r="GM19" i="29"/>
  <c r="GA19" i="29"/>
  <c r="FL19" i="29"/>
  <c r="FI19" i="29"/>
  <c r="EW19" i="29"/>
  <c r="ET19" i="29"/>
  <c r="EH19" i="29"/>
  <c r="EE19" i="29"/>
  <c r="DS19" i="29"/>
  <c r="DP19" i="29"/>
  <c r="DP11" i="29" s="1"/>
  <c r="CX19" i="29"/>
  <c r="BZ19" i="29"/>
  <c r="BW19" i="29"/>
  <c r="AG19" i="29"/>
  <c r="AF19" i="29"/>
  <c r="AE19" i="29"/>
  <c r="AD19" i="29"/>
  <c r="AC19" i="29"/>
  <c r="H19" i="29"/>
  <c r="HB18" i="29"/>
  <c r="GP18" i="29"/>
  <c r="GM18" i="29"/>
  <c r="GA18" i="29"/>
  <c r="FL18" i="29"/>
  <c r="FI18" i="29"/>
  <c r="EW18" i="29"/>
  <c r="ET18" i="29"/>
  <c r="EH18" i="29"/>
  <c r="EE18" i="29"/>
  <c r="DS18" i="29"/>
  <c r="DP18" i="29"/>
  <c r="CX18" i="29"/>
  <c r="BZ18" i="29"/>
  <c r="BW18" i="29"/>
  <c r="BT18" i="29"/>
  <c r="BQ18" i="29"/>
  <c r="BN18" i="29"/>
  <c r="BK18" i="29"/>
  <c r="BH18" i="29"/>
  <c r="BE18" i="29"/>
  <c r="BB18" i="29"/>
  <c r="AY18" i="29"/>
  <c r="AV18" i="29"/>
  <c r="AS18" i="29"/>
  <c r="AP18" i="29"/>
  <c r="AM18" i="29"/>
  <c r="AJ18" i="29"/>
  <c r="AG18" i="29"/>
  <c r="AF18" i="29"/>
  <c r="AE18" i="29"/>
  <c r="AD18" i="29"/>
  <c r="AC18" i="29"/>
  <c r="T18" i="29"/>
  <c r="Q18" i="29"/>
  <c r="N18" i="29"/>
  <c r="H18" i="29"/>
  <c r="E18" i="29"/>
  <c r="BT19" i="29" s="1"/>
  <c r="HB17" i="29"/>
  <c r="GP17" i="29"/>
  <c r="GM17" i="29"/>
  <c r="FI17" i="29"/>
  <c r="ET17" i="29"/>
  <c r="EE17" i="29"/>
  <c r="DP17" i="29"/>
  <c r="DD17" i="29"/>
  <c r="DM9" i="29" s="1"/>
  <c r="CX17" i="29"/>
  <c r="BW17" i="29"/>
  <c r="BT17" i="29"/>
  <c r="BQ17" i="29"/>
  <c r="BN17" i="29"/>
  <c r="BK17" i="29"/>
  <c r="BH17" i="29"/>
  <c r="BE17" i="29"/>
  <c r="BB17" i="29"/>
  <c r="AY17" i="29"/>
  <c r="AV17" i="29"/>
  <c r="AS17" i="29"/>
  <c r="AP17" i="29"/>
  <c r="AM17" i="29"/>
  <c r="AJ17" i="29"/>
  <c r="AG17" i="29"/>
  <c r="AF17" i="29"/>
  <c r="AE17" i="29"/>
  <c r="AD17" i="29"/>
  <c r="AC17" i="29"/>
  <c r="T17" i="29"/>
  <c r="Q17" i="29"/>
  <c r="N17" i="29"/>
  <c r="H17" i="29"/>
  <c r="E17" i="29"/>
  <c r="HE16" i="29"/>
  <c r="GM16" i="29"/>
  <c r="GA16" i="29"/>
  <c r="FL16" i="29"/>
  <c r="EW16" i="29"/>
  <c r="EH16" i="29"/>
  <c r="DP16" i="29"/>
  <c r="DD16" i="29"/>
  <c r="CX16" i="29"/>
  <c r="CI16" i="29"/>
  <c r="CF16" i="29"/>
  <c r="CC16" i="29"/>
  <c r="BW16" i="29"/>
  <c r="BT16" i="29"/>
  <c r="BQ16" i="29"/>
  <c r="BN16" i="29"/>
  <c r="BK16" i="29"/>
  <c r="BH16" i="29"/>
  <c r="BE16" i="29"/>
  <c r="BB16" i="29"/>
  <c r="AY16" i="29"/>
  <c r="AV16" i="29"/>
  <c r="AS16" i="29"/>
  <c r="AP16" i="29"/>
  <c r="AM16" i="29"/>
  <c r="AJ16" i="29"/>
  <c r="AG16" i="29"/>
  <c r="AF16" i="29"/>
  <c r="AE16" i="29"/>
  <c r="AD16" i="29"/>
  <c r="AC16" i="29"/>
  <c r="T16" i="29"/>
  <c r="Q16" i="29"/>
  <c r="N16" i="29"/>
  <c r="E16" i="29"/>
  <c r="HE15" i="29"/>
  <c r="HB15" i="29"/>
  <c r="GP15" i="29"/>
  <c r="GM15" i="29"/>
  <c r="FI15" i="29"/>
  <c r="ET15" i="29"/>
  <c r="DP15" i="29"/>
  <c r="DD15" i="29"/>
  <c r="CX15" i="29"/>
  <c r="CL15" i="29"/>
  <c r="CI15" i="29"/>
  <c r="CF15" i="29"/>
  <c r="CC15" i="29"/>
  <c r="BT15" i="29"/>
  <c r="BQ15" i="29"/>
  <c r="BN15" i="29"/>
  <c r="BK15" i="29"/>
  <c r="BH15" i="29"/>
  <c r="BE15" i="29"/>
  <c r="BB15" i="29"/>
  <c r="AY15" i="29"/>
  <c r="AV15" i="29"/>
  <c r="AS15" i="29"/>
  <c r="AP15" i="29"/>
  <c r="AM15" i="29"/>
  <c r="AJ15" i="29"/>
  <c r="T15" i="29"/>
  <c r="Q15" i="29"/>
  <c r="N15" i="29"/>
  <c r="E15" i="29"/>
  <c r="HE14" i="29"/>
  <c r="HB14" i="29"/>
  <c r="GP14" i="29"/>
  <c r="GY14" i="29" s="1"/>
  <c r="GM14" i="29"/>
  <c r="GA14" i="29"/>
  <c r="GJ14" i="29" s="1"/>
  <c r="FL14" i="29"/>
  <c r="FU7" i="29" s="1"/>
  <c r="FI14" i="29"/>
  <c r="EW14" i="29"/>
  <c r="FF14" i="29" s="1"/>
  <c r="ET14" i="29"/>
  <c r="EH14" i="29"/>
  <c r="EQ14" i="29" s="1"/>
  <c r="EE14" i="29"/>
  <c r="EB14" i="29"/>
  <c r="DY14" i="29"/>
  <c r="DS14" i="29"/>
  <c r="EB15" i="29" s="1"/>
  <c r="DP14" i="29"/>
  <c r="DD14" i="29"/>
  <c r="CX14" i="29"/>
  <c r="CL14" i="29"/>
  <c r="CI14" i="29"/>
  <c r="CF14" i="29"/>
  <c r="CC14" i="29"/>
  <c r="BW14" i="29"/>
  <c r="BT14" i="29"/>
  <c r="BQ14" i="29"/>
  <c r="BN14" i="29"/>
  <c r="BK14" i="29"/>
  <c r="BH14" i="29"/>
  <c r="BE14" i="29"/>
  <c r="BB14" i="29"/>
  <c r="AY14" i="29"/>
  <c r="AV14" i="29"/>
  <c r="AS14" i="29"/>
  <c r="AP14" i="29"/>
  <c r="AM14" i="29"/>
  <c r="AJ14" i="29"/>
  <c r="AG14" i="29"/>
  <c r="AF14" i="29"/>
  <c r="AE14" i="29"/>
  <c r="AD14" i="29"/>
  <c r="AC14" i="29"/>
  <c r="Z14" i="29"/>
  <c r="W14" i="29"/>
  <c r="T14" i="29"/>
  <c r="Q14" i="29"/>
  <c r="N14" i="29"/>
  <c r="N2" i="29" s="1"/>
  <c r="E14" i="29"/>
  <c r="HB13" i="29"/>
  <c r="GY13" i="29"/>
  <c r="GV13" i="29"/>
  <c r="GP13" i="29"/>
  <c r="GM13" i="29"/>
  <c r="GJ13" i="29"/>
  <c r="GG13" i="29"/>
  <c r="GA13" i="29"/>
  <c r="FL13" i="29"/>
  <c r="FI13" i="29"/>
  <c r="FF13" i="29"/>
  <c r="FC13" i="29"/>
  <c r="EW13" i="29"/>
  <c r="ET13" i="29"/>
  <c r="EQ13" i="29"/>
  <c r="EN13" i="29"/>
  <c r="EH13" i="29"/>
  <c r="EE13" i="29"/>
  <c r="EB13" i="29"/>
  <c r="DY13" i="29"/>
  <c r="DS13" i="29"/>
  <c r="DP13" i="29"/>
  <c r="DD13" i="29"/>
  <c r="CX13" i="29"/>
  <c r="CU13" i="29"/>
  <c r="CU12" i="29" s="1"/>
  <c r="CO13" i="29"/>
  <c r="CI13" i="29"/>
  <c r="CF13" i="29"/>
  <c r="CC13" i="29"/>
  <c r="BW13" i="29"/>
  <c r="BT13" i="29"/>
  <c r="BQ13" i="29"/>
  <c r="BN13" i="29"/>
  <c r="BK13" i="29"/>
  <c r="BH13" i="29"/>
  <c r="BE13" i="29"/>
  <c r="BB13" i="29"/>
  <c r="AY13" i="29"/>
  <c r="AV13" i="29"/>
  <c r="AS13" i="29"/>
  <c r="AP13" i="29"/>
  <c r="AM13" i="29"/>
  <c r="AJ13" i="29"/>
  <c r="AG13" i="29"/>
  <c r="AF13" i="29"/>
  <c r="Z13" i="29"/>
  <c r="W13" i="29"/>
  <c r="T13" i="29"/>
  <c r="Q13" i="29"/>
  <c r="K13" i="29"/>
  <c r="E13" i="29"/>
  <c r="HB12" i="29"/>
  <c r="GY12" i="29"/>
  <c r="GV12" i="29"/>
  <c r="GP12" i="29"/>
  <c r="GM12" i="29"/>
  <c r="GJ12" i="29"/>
  <c r="GG12" i="29"/>
  <c r="GA12" i="29"/>
  <c r="FL12" i="29"/>
  <c r="FI12" i="29"/>
  <c r="FF12" i="29"/>
  <c r="FC12" i="29"/>
  <c r="EW12" i="29"/>
  <c r="ET12" i="29"/>
  <c r="EQ12" i="29"/>
  <c r="EN12" i="29"/>
  <c r="EH12" i="29"/>
  <c r="EE12" i="29"/>
  <c r="EB12" i="29"/>
  <c r="DY12" i="29"/>
  <c r="DS12" i="29"/>
  <c r="DP12" i="29"/>
  <c r="DD12" i="29"/>
  <c r="DA12" i="29"/>
  <c r="DA11" i="29" s="1"/>
  <c r="CX12" i="29"/>
  <c r="CO12" i="29"/>
  <c r="CI12" i="29"/>
  <c r="CF12" i="29"/>
  <c r="CC12" i="29"/>
  <c r="BZ12" i="29"/>
  <c r="BZ11" i="29" s="1"/>
  <c r="BT12" i="29"/>
  <c r="BQ12" i="29"/>
  <c r="BN12" i="29"/>
  <c r="BK12" i="29"/>
  <c r="BN25" i="29" s="1"/>
  <c r="BH12" i="29"/>
  <c r="BE12" i="29"/>
  <c r="BB12" i="29"/>
  <c r="AY12" i="29"/>
  <c r="AV12" i="29"/>
  <c r="AS12" i="29"/>
  <c r="AP12" i="29"/>
  <c r="AM12" i="29"/>
  <c r="AJ12" i="29"/>
  <c r="AG12" i="29"/>
  <c r="AF12" i="29"/>
  <c r="K12" i="29"/>
  <c r="E12" i="29"/>
  <c r="HE11" i="29"/>
  <c r="HB11" i="29"/>
  <c r="GY11" i="29"/>
  <c r="GV11" i="29"/>
  <c r="GP11" i="29"/>
  <c r="GM11" i="29"/>
  <c r="GJ11" i="29"/>
  <c r="GG11" i="29"/>
  <c r="GA11" i="29"/>
  <c r="FL11" i="29"/>
  <c r="FI11" i="29"/>
  <c r="FF11" i="29"/>
  <c r="FC11" i="29"/>
  <c r="EW11" i="29"/>
  <c r="ET11" i="29"/>
  <c r="EQ11" i="29"/>
  <c r="EN11" i="29"/>
  <c r="EH11" i="29"/>
  <c r="EE11" i="29"/>
  <c r="EB11" i="29"/>
  <c r="DY11" i="29"/>
  <c r="DS11" i="29"/>
  <c r="DD11" i="29"/>
  <c r="CO11" i="29"/>
  <c r="CL11" i="29"/>
  <c r="CL12" i="29" s="1"/>
  <c r="CL13" i="29" s="1"/>
  <c r="CI11" i="29"/>
  <c r="CF11" i="29"/>
  <c r="CC11" i="29"/>
  <c r="BQ11" i="29"/>
  <c r="BN11" i="29"/>
  <c r="BK11" i="29"/>
  <c r="BH11" i="29"/>
  <c r="BE11" i="29"/>
  <c r="BB11" i="29"/>
  <c r="AY11" i="29"/>
  <c r="AV11" i="29"/>
  <c r="AS11" i="29"/>
  <c r="AP11" i="29"/>
  <c r="AM11" i="29"/>
  <c r="AJ11" i="29"/>
  <c r="AG11" i="29"/>
  <c r="AF11" i="29"/>
  <c r="AE11" i="29"/>
  <c r="AE26" i="29" s="1"/>
  <c r="AE30" i="29" s="1"/>
  <c r="AE33" i="29" s="1"/>
  <c r="AD11" i="29"/>
  <c r="AD26" i="29" s="1"/>
  <c r="AC11" i="29"/>
  <c r="AC26" i="29" s="1"/>
  <c r="AC30" i="29" s="1"/>
  <c r="Z11" i="29"/>
  <c r="W11" i="29"/>
  <c r="HE10" i="29"/>
  <c r="HB10" i="29"/>
  <c r="GY10" i="29"/>
  <c r="GV10" i="29"/>
  <c r="GP10" i="29"/>
  <c r="GM10" i="29"/>
  <c r="GJ10" i="29"/>
  <c r="GG10" i="29"/>
  <c r="GA10" i="29"/>
  <c r="FL10" i="29"/>
  <c r="FI10" i="29"/>
  <c r="FF10" i="29"/>
  <c r="FC10" i="29"/>
  <c r="EW10" i="29"/>
  <c r="ET10" i="29"/>
  <c r="EQ10" i="29"/>
  <c r="EN10" i="29"/>
  <c r="EH10" i="29"/>
  <c r="EE10" i="29"/>
  <c r="EB10" i="29"/>
  <c r="DY10" i="29"/>
  <c r="DS10" i="29"/>
  <c r="DP10" i="29"/>
  <c r="DG10" i="29"/>
  <c r="CX10" i="29"/>
  <c r="CU10" i="29"/>
  <c r="CO10" i="29"/>
  <c r="CL10" i="29"/>
  <c r="CI10" i="29"/>
  <c r="CF10" i="29"/>
  <c r="CC10" i="29"/>
  <c r="CF6" i="29" s="1"/>
  <c r="BT10" i="29"/>
  <c r="BQ10" i="29"/>
  <c r="BN10" i="29"/>
  <c r="BK10" i="29"/>
  <c r="BH10" i="29"/>
  <c r="BE10" i="29"/>
  <c r="BB10" i="29"/>
  <c r="BH6" i="29" s="1"/>
  <c r="BH2" i="29" s="1"/>
  <c r="AY10" i="29"/>
  <c r="AV10" i="29"/>
  <c r="AS10" i="29"/>
  <c r="AY6" i="29" s="1"/>
  <c r="AP10" i="29"/>
  <c r="AM10" i="29"/>
  <c r="AJ10" i="29"/>
  <c r="AJ6" i="29" s="1"/>
  <c r="Z10" i="29"/>
  <c r="W10" i="29"/>
  <c r="T10" i="29"/>
  <c r="Q10" i="29"/>
  <c r="N10" i="29"/>
  <c r="E10" i="29"/>
  <c r="BW7" i="29" s="1"/>
  <c r="HE9" i="29"/>
  <c r="HB9" i="29"/>
  <c r="GY9" i="29"/>
  <c r="GV9" i="29"/>
  <c r="GP9" i="29"/>
  <c r="GM9" i="29"/>
  <c r="GJ9" i="29"/>
  <c r="GG9" i="29"/>
  <c r="GA9" i="29"/>
  <c r="FL9" i="29"/>
  <c r="FI9" i="29"/>
  <c r="FF9" i="29"/>
  <c r="FC9" i="29"/>
  <c r="EW9" i="29"/>
  <c r="ET9" i="29"/>
  <c r="EQ9" i="29"/>
  <c r="EN9" i="29"/>
  <c r="EH9" i="29"/>
  <c r="EE9" i="29"/>
  <c r="EB9" i="29"/>
  <c r="DY9" i="29"/>
  <c r="DS9" i="29"/>
  <c r="DP9" i="29"/>
  <c r="DD9" i="29"/>
  <c r="DA9" i="29"/>
  <c r="CX9" i="29"/>
  <c r="CU9" i="29"/>
  <c r="CO9" i="29"/>
  <c r="CL9" i="29"/>
  <c r="CI9" i="29"/>
  <c r="CF9" i="29"/>
  <c r="CC9" i="29"/>
  <c r="BZ9" i="29"/>
  <c r="BW9" i="29"/>
  <c r="BT9" i="29"/>
  <c r="BT28" i="29" s="1"/>
  <c r="BQ9" i="29"/>
  <c r="BN9" i="29"/>
  <c r="BK9" i="29"/>
  <c r="BH9" i="29"/>
  <c r="BE9" i="29"/>
  <c r="BB9" i="29"/>
  <c r="AY9" i="29"/>
  <c r="AV9" i="29"/>
  <c r="AS9" i="29"/>
  <c r="AP9" i="29"/>
  <c r="AM9" i="29"/>
  <c r="AJ9" i="29"/>
  <c r="AG9" i="29"/>
  <c r="AF9" i="29"/>
  <c r="AE9" i="29"/>
  <c r="AD9" i="29"/>
  <c r="AC9" i="29"/>
  <c r="Z9" i="29"/>
  <c r="W9" i="29"/>
  <c r="N9" i="29"/>
  <c r="K9" i="29"/>
  <c r="H9" i="29"/>
  <c r="E9" i="29"/>
  <c r="HE8" i="29"/>
  <c r="HE7" i="29" s="1"/>
  <c r="HB8" i="29"/>
  <c r="GY8" i="29"/>
  <c r="GV8" i="29"/>
  <c r="GP8" i="29"/>
  <c r="GM8" i="29"/>
  <c r="GJ8" i="29"/>
  <c r="GG8" i="29"/>
  <c r="GG6" i="29" s="1"/>
  <c r="GA8" i="29"/>
  <c r="GA7" i="29" s="1"/>
  <c r="FL8" i="29"/>
  <c r="FL7" i="29" s="1"/>
  <c r="FL2" i="29" s="1"/>
  <c r="FI8" i="29"/>
  <c r="FF8" i="29"/>
  <c r="FC8" i="29"/>
  <c r="EW8" i="29"/>
  <c r="ET8" i="29"/>
  <c r="ET6" i="29" s="1"/>
  <c r="EQ8" i="29"/>
  <c r="EQ6" i="29" s="1"/>
  <c r="EN8" i="29"/>
  <c r="EN6" i="29" s="1"/>
  <c r="EH8" i="29"/>
  <c r="EH7" i="29" s="1"/>
  <c r="EE8" i="29"/>
  <c r="EB8" i="29"/>
  <c r="EB6" i="29" s="1"/>
  <c r="DY8" i="29"/>
  <c r="DY6" i="29" s="1"/>
  <c r="DS8" i="29"/>
  <c r="DP8" i="29"/>
  <c r="DM8" i="29"/>
  <c r="DM6" i="29" s="1"/>
  <c r="DJ8" i="29"/>
  <c r="DD8" i="29"/>
  <c r="DA8" i="29"/>
  <c r="CX8" i="29"/>
  <c r="CU8" i="29"/>
  <c r="CO8" i="29"/>
  <c r="CL8" i="29"/>
  <c r="CI8" i="29"/>
  <c r="CF8" i="29"/>
  <c r="CC8" i="29"/>
  <c r="BZ8" i="29"/>
  <c r="BW8" i="29"/>
  <c r="BT8" i="29"/>
  <c r="BQ8" i="29"/>
  <c r="BN8" i="29"/>
  <c r="BK8" i="29"/>
  <c r="BH8" i="29"/>
  <c r="BE8" i="29"/>
  <c r="BB8" i="29"/>
  <c r="AY8" i="29"/>
  <c r="AV8" i="29"/>
  <c r="AS8" i="29"/>
  <c r="AP8" i="29"/>
  <c r="AM8" i="29"/>
  <c r="AJ8" i="29"/>
  <c r="AG8" i="29"/>
  <c r="AF8" i="29"/>
  <c r="AE8" i="29"/>
  <c r="AD8" i="29"/>
  <c r="AC8" i="29"/>
  <c r="Z8" i="29"/>
  <c r="W8" i="29"/>
  <c r="T8" i="29"/>
  <c r="T7" i="29" s="1"/>
  <c r="T2" i="29" s="1"/>
  <c r="Q8" i="29"/>
  <c r="N8" i="29"/>
  <c r="K8" i="29"/>
  <c r="H8" i="29"/>
  <c r="E8" i="29"/>
  <c r="HB7" i="29"/>
  <c r="HB5" i="29" s="1"/>
  <c r="GY7" i="29"/>
  <c r="GY5" i="29" s="1"/>
  <c r="GV7" i="29"/>
  <c r="GM7" i="29"/>
  <c r="GJ7" i="29"/>
  <c r="GG7" i="29"/>
  <c r="FI7" i="29"/>
  <c r="FF7" i="29"/>
  <c r="FC7" i="29"/>
  <c r="FC5" i="29" s="1"/>
  <c r="ET7" i="29"/>
  <c r="ET5" i="29" s="1"/>
  <c r="EQ7" i="29"/>
  <c r="EQ5" i="29" s="1"/>
  <c r="EN7" i="29"/>
  <c r="EN5" i="29" s="1"/>
  <c r="EE7" i="29"/>
  <c r="EB7" i="29"/>
  <c r="DY7" i="29"/>
  <c r="DM7" i="29"/>
  <c r="DJ7" i="29"/>
  <c r="DJ5" i="29" s="1"/>
  <c r="DA7" i="29"/>
  <c r="CX7" i="29"/>
  <c r="CU7" i="29"/>
  <c r="CO7" i="29"/>
  <c r="CL7" i="29"/>
  <c r="CI7" i="29"/>
  <c r="CF7" i="29"/>
  <c r="CC7" i="29"/>
  <c r="BZ7" i="29"/>
  <c r="BT7" i="29"/>
  <c r="BQ7" i="29"/>
  <c r="BN7" i="29"/>
  <c r="BK7" i="29"/>
  <c r="BH7" i="29"/>
  <c r="BE7" i="29"/>
  <c r="BB7" i="29"/>
  <c r="AY7" i="29"/>
  <c r="AV7" i="29"/>
  <c r="AS7" i="29"/>
  <c r="AP7" i="29"/>
  <c r="AM7" i="29"/>
  <c r="AJ7" i="29"/>
  <c r="Z7" i="29"/>
  <c r="W7" i="29"/>
  <c r="Q7" i="29"/>
  <c r="N7" i="29"/>
  <c r="K7" i="29"/>
  <c r="H7" i="29"/>
  <c r="E7" i="29"/>
  <c r="E6" i="29" s="1"/>
  <c r="HB6" i="29"/>
  <c r="GY6" i="29"/>
  <c r="GV6" i="29"/>
  <c r="GP6" i="29"/>
  <c r="GM6" i="29"/>
  <c r="GJ6" i="29"/>
  <c r="GD6" i="29"/>
  <c r="GA6" i="29"/>
  <c r="FU6" i="29"/>
  <c r="FR6" i="29"/>
  <c r="FL6" i="29"/>
  <c r="FI6" i="29"/>
  <c r="FF6" i="29"/>
  <c r="FC6" i="29"/>
  <c r="EZ6" i="29"/>
  <c r="EW6" i="29"/>
  <c r="EK6" i="29"/>
  <c r="EH6" i="29"/>
  <c r="EE6" i="29"/>
  <c r="DV6" i="29"/>
  <c r="DS6" i="29"/>
  <c r="DJ6" i="29"/>
  <c r="DD6" i="29"/>
  <c r="DA6" i="29"/>
  <c r="CX6" i="29"/>
  <c r="CU6" i="29"/>
  <c r="CR6" i="29"/>
  <c r="CO6" i="29"/>
  <c r="CL6" i="29"/>
  <c r="BZ6" i="29"/>
  <c r="BW6" i="29"/>
  <c r="BT6" i="29"/>
  <c r="BQ6" i="29"/>
  <c r="AV6" i="29"/>
  <c r="AS6" i="29"/>
  <c r="AP6" i="29"/>
  <c r="AM6" i="29"/>
  <c r="Z6" i="29"/>
  <c r="W6" i="29"/>
  <c r="K6" i="29"/>
  <c r="H6" i="29"/>
  <c r="HE5" i="29"/>
  <c r="GV5" i="29"/>
  <c r="GS5" i="29"/>
  <c r="GP5" i="29"/>
  <c r="GM5" i="29"/>
  <c r="GJ5" i="29"/>
  <c r="GG5" i="29"/>
  <c r="GD5" i="29"/>
  <c r="GA5" i="29"/>
  <c r="FX5" i="29"/>
  <c r="FU5" i="29"/>
  <c r="FR5" i="29"/>
  <c r="FO5" i="29"/>
  <c r="FL5" i="29"/>
  <c r="FI5" i="29"/>
  <c r="FF5" i="29"/>
  <c r="EZ5" i="29"/>
  <c r="EW5" i="29"/>
  <c r="EK5" i="29"/>
  <c r="EH5" i="29"/>
  <c r="EE5" i="29"/>
  <c r="EB5" i="29"/>
  <c r="DY5" i="29"/>
  <c r="DV5" i="29"/>
  <c r="DS5" i="29"/>
  <c r="DM5" i="29"/>
  <c r="DD5" i="29"/>
  <c r="DA5" i="29"/>
  <c r="CX5" i="29"/>
  <c r="CU5" i="29"/>
  <c r="CU16" i="29" s="1"/>
  <c r="CO5" i="29"/>
  <c r="CR5" i="29" s="1"/>
  <c r="CL5" i="29"/>
  <c r="CI5" i="29"/>
  <c r="CF5" i="29"/>
  <c r="CC5" i="29"/>
  <c r="BZ5" i="29"/>
  <c r="BW5" i="29"/>
  <c r="BT5" i="29"/>
  <c r="BQ5" i="29"/>
  <c r="BN5" i="29"/>
  <c r="BK5" i="29"/>
  <c r="BH5" i="29"/>
  <c r="BE5" i="29"/>
  <c r="BB5" i="29"/>
  <c r="AY5" i="29"/>
  <c r="AV5" i="29"/>
  <c r="AS5" i="29"/>
  <c r="AP5" i="29"/>
  <c r="AM5" i="29"/>
  <c r="AJ5" i="29"/>
  <c r="AG5" i="29"/>
  <c r="AF5" i="29"/>
  <c r="AE5" i="29"/>
  <c r="AD5" i="29"/>
  <c r="AC5" i="29"/>
  <c r="Z5" i="29"/>
  <c r="W5" i="29"/>
  <c r="T5" i="29"/>
  <c r="Q5" i="29"/>
  <c r="N5" i="29"/>
  <c r="K5" i="29"/>
  <c r="H5" i="29"/>
  <c r="E5" i="29"/>
  <c r="FX2" i="29"/>
  <c r="H70" i="28"/>
  <c r="H69" i="28"/>
  <c r="H68" i="28"/>
  <c r="H67" i="28"/>
  <c r="H63" i="28" s="1"/>
  <c r="H66" i="28"/>
  <c r="H65" i="28"/>
  <c r="H64" i="28"/>
  <c r="H62" i="28"/>
  <c r="H61" i="28"/>
  <c r="H60" i="28"/>
  <c r="H58" i="28"/>
  <c r="H57" i="28"/>
  <c r="H56" i="28"/>
  <c r="K55" i="28"/>
  <c r="K54" i="28"/>
  <c r="H54" i="28"/>
  <c r="E54" i="28"/>
  <c r="K53" i="28"/>
  <c r="H53" i="28"/>
  <c r="E53" i="28"/>
  <c r="K52" i="28"/>
  <c r="DA51" i="28"/>
  <c r="K51" i="28"/>
  <c r="E51" i="28"/>
  <c r="DA50" i="28"/>
  <c r="K50" i="28"/>
  <c r="E50" i="28"/>
  <c r="CU49" i="28"/>
  <c r="H49" i="28"/>
  <c r="H47" i="28" s="1"/>
  <c r="CU48" i="28"/>
  <c r="H48" i="28"/>
  <c r="E48" i="28"/>
  <c r="Z47" i="28"/>
  <c r="E47" i="28"/>
  <c r="DA46" i="28"/>
  <c r="Z46" i="28"/>
  <c r="H46" i="28"/>
  <c r="E46" i="28"/>
  <c r="K45" i="28"/>
  <c r="E45" i="28"/>
  <c r="DA44" i="28"/>
  <c r="Z44" i="28"/>
  <c r="K44" i="28"/>
  <c r="E44" i="28"/>
  <c r="DA43" i="28"/>
  <c r="CU43" i="28"/>
  <c r="Z43" i="28"/>
  <c r="W43" i="28"/>
  <c r="K43" i="28"/>
  <c r="H43" i="28"/>
  <c r="B43" i="28"/>
  <c r="DA42" i="28"/>
  <c r="CU42" i="28"/>
  <c r="Z42" i="28"/>
  <c r="W42" i="28"/>
  <c r="K42" i="28"/>
  <c r="B42" i="28"/>
  <c r="CO22" i="28" s="1"/>
  <c r="CR22" i="28" s="1"/>
  <c r="HE41" i="28"/>
  <c r="DA41" i="28"/>
  <c r="CU41" i="28"/>
  <c r="K41" i="28"/>
  <c r="HE40" i="28"/>
  <c r="DA40" i="28"/>
  <c r="CU40" i="28"/>
  <c r="K40" i="28"/>
  <c r="H40" i="28"/>
  <c r="HE39" i="28"/>
  <c r="DA39" i="28"/>
  <c r="CU39" i="28"/>
  <c r="AG39" i="28"/>
  <c r="AF39" i="28"/>
  <c r="AE39" i="28"/>
  <c r="AD39" i="28"/>
  <c r="AC39" i="28"/>
  <c r="H39" i="28"/>
  <c r="E39" i="28"/>
  <c r="HE38" i="28"/>
  <c r="DA38" i="28"/>
  <c r="DA10" i="28" s="1"/>
  <c r="CU38" i="28"/>
  <c r="BZ38" i="28"/>
  <c r="AG38" i="28"/>
  <c r="AF38" i="28"/>
  <c r="AE38" i="28"/>
  <c r="AD38" i="28"/>
  <c r="AC38" i="28"/>
  <c r="K38" i="28"/>
  <c r="H38" i="28"/>
  <c r="E38" i="28"/>
  <c r="DA37" i="28"/>
  <c r="CU37" i="28"/>
  <c r="BZ37" i="28"/>
  <c r="BN37" i="28"/>
  <c r="BK37" i="28"/>
  <c r="BE37" i="28"/>
  <c r="BB37" i="28"/>
  <c r="AV37" i="28"/>
  <c r="AS37" i="28"/>
  <c r="AM37" i="28"/>
  <c r="AJ37" i="28"/>
  <c r="Q37" i="28"/>
  <c r="N37" i="28"/>
  <c r="K37" i="28"/>
  <c r="H37" i="28"/>
  <c r="HE36" i="28"/>
  <c r="DA36" i="28"/>
  <c r="CU36" i="28"/>
  <c r="BN36" i="28"/>
  <c r="BK36" i="28"/>
  <c r="BE36" i="28"/>
  <c r="BB36" i="28"/>
  <c r="AV36" i="28"/>
  <c r="AS36" i="28"/>
  <c r="AM36" i="28"/>
  <c r="AJ36" i="28"/>
  <c r="AF36" i="28"/>
  <c r="Z36" i="28"/>
  <c r="W36" i="28"/>
  <c r="Q36" i="28"/>
  <c r="N36" i="28"/>
  <c r="K36" i="28"/>
  <c r="H36" i="28"/>
  <c r="E36" i="28"/>
  <c r="HE35" i="28"/>
  <c r="DA35" i="28"/>
  <c r="CU35" i="28"/>
  <c r="BN35" i="28"/>
  <c r="BK35" i="28"/>
  <c r="BE35" i="28"/>
  <c r="BB35" i="28"/>
  <c r="AV35" i="28"/>
  <c r="AS35" i="28"/>
  <c r="AM35" i="28"/>
  <c r="AJ35" i="28"/>
  <c r="AE35" i="28"/>
  <c r="AD35" i="28"/>
  <c r="Z35" i="28"/>
  <c r="W35" i="28"/>
  <c r="Q35" i="28"/>
  <c r="N35" i="28"/>
  <c r="K35" i="28"/>
  <c r="H35" i="28"/>
  <c r="E35" i="28"/>
  <c r="HE34" i="28"/>
  <c r="DA34" i="28"/>
  <c r="CU34" i="28"/>
  <c r="BW34" i="28"/>
  <c r="BN34" i="28"/>
  <c r="BK34" i="28"/>
  <c r="BE34" i="28"/>
  <c r="BB34" i="28"/>
  <c r="AV34" i="28"/>
  <c r="AS34" i="28"/>
  <c r="AM34" i="28"/>
  <c r="AJ34" i="28"/>
  <c r="Q34" i="28"/>
  <c r="N34" i="28"/>
  <c r="K34" i="28"/>
  <c r="K46" i="28" s="1"/>
  <c r="H34" i="28"/>
  <c r="E34" i="28"/>
  <c r="B34" i="28"/>
  <c r="AG37" i="28" s="1"/>
  <c r="DA33" i="28"/>
  <c r="CU33" i="28"/>
  <c r="CF33" i="28"/>
  <c r="CC33" i="28"/>
  <c r="BW33" i="28"/>
  <c r="BN33" i="28"/>
  <c r="BK33" i="28"/>
  <c r="BE33" i="28"/>
  <c r="BB33" i="28"/>
  <c r="AV33" i="28"/>
  <c r="AS33" i="28"/>
  <c r="AM33" i="28"/>
  <c r="AJ33" i="28"/>
  <c r="Z33" i="28"/>
  <c r="W33" i="28"/>
  <c r="Q33" i="28"/>
  <c r="N33" i="28"/>
  <c r="K33" i="28"/>
  <c r="H33" i="28"/>
  <c r="E33" i="28"/>
  <c r="B33" i="28"/>
  <c r="HE32" i="28"/>
  <c r="DA32" i="28"/>
  <c r="CU32" i="28"/>
  <c r="CU44" i="28" s="1"/>
  <c r="CL32" i="28"/>
  <c r="CF32" i="28"/>
  <c r="CC32" i="28"/>
  <c r="BZ32" i="28"/>
  <c r="BW32" i="28"/>
  <c r="BN32" i="28"/>
  <c r="BK32" i="28"/>
  <c r="BE32" i="28"/>
  <c r="BB32" i="28"/>
  <c r="AV32" i="28"/>
  <c r="AS32" i="28"/>
  <c r="AM32" i="28"/>
  <c r="AJ32" i="28"/>
  <c r="Z32" i="28"/>
  <c r="W32" i="28"/>
  <c r="K32" i="28"/>
  <c r="H32" i="28"/>
  <c r="E32" i="28"/>
  <c r="B32" i="28"/>
  <c r="AC35" i="28" s="1"/>
  <c r="HE31" i="28"/>
  <c r="DA31" i="28"/>
  <c r="CU31" i="28"/>
  <c r="CL31" i="28"/>
  <c r="CF31" i="28"/>
  <c r="CC31" i="28"/>
  <c r="BZ31" i="28"/>
  <c r="BN31" i="28"/>
  <c r="BK31" i="28"/>
  <c r="BE31" i="28"/>
  <c r="BB31" i="28"/>
  <c r="AV31" i="28"/>
  <c r="AS31" i="28"/>
  <c r="AM31" i="28"/>
  <c r="AJ31" i="28"/>
  <c r="Z31" i="28"/>
  <c r="W31" i="28"/>
  <c r="K31" i="28"/>
  <c r="H31" i="28"/>
  <c r="HE30" i="28"/>
  <c r="DA30" i="28"/>
  <c r="CU30" i="28"/>
  <c r="CO30" i="28"/>
  <c r="CF30" i="28"/>
  <c r="CC30" i="28"/>
  <c r="BZ30" i="28"/>
  <c r="BT30" i="28"/>
  <c r="BN30" i="28"/>
  <c r="BK30" i="28"/>
  <c r="BE30" i="28"/>
  <c r="BB30" i="28"/>
  <c r="AV30" i="28"/>
  <c r="AS30" i="28"/>
  <c r="AM30" i="28"/>
  <c r="AJ30" i="28"/>
  <c r="Z30" i="28"/>
  <c r="W30" i="28"/>
  <c r="K30" i="28"/>
  <c r="H30" i="28"/>
  <c r="HE29" i="28"/>
  <c r="DA29" i="28"/>
  <c r="CU29" i="28"/>
  <c r="CO29" i="28"/>
  <c r="CF29" i="28"/>
  <c r="CC29" i="28"/>
  <c r="BZ29" i="28"/>
  <c r="BT29" i="28"/>
  <c r="BN29" i="28"/>
  <c r="BK29" i="28"/>
  <c r="BE29" i="28"/>
  <c r="BB29" i="28"/>
  <c r="AV29" i="28"/>
  <c r="AS29" i="28"/>
  <c r="AM29" i="28"/>
  <c r="AM25" i="28" s="1"/>
  <c r="AJ29" i="28"/>
  <c r="AJ25" i="28" s="1"/>
  <c r="Z29" i="28"/>
  <c r="W29" i="28"/>
  <c r="W28" i="28" s="1"/>
  <c r="Q29" i="28"/>
  <c r="N29" i="28"/>
  <c r="K29" i="28"/>
  <c r="H29" i="28"/>
  <c r="HE28" i="28"/>
  <c r="DA28" i="28"/>
  <c r="CU28" i="28"/>
  <c r="CO28" i="28"/>
  <c r="CL28" i="28"/>
  <c r="CL29" i="28" s="1"/>
  <c r="CF28" i="28"/>
  <c r="CC28" i="28"/>
  <c r="BZ28" i="28"/>
  <c r="BN28" i="28"/>
  <c r="BK28" i="28"/>
  <c r="BE28" i="28"/>
  <c r="BB28" i="28"/>
  <c r="AV28" i="28"/>
  <c r="AS28" i="28"/>
  <c r="AM28" i="28"/>
  <c r="AJ28" i="28"/>
  <c r="AG28" i="28"/>
  <c r="AF28" i="28"/>
  <c r="AE28" i="28"/>
  <c r="AD28" i="28"/>
  <c r="AD27" i="28" s="1"/>
  <c r="AC28" i="28"/>
  <c r="Z28" i="28"/>
  <c r="Q28" i="28"/>
  <c r="N28" i="28"/>
  <c r="H28" i="28"/>
  <c r="HE27" i="28"/>
  <c r="HB27" i="28"/>
  <c r="GM27" i="28"/>
  <c r="FI27" i="28"/>
  <c r="ET27" i="28"/>
  <c r="EE27" i="28"/>
  <c r="DA27" i="28"/>
  <c r="CX27" i="28"/>
  <c r="CU27" i="28"/>
  <c r="CO27" i="28"/>
  <c r="CL27" i="28"/>
  <c r="CF27" i="28"/>
  <c r="CC27" i="28"/>
  <c r="BZ27" i="28"/>
  <c r="BW27" i="28"/>
  <c r="BT27" i="28"/>
  <c r="BN27" i="28"/>
  <c r="BN26" i="28" s="1"/>
  <c r="BK27" i="28"/>
  <c r="BE27" i="28"/>
  <c r="BE26" i="28" s="1"/>
  <c r="BB27" i="28"/>
  <c r="AV27" i="28"/>
  <c r="AS27" i="28"/>
  <c r="AS26" i="28" s="1"/>
  <c r="AM27" i="28"/>
  <c r="AJ27" i="28"/>
  <c r="AJ26" i="28" s="1"/>
  <c r="AG27" i="28"/>
  <c r="AF27" i="28"/>
  <c r="AE27" i="28"/>
  <c r="AC27" i="28"/>
  <c r="Z27" i="28"/>
  <c r="W27" i="28"/>
  <c r="Q27" i="28"/>
  <c r="Q26" i="28" s="1"/>
  <c r="N27" i="28"/>
  <c r="N26" i="28" s="1"/>
  <c r="K27" i="28"/>
  <c r="H27" i="28"/>
  <c r="E27" i="28"/>
  <c r="HB26" i="28"/>
  <c r="GM26" i="28"/>
  <c r="FI26" i="28"/>
  <c r="FI24" i="28" s="1"/>
  <c r="ET26" i="28"/>
  <c r="ET24" i="28" s="1"/>
  <c r="EE26" i="28"/>
  <c r="DP26" i="28"/>
  <c r="DP24" i="28" s="1"/>
  <c r="DG26" i="28"/>
  <c r="DA26" i="28"/>
  <c r="CX26" i="28"/>
  <c r="CU26" i="28"/>
  <c r="CO26" i="28"/>
  <c r="CO24" i="28" s="1"/>
  <c r="CL26" i="28"/>
  <c r="CF26" i="28"/>
  <c r="CC26" i="28"/>
  <c r="BZ26" i="28"/>
  <c r="BW26" i="28"/>
  <c r="BT26" i="28"/>
  <c r="BK26" i="28"/>
  <c r="BB26" i="28"/>
  <c r="AV26" i="28"/>
  <c r="AM26" i="28"/>
  <c r="AF26" i="28"/>
  <c r="AF30" i="28" s="1"/>
  <c r="K26" i="28"/>
  <c r="H26" i="28"/>
  <c r="E26" i="28"/>
  <c r="HE25" i="28"/>
  <c r="HB25" i="28"/>
  <c r="GM25" i="28"/>
  <c r="GM23" i="28" s="1"/>
  <c r="FI25" i="28"/>
  <c r="ET25" i="28"/>
  <c r="ET23" i="28" s="1"/>
  <c r="EE25" i="28"/>
  <c r="EE23" i="28" s="1"/>
  <c r="DP25" i="28"/>
  <c r="CX25" i="28"/>
  <c r="CO25" i="28"/>
  <c r="CO23" i="28" s="1"/>
  <c r="CL25" i="28"/>
  <c r="CF25" i="28"/>
  <c r="CC25" i="28"/>
  <c r="CC24" i="28" s="1"/>
  <c r="BZ25" i="28"/>
  <c r="BZ33" i="28" s="1"/>
  <c r="BZ10" i="28" s="1"/>
  <c r="BZ15" i="28" s="1"/>
  <c r="BW25" i="28"/>
  <c r="BT25" i="28"/>
  <c r="AG25" i="28"/>
  <c r="AF25" i="28"/>
  <c r="AE25" i="28"/>
  <c r="AD25" i="28"/>
  <c r="AC25" i="28"/>
  <c r="E25" i="28"/>
  <c r="HB24" i="28"/>
  <c r="GM24" i="28"/>
  <c r="EE24" i="28"/>
  <c r="DD24" i="28"/>
  <c r="CX24" i="28"/>
  <c r="CL24" i="28"/>
  <c r="CF24" i="28"/>
  <c r="BZ24" i="28"/>
  <c r="BW24" i="28"/>
  <c r="BN24" i="28"/>
  <c r="BK24" i="28"/>
  <c r="BE24" i="28"/>
  <c r="BB24" i="28"/>
  <c r="AV24" i="28"/>
  <c r="AS24" i="28"/>
  <c r="AM24" i="28"/>
  <c r="AJ24" i="28"/>
  <c r="AG24" i="28"/>
  <c r="AF24" i="28"/>
  <c r="AE24" i="28"/>
  <c r="AD24" i="28"/>
  <c r="AC24" i="28"/>
  <c r="Q24" i="28"/>
  <c r="N24" i="28"/>
  <c r="K24" i="28"/>
  <c r="H24" i="28"/>
  <c r="E24" i="28"/>
  <c r="HB23" i="28"/>
  <c r="FI23" i="28"/>
  <c r="DP23" i="28"/>
  <c r="DG23" i="28"/>
  <c r="DG20" i="28" s="1"/>
  <c r="DD23" i="28"/>
  <c r="DA23" i="28"/>
  <c r="DA13" i="28" s="1"/>
  <c r="CR23" i="28"/>
  <c r="CL23" i="28"/>
  <c r="BZ23" i="28"/>
  <c r="BW23" i="28"/>
  <c r="AG23" i="28"/>
  <c r="AF23" i="28"/>
  <c r="AE23" i="28"/>
  <c r="AD23" i="28"/>
  <c r="AC23" i="28"/>
  <c r="K23" i="28"/>
  <c r="H23" i="28"/>
  <c r="HB22" i="28"/>
  <c r="GM22" i="28"/>
  <c r="GM16" i="28" s="1"/>
  <c r="FI22" i="28"/>
  <c r="FI16" i="28" s="1"/>
  <c r="ET22" i="28"/>
  <c r="ET16" i="28" s="1"/>
  <c r="EE22" i="28"/>
  <c r="EE16" i="28" s="1"/>
  <c r="DP22" i="28"/>
  <c r="DP16" i="28" s="1"/>
  <c r="DD22" i="28"/>
  <c r="CL22" i="28"/>
  <c r="CF22" i="28"/>
  <c r="CC22" i="28"/>
  <c r="BZ22" i="28"/>
  <c r="BW22" i="28"/>
  <c r="K22" i="28"/>
  <c r="HB21" i="28"/>
  <c r="GM21" i="28"/>
  <c r="GA21" i="28"/>
  <c r="FL21" i="28"/>
  <c r="FI21" i="28"/>
  <c r="EW21" i="28"/>
  <c r="ET21" i="28"/>
  <c r="EH21" i="28"/>
  <c r="EE21" i="28"/>
  <c r="DS21" i="28"/>
  <c r="DP21" i="28"/>
  <c r="DD21" i="28"/>
  <c r="BZ21" i="28"/>
  <c r="BW21" i="28"/>
  <c r="AG21" i="28"/>
  <c r="AF21" i="28"/>
  <c r="AE21" i="28"/>
  <c r="AD21" i="28"/>
  <c r="AC21" i="28"/>
  <c r="Z21" i="28"/>
  <c r="W21" i="28"/>
  <c r="K21" i="28"/>
  <c r="HB20" i="28"/>
  <c r="HB16" i="28" s="1"/>
  <c r="GP20" i="28"/>
  <c r="GM20" i="28"/>
  <c r="GA20" i="28"/>
  <c r="FL20" i="28"/>
  <c r="FI20" i="28"/>
  <c r="EW20" i="28"/>
  <c r="ET20" i="28"/>
  <c r="EH20" i="28"/>
  <c r="EE20" i="28"/>
  <c r="DS20" i="28"/>
  <c r="DP20" i="28"/>
  <c r="DD20" i="28"/>
  <c r="BZ20" i="28"/>
  <c r="BW20" i="28"/>
  <c r="BW12" i="28" s="1"/>
  <c r="BT20" i="28"/>
  <c r="AG20" i="28"/>
  <c r="AF20" i="28"/>
  <c r="AE20" i="28"/>
  <c r="AD20" i="28"/>
  <c r="AC20" i="28"/>
  <c r="Z20" i="28"/>
  <c r="W20" i="28"/>
  <c r="H20" i="28"/>
  <c r="HB19" i="28"/>
  <c r="GP19" i="28"/>
  <c r="GM19" i="28"/>
  <c r="GA19" i="28"/>
  <c r="FL19" i="28"/>
  <c r="FI19" i="28"/>
  <c r="EW19" i="28"/>
  <c r="ET19" i="28"/>
  <c r="EH19" i="28"/>
  <c r="EE19" i="28"/>
  <c r="DS19" i="28"/>
  <c r="DP19" i="28"/>
  <c r="DP11" i="28" s="1"/>
  <c r="CX19" i="28"/>
  <c r="BZ19" i="28"/>
  <c r="BW19" i="28"/>
  <c r="AG19" i="28"/>
  <c r="AF19" i="28"/>
  <c r="AE19" i="28"/>
  <c r="AD19" i="28"/>
  <c r="AC19" i="28"/>
  <c r="H19" i="28"/>
  <c r="HB18" i="28"/>
  <c r="GP18" i="28"/>
  <c r="GM18" i="28"/>
  <c r="GA18" i="28"/>
  <c r="FL18" i="28"/>
  <c r="FI18" i="28"/>
  <c r="EW18" i="28"/>
  <c r="ET18" i="28"/>
  <c r="EH18" i="28"/>
  <c r="EE18" i="28"/>
  <c r="DS18" i="28"/>
  <c r="DP18" i="28"/>
  <c r="CX18" i="28"/>
  <c r="BZ18" i="28"/>
  <c r="BW18" i="28"/>
  <c r="BT18" i="28"/>
  <c r="BQ18" i="28"/>
  <c r="BN18" i="28"/>
  <c r="BK18" i="28"/>
  <c r="BH18" i="28"/>
  <c r="BE18" i="28"/>
  <c r="BB18" i="28"/>
  <c r="AY18" i="28"/>
  <c r="AV18" i="28"/>
  <c r="AS18" i="28"/>
  <c r="AP18" i="28"/>
  <c r="AM18" i="28"/>
  <c r="AJ18" i="28"/>
  <c r="AG18" i="28"/>
  <c r="AF18" i="28"/>
  <c r="AE18" i="28"/>
  <c r="AD18" i="28"/>
  <c r="AC18" i="28"/>
  <c r="T18" i="28"/>
  <c r="Q18" i="28"/>
  <c r="N18" i="28"/>
  <c r="H18" i="28"/>
  <c r="E18" i="28"/>
  <c r="BT19" i="28" s="1"/>
  <c r="HB17" i="28"/>
  <c r="GP17" i="28"/>
  <c r="GM17" i="28"/>
  <c r="FI17" i="28"/>
  <c r="ET17" i="28"/>
  <c r="EE17" i="28"/>
  <c r="DP17" i="28"/>
  <c r="DD17" i="28"/>
  <c r="DM9" i="28" s="1"/>
  <c r="CX17" i="28"/>
  <c r="BW17" i="28"/>
  <c r="BT17" i="28"/>
  <c r="BQ17" i="28"/>
  <c r="BN17" i="28"/>
  <c r="BK17" i="28"/>
  <c r="BH17" i="28"/>
  <c r="BE17" i="28"/>
  <c r="BB17" i="28"/>
  <c r="AY17" i="28"/>
  <c r="AV17" i="28"/>
  <c r="AS17" i="28"/>
  <c r="AP17" i="28"/>
  <c r="AM17" i="28"/>
  <c r="AJ17" i="28"/>
  <c r="AG17" i="28"/>
  <c r="AF17" i="28"/>
  <c r="AE17" i="28"/>
  <c r="AD17" i="28"/>
  <c r="AC17" i="28"/>
  <c r="T17" i="28"/>
  <c r="Q17" i="28"/>
  <c r="N17" i="28"/>
  <c r="H17" i="28"/>
  <c r="E17" i="28"/>
  <c r="HE16" i="28"/>
  <c r="GA16" i="28"/>
  <c r="FL16" i="28"/>
  <c r="EW16" i="28"/>
  <c r="EH16" i="28"/>
  <c r="DD16" i="28"/>
  <c r="CX16" i="28"/>
  <c r="CI16" i="28"/>
  <c r="CF16" i="28"/>
  <c r="CC16" i="28"/>
  <c r="BW16" i="28"/>
  <c r="BT16" i="28"/>
  <c r="BQ16" i="28"/>
  <c r="BN16" i="28"/>
  <c r="BK16" i="28"/>
  <c r="BH16" i="28"/>
  <c r="BE16" i="28"/>
  <c r="BB16" i="28"/>
  <c r="AY16" i="28"/>
  <c r="AV16" i="28"/>
  <c r="AS16" i="28"/>
  <c r="AP16" i="28"/>
  <c r="AM16" i="28"/>
  <c r="AJ16" i="28"/>
  <c r="AG16" i="28"/>
  <c r="AF16" i="28"/>
  <c r="AE16" i="28"/>
  <c r="AD16" i="28"/>
  <c r="AC16" i="28"/>
  <c r="T16" i="28"/>
  <c r="Q16" i="28"/>
  <c r="N16" i="28"/>
  <c r="E16" i="28"/>
  <c r="HE15" i="28"/>
  <c r="HB15" i="28"/>
  <c r="HB2" i="28" s="1"/>
  <c r="GP15" i="28"/>
  <c r="GM15" i="28"/>
  <c r="FI15" i="28"/>
  <c r="ET15" i="28"/>
  <c r="DP15" i="28"/>
  <c r="DD15" i="28"/>
  <c r="CX15" i="28"/>
  <c r="CL15" i="28"/>
  <c r="CI15" i="28"/>
  <c r="CF15" i="28"/>
  <c r="CC15" i="28"/>
  <c r="BT15" i="28"/>
  <c r="BQ15" i="28"/>
  <c r="BN15" i="28"/>
  <c r="BK15" i="28"/>
  <c r="BH15" i="28"/>
  <c r="BE15" i="28"/>
  <c r="BB15" i="28"/>
  <c r="AY15" i="28"/>
  <c r="AV15" i="28"/>
  <c r="AS15" i="28"/>
  <c r="AP15" i="28"/>
  <c r="AM15" i="28"/>
  <c r="AJ15" i="28"/>
  <c r="T15" i="28"/>
  <c r="Q15" i="28"/>
  <c r="N15" i="28"/>
  <c r="E15" i="28"/>
  <c r="HE14" i="28"/>
  <c r="HB14" i="28"/>
  <c r="GP14" i="28"/>
  <c r="GY14" i="28" s="1"/>
  <c r="GM14" i="28"/>
  <c r="GA14" i="28"/>
  <c r="GJ14" i="28" s="1"/>
  <c r="FL14" i="28"/>
  <c r="FI14" i="28"/>
  <c r="EW14" i="28"/>
  <c r="FF14" i="28" s="1"/>
  <c r="ET14" i="28"/>
  <c r="EH14" i="28"/>
  <c r="EQ14" i="28" s="1"/>
  <c r="EE14" i="28"/>
  <c r="EB14" i="28"/>
  <c r="DY14" i="28"/>
  <c r="DS14" i="28"/>
  <c r="EB15" i="28" s="1"/>
  <c r="DP14" i="28"/>
  <c r="DD14" i="28"/>
  <c r="CX14" i="28"/>
  <c r="CL14" i="28"/>
  <c r="CI14" i="28"/>
  <c r="CF14" i="28"/>
  <c r="CC14" i="28"/>
  <c r="BW14" i="28"/>
  <c r="BT14" i="28"/>
  <c r="BQ14" i="28"/>
  <c r="BN14" i="28"/>
  <c r="BK14" i="28"/>
  <c r="BH14" i="28"/>
  <c r="BE14" i="28"/>
  <c r="BB14" i="28"/>
  <c r="AY14" i="28"/>
  <c r="AV14" i="28"/>
  <c r="AS14" i="28"/>
  <c r="AP14" i="28"/>
  <c r="AM14" i="28"/>
  <c r="AJ14" i="28"/>
  <c r="AG14" i="28"/>
  <c r="AF14" i="28"/>
  <c r="AE14" i="28"/>
  <c r="AD14" i="28"/>
  <c r="AC14" i="28"/>
  <c r="Z14" i="28"/>
  <c r="W14" i="28"/>
  <c r="T14" i="28"/>
  <c r="Q14" i="28"/>
  <c r="N14" i="28"/>
  <c r="E14" i="28"/>
  <c r="HB13" i="28"/>
  <c r="GY13" i="28"/>
  <c r="GV13" i="28"/>
  <c r="GP13" i="28"/>
  <c r="GM13" i="28"/>
  <c r="GJ13" i="28"/>
  <c r="GG13" i="28"/>
  <c r="GA13" i="28"/>
  <c r="FL13" i="28"/>
  <c r="FI13" i="28"/>
  <c r="FF13" i="28"/>
  <c r="FC13" i="28"/>
  <c r="EW13" i="28"/>
  <c r="ET13" i="28"/>
  <c r="EQ13" i="28"/>
  <c r="EN13" i="28"/>
  <c r="EH13" i="28"/>
  <c r="EE13" i="28"/>
  <c r="EB13" i="28"/>
  <c r="DY13" i="28"/>
  <c r="DS13" i="28"/>
  <c r="DP13" i="28"/>
  <c r="DD13" i="28"/>
  <c r="CX13" i="28"/>
  <c r="CU13" i="28"/>
  <c r="CU12" i="28" s="1"/>
  <c r="CO13" i="28"/>
  <c r="CI13" i="28"/>
  <c r="CF13" i="28"/>
  <c r="CC13" i="28"/>
  <c r="BW13" i="28"/>
  <c r="BT13" i="28"/>
  <c r="BQ13" i="28"/>
  <c r="BN13" i="28"/>
  <c r="BK13" i="28"/>
  <c r="BH13" i="28"/>
  <c r="BE13" i="28"/>
  <c r="BB13" i="28"/>
  <c r="AY13" i="28"/>
  <c r="AV13" i="28"/>
  <c r="AS13" i="28"/>
  <c r="AP13" i="28"/>
  <c r="AM13" i="28"/>
  <c r="AJ13" i="28"/>
  <c r="AG13" i="28"/>
  <c r="AF13" i="28"/>
  <c r="Z13" i="28"/>
  <c r="W13" i="28"/>
  <c r="T13" i="28"/>
  <c r="Q13" i="28"/>
  <c r="K13" i="28"/>
  <c r="E13" i="28"/>
  <c r="HB12" i="28"/>
  <c r="GY12" i="28"/>
  <c r="GV12" i="28"/>
  <c r="GP12" i="28"/>
  <c r="GM12" i="28"/>
  <c r="GJ12" i="28"/>
  <c r="GG12" i="28"/>
  <c r="GA12" i="28"/>
  <c r="FL12" i="28"/>
  <c r="FL7" i="28" s="1"/>
  <c r="FI12" i="28"/>
  <c r="FF12" i="28"/>
  <c r="FC12" i="28"/>
  <c r="EW12" i="28"/>
  <c r="ET12" i="28"/>
  <c r="EQ12" i="28"/>
  <c r="EN12" i="28"/>
  <c r="EH12" i="28"/>
  <c r="EE12" i="28"/>
  <c r="EB12" i="28"/>
  <c r="DY12" i="28"/>
  <c r="DS12" i="28"/>
  <c r="DP12" i="28"/>
  <c r="DD12" i="28"/>
  <c r="DA12" i="28"/>
  <c r="CX12" i="28"/>
  <c r="CO12" i="28"/>
  <c r="CI12" i="28"/>
  <c r="CF12" i="28"/>
  <c r="CC12" i="28"/>
  <c r="BZ12" i="28"/>
  <c r="BT12" i="28"/>
  <c r="BQ12" i="28"/>
  <c r="BQ6" i="28" s="1"/>
  <c r="BN12" i="28"/>
  <c r="BK12" i="28"/>
  <c r="BN25" i="28" s="1"/>
  <c r="BH12" i="28"/>
  <c r="BE12" i="28"/>
  <c r="BB12" i="28"/>
  <c r="AY12" i="28"/>
  <c r="AV12" i="28"/>
  <c r="AS12" i="28"/>
  <c r="AP12" i="28"/>
  <c r="AM12" i="28"/>
  <c r="AJ12" i="28"/>
  <c r="AG12" i="28"/>
  <c r="AF12" i="28"/>
  <c r="K12" i="28"/>
  <c r="E12" i="28"/>
  <c r="HE11" i="28"/>
  <c r="HB11" i="28"/>
  <c r="GY11" i="28"/>
  <c r="GV11" i="28"/>
  <c r="GP11" i="28"/>
  <c r="GM11" i="28"/>
  <c r="GJ11" i="28"/>
  <c r="GG11" i="28"/>
  <c r="GA11" i="28"/>
  <c r="FL11" i="28"/>
  <c r="FI11" i="28"/>
  <c r="FF11" i="28"/>
  <c r="FC11" i="28"/>
  <c r="EW11" i="28"/>
  <c r="ET11" i="28"/>
  <c r="EQ11" i="28"/>
  <c r="EN11" i="28"/>
  <c r="EH11" i="28"/>
  <c r="EE11" i="28"/>
  <c r="EB11" i="28"/>
  <c r="DY11" i="28"/>
  <c r="DS11" i="28"/>
  <c r="DD11" i="28"/>
  <c r="DA11" i="28"/>
  <c r="CO11" i="28"/>
  <c r="CL11" i="28"/>
  <c r="CL12" i="28" s="1"/>
  <c r="CL13" i="28" s="1"/>
  <c r="CI11" i="28"/>
  <c r="CF11" i="28"/>
  <c r="CC11" i="28"/>
  <c r="BZ11" i="28"/>
  <c r="BQ11" i="28"/>
  <c r="BN11" i="28"/>
  <c r="BK11" i="28"/>
  <c r="BH11" i="28"/>
  <c r="BE11" i="28"/>
  <c r="BB11" i="28"/>
  <c r="AY11" i="28"/>
  <c r="AV11" i="28"/>
  <c r="AS11" i="28"/>
  <c r="AP11" i="28"/>
  <c r="AM11" i="28"/>
  <c r="AJ11" i="28"/>
  <c r="AG11" i="28"/>
  <c r="AG26" i="28" s="1"/>
  <c r="AG30" i="28" s="1"/>
  <c r="AF11" i="28"/>
  <c r="AE11" i="28"/>
  <c r="AE26" i="28" s="1"/>
  <c r="AE30" i="28" s="1"/>
  <c r="AD11" i="28"/>
  <c r="AD26" i="28" s="1"/>
  <c r="AC11" i="28"/>
  <c r="AC26" i="28" s="1"/>
  <c r="AC30" i="28" s="1"/>
  <c r="Z11" i="28"/>
  <c r="W11" i="28"/>
  <c r="HE10" i="28"/>
  <c r="HB10" i="28"/>
  <c r="GY10" i="28"/>
  <c r="GV10" i="28"/>
  <c r="GP10" i="28"/>
  <c r="GM10" i="28"/>
  <c r="GJ10" i="28"/>
  <c r="GG10" i="28"/>
  <c r="GA10" i="28"/>
  <c r="FL10" i="28"/>
  <c r="FI10" i="28"/>
  <c r="FF10" i="28"/>
  <c r="FC10" i="28"/>
  <c r="EW10" i="28"/>
  <c r="ET10" i="28"/>
  <c r="EQ10" i="28"/>
  <c r="EN10" i="28"/>
  <c r="EH10" i="28"/>
  <c r="EE10" i="28"/>
  <c r="EB10" i="28"/>
  <c r="DY10" i="28"/>
  <c r="DS10" i="28"/>
  <c r="DP10" i="28"/>
  <c r="DG10" i="28"/>
  <c r="CX10" i="28"/>
  <c r="CU10" i="28"/>
  <c r="CO10" i="28"/>
  <c r="CL10" i="28"/>
  <c r="CI10" i="28"/>
  <c r="CF10" i="28"/>
  <c r="CC10" i="28"/>
  <c r="CF6" i="28" s="1"/>
  <c r="BT10" i="28"/>
  <c r="BQ10" i="28"/>
  <c r="BN10" i="28"/>
  <c r="BK10" i="28"/>
  <c r="BH10" i="28"/>
  <c r="BE10" i="28"/>
  <c r="BB10" i="28"/>
  <c r="BH6" i="28" s="1"/>
  <c r="AY10" i="28"/>
  <c r="AV10" i="28"/>
  <c r="AS10" i="28"/>
  <c r="AV25" i="28" s="1"/>
  <c r="AV21" i="28" s="1"/>
  <c r="AP10" i="28"/>
  <c r="AP6" i="28" s="1"/>
  <c r="AM10" i="28"/>
  <c r="AJ10" i="28"/>
  <c r="AJ6" i="28" s="1"/>
  <c r="Z10" i="28"/>
  <c r="W10" i="28"/>
  <c r="T10" i="28"/>
  <c r="Q10" i="28"/>
  <c r="N10" i="28"/>
  <c r="K10" i="28"/>
  <c r="E10" i="28"/>
  <c r="BW7" i="28" s="1"/>
  <c r="HE9" i="28"/>
  <c r="HB9" i="28"/>
  <c r="GY9" i="28"/>
  <c r="GV9" i="28"/>
  <c r="GP9" i="28"/>
  <c r="GM9" i="28"/>
  <c r="GJ9" i="28"/>
  <c r="GG9" i="28"/>
  <c r="GA9" i="28"/>
  <c r="FL9" i="28"/>
  <c r="FI9" i="28"/>
  <c r="FF9" i="28"/>
  <c r="FC9" i="28"/>
  <c r="EW9" i="28"/>
  <c r="ET9" i="28"/>
  <c r="EQ9" i="28"/>
  <c r="EN9" i="28"/>
  <c r="EH9" i="28"/>
  <c r="EE9" i="28"/>
  <c r="EB9" i="28"/>
  <c r="DY9" i="28"/>
  <c r="DS9" i="28"/>
  <c r="DP9" i="28"/>
  <c r="DD9" i="28"/>
  <c r="DA9" i="28"/>
  <c r="CX9" i="28"/>
  <c r="CU9" i="28"/>
  <c r="CO9" i="28"/>
  <c r="CL9" i="28"/>
  <c r="CI9" i="28"/>
  <c r="CF9" i="28"/>
  <c r="CC9" i="28"/>
  <c r="BZ9" i="28"/>
  <c r="BW9" i="28"/>
  <c r="BT9" i="28"/>
  <c r="BT28" i="28" s="1"/>
  <c r="BQ9" i="28"/>
  <c r="BN9" i="28"/>
  <c r="BK9" i="28"/>
  <c r="BH9" i="28"/>
  <c r="BE9" i="28"/>
  <c r="BB9" i="28"/>
  <c r="AY9" i="28"/>
  <c r="AV9" i="28"/>
  <c r="AS9" i="28"/>
  <c r="AP9" i="28"/>
  <c r="AM9" i="28"/>
  <c r="AJ9" i="28"/>
  <c r="AG9" i="28"/>
  <c r="AF9" i="28"/>
  <c r="AE9" i="28"/>
  <c r="AD9" i="28"/>
  <c r="AC9" i="28"/>
  <c r="Z9" i="28"/>
  <c r="W9" i="28"/>
  <c r="N9" i="28"/>
  <c r="K9" i="28"/>
  <c r="H9" i="28"/>
  <c r="E9" i="28"/>
  <c r="HE8" i="28"/>
  <c r="HE7" i="28" s="1"/>
  <c r="HB8" i="28"/>
  <c r="GY8" i="28"/>
  <c r="GY6" i="28" s="1"/>
  <c r="GV8" i="28"/>
  <c r="GP8" i="28"/>
  <c r="GM8" i="28"/>
  <c r="GM6" i="28" s="1"/>
  <c r="GJ8" i="28"/>
  <c r="GJ6" i="28" s="1"/>
  <c r="GG8" i="28"/>
  <c r="GA8" i="28"/>
  <c r="FL8" i="28"/>
  <c r="FI8" i="28"/>
  <c r="FF8" i="28"/>
  <c r="FC8" i="28"/>
  <c r="EW8" i="28"/>
  <c r="ET8" i="28"/>
  <c r="ET6" i="28" s="1"/>
  <c r="EQ8" i="28"/>
  <c r="EN8" i="28"/>
  <c r="EN6" i="28" s="1"/>
  <c r="EH8" i="28"/>
  <c r="EE8" i="28"/>
  <c r="EB8" i="28"/>
  <c r="EB6" i="28" s="1"/>
  <c r="DY8" i="28"/>
  <c r="DS8" i="28"/>
  <c r="DP8" i="28"/>
  <c r="DM8" i="28"/>
  <c r="DJ8" i="28"/>
  <c r="DJ6" i="28" s="1"/>
  <c r="DD8" i="28"/>
  <c r="DA8" i="28"/>
  <c r="CX8" i="28"/>
  <c r="CU8" i="28"/>
  <c r="CO8" i="28"/>
  <c r="CO6" i="28" s="1"/>
  <c r="CL8" i="28"/>
  <c r="CI8" i="28"/>
  <c r="CF8" i="28"/>
  <c r="CC8" i="28"/>
  <c r="BZ8" i="28"/>
  <c r="BW8" i="28"/>
  <c r="BT8" i="28"/>
  <c r="BQ8" i="28"/>
  <c r="BN8" i="28"/>
  <c r="BK8" i="28"/>
  <c r="BH8" i="28"/>
  <c r="BE8" i="28"/>
  <c r="BB8" i="28"/>
  <c r="AY8" i="28"/>
  <c r="AV8" i="28"/>
  <c r="AS8" i="28"/>
  <c r="AP8" i="28"/>
  <c r="AM8" i="28"/>
  <c r="AJ8" i="28"/>
  <c r="AG8" i="28"/>
  <c r="AF8" i="28"/>
  <c r="AE8" i="28"/>
  <c r="AD8" i="28"/>
  <c r="AC8" i="28"/>
  <c r="Z8" i="28"/>
  <c r="W8" i="28"/>
  <c r="T8" i="28"/>
  <c r="T7" i="28" s="1"/>
  <c r="Q8" i="28"/>
  <c r="N8" i="28"/>
  <c r="K8" i="28"/>
  <c r="H8" i="28"/>
  <c r="E8" i="28"/>
  <c r="HB7" i="28"/>
  <c r="GY7" i="28"/>
  <c r="GY5" i="28" s="1"/>
  <c r="GV7" i="28"/>
  <c r="GM7" i="28"/>
  <c r="GJ7" i="28"/>
  <c r="GG7" i="28"/>
  <c r="GG5" i="28" s="1"/>
  <c r="FU7" i="28"/>
  <c r="FI7" i="28"/>
  <c r="FF7" i="28"/>
  <c r="FC7" i="28"/>
  <c r="FC5" i="28" s="1"/>
  <c r="ET7" i="28"/>
  <c r="ET5" i="28" s="1"/>
  <c r="EQ7" i="28"/>
  <c r="EN7" i="28"/>
  <c r="EE7" i="28"/>
  <c r="EB7" i="28"/>
  <c r="DY7" i="28"/>
  <c r="DM7" i="28"/>
  <c r="DM5" i="28" s="1"/>
  <c r="DJ7" i="28"/>
  <c r="DA7" i="28"/>
  <c r="CX7" i="28"/>
  <c r="CU7" i="28"/>
  <c r="CO7" i="28"/>
  <c r="CL7" i="28"/>
  <c r="CI7" i="28"/>
  <c r="CF7" i="28"/>
  <c r="CC7" i="28"/>
  <c r="BZ7" i="28"/>
  <c r="BT7" i="28"/>
  <c r="BQ7" i="28"/>
  <c r="BN7" i="28"/>
  <c r="BK7" i="28"/>
  <c r="BH7" i="28"/>
  <c r="BE7" i="28"/>
  <c r="BB7" i="28"/>
  <c r="AY7" i="28"/>
  <c r="AV7" i="28"/>
  <c r="AS7" i="28"/>
  <c r="AP7" i="28"/>
  <c r="AM7" i="28"/>
  <c r="AJ7" i="28"/>
  <c r="Z7" i="28"/>
  <c r="W7" i="28"/>
  <c r="W6" i="28" s="1"/>
  <c r="Q7" i="28"/>
  <c r="N7" i="28"/>
  <c r="K7" i="28"/>
  <c r="H7" i="28"/>
  <c r="E7" i="28"/>
  <c r="E6" i="28" s="1"/>
  <c r="HB6" i="28"/>
  <c r="GV6" i="28"/>
  <c r="GP6" i="28"/>
  <c r="GG6" i="28"/>
  <c r="GD6" i="28"/>
  <c r="GA6" i="28"/>
  <c r="FU6" i="28"/>
  <c r="FR6" i="28"/>
  <c r="FL6" i="28"/>
  <c r="FI6" i="28"/>
  <c r="FF6" i="28"/>
  <c r="FC6" i="28"/>
  <c r="EZ6" i="28"/>
  <c r="EW6" i="28"/>
  <c r="EQ6" i="28"/>
  <c r="EK6" i="28"/>
  <c r="EH6" i="28"/>
  <c r="EE6" i="28"/>
  <c r="DY6" i="28"/>
  <c r="DV6" i="28"/>
  <c r="DS6" i="28"/>
  <c r="DM6" i="28"/>
  <c r="DD6" i="28"/>
  <c r="DA6" i="28"/>
  <c r="CX6" i="28"/>
  <c r="CU6" i="28"/>
  <c r="CR6" i="28"/>
  <c r="CL6" i="28"/>
  <c r="CI6" i="28"/>
  <c r="BZ6" i="28"/>
  <c r="BW6" i="28"/>
  <c r="BT6" i="28"/>
  <c r="AM6" i="28"/>
  <c r="AM2" i="28" s="1"/>
  <c r="Z6" i="28"/>
  <c r="K6" i="28"/>
  <c r="H6" i="28"/>
  <c r="HE5" i="28"/>
  <c r="HB5" i="28"/>
  <c r="GV5" i="28"/>
  <c r="GS5" i="28"/>
  <c r="GP5" i="28"/>
  <c r="GM5" i="28"/>
  <c r="GJ5" i="28"/>
  <c r="GD5" i="28"/>
  <c r="GA5" i="28"/>
  <c r="FX5" i="28"/>
  <c r="FU5" i="28"/>
  <c r="FR5" i="28"/>
  <c r="FO5" i="28"/>
  <c r="FL5" i="28"/>
  <c r="FI5" i="28"/>
  <c r="FF5" i="28"/>
  <c r="EZ5" i="28"/>
  <c r="EW5" i="28"/>
  <c r="EQ5" i="28"/>
  <c r="EN5" i="28"/>
  <c r="EK5" i="28"/>
  <c r="EH5" i="28"/>
  <c r="EE5" i="28"/>
  <c r="EB5" i="28"/>
  <c r="DY5" i="28"/>
  <c r="DV5" i="28"/>
  <c r="DS5" i="28"/>
  <c r="DJ5" i="28"/>
  <c r="DD5" i="28"/>
  <c r="DA5" i="28"/>
  <c r="CX5" i="28"/>
  <c r="CU5" i="28"/>
  <c r="CR5" i="28"/>
  <c r="CO5" i="28"/>
  <c r="CL5" i="28"/>
  <c r="CI5" i="28"/>
  <c r="CF5" i="28"/>
  <c r="CF2" i="28" s="1"/>
  <c r="CC5" i="28"/>
  <c r="BZ5" i="28"/>
  <c r="BW5" i="28"/>
  <c r="BT5" i="28"/>
  <c r="BQ5" i="28"/>
  <c r="BN5" i="28"/>
  <c r="BK5" i="28"/>
  <c r="BH5" i="28"/>
  <c r="BE5" i="28"/>
  <c r="BB5" i="28"/>
  <c r="AY5" i="28"/>
  <c r="AV5" i="28"/>
  <c r="AS5" i="28"/>
  <c r="AP5" i="28"/>
  <c r="AM5" i="28"/>
  <c r="AJ5" i="28"/>
  <c r="AG5" i="28"/>
  <c r="AF5" i="28"/>
  <c r="AE5" i="28"/>
  <c r="AD5" i="28"/>
  <c r="AC5" i="28"/>
  <c r="Z5" i="28"/>
  <c r="W5" i="28"/>
  <c r="T5" i="28"/>
  <c r="T2" i="28" s="1"/>
  <c r="Q5" i="28"/>
  <c r="N5" i="28"/>
  <c r="K5" i="28"/>
  <c r="H5" i="28"/>
  <c r="E5" i="28"/>
  <c r="FX2" i="28"/>
  <c r="H70" i="26"/>
  <c r="H69" i="26"/>
  <c r="H68" i="26"/>
  <c r="H67" i="26"/>
  <c r="H63" i="26" s="1"/>
  <c r="H66" i="26"/>
  <c r="H65" i="26"/>
  <c r="H64" i="26"/>
  <c r="H62" i="26"/>
  <c r="H61" i="26"/>
  <c r="H60" i="26"/>
  <c r="H58" i="26"/>
  <c r="H57" i="26"/>
  <c r="H56" i="26"/>
  <c r="K55" i="26"/>
  <c r="K54" i="26"/>
  <c r="H54" i="26"/>
  <c r="E54" i="26"/>
  <c r="K53" i="26"/>
  <c r="H53" i="26"/>
  <c r="E53" i="26"/>
  <c r="K52" i="26"/>
  <c r="DA51" i="26"/>
  <c r="K51" i="26"/>
  <c r="E51" i="26"/>
  <c r="DA50" i="26"/>
  <c r="K50" i="26"/>
  <c r="E50" i="26"/>
  <c r="CU49" i="26"/>
  <c r="H49" i="26"/>
  <c r="H47" i="26" s="1"/>
  <c r="CU48" i="26"/>
  <c r="H48" i="26"/>
  <c r="E48" i="26"/>
  <c r="Z47" i="26"/>
  <c r="E47" i="26"/>
  <c r="DA46" i="26"/>
  <c r="Z46" i="26"/>
  <c r="H46" i="26"/>
  <c r="E46" i="26"/>
  <c r="K45" i="26"/>
  <c r="E45" i="26"/>
  <c r="DA44" i="26"/>
  <c r="Z44" i="26"/>
  <c r="K44" i="26"/>
  <c r="E44" i="26"/>
  <c r="DA43" i="26"/>
  <c r="CU43" i="26"/>
  <c r="Z43" i="26"/>
  <c r="W43" i="26"/>
  <c r="K43" i="26"/>
  <c r="H43" i="26"/>
  <c r="B43" i="26"/>
  <c r="DA42" i="26"/>
  <c r="CU42" i="26"/>
  <c r="Z42" i="26"/>
  <c r="W42" i="26"/>
  <c r="K42" i="26"/>
  <c r="B42" i="26"/>
  <c r="HE41" i="26"/>
  <c r="DA41" i="26"/>
  <c r="CU41" i="26"/>
  <c r="K41" i="26"/>
  <c r="HE40" i="26"/>
  <c r="DA40" i="26"/>
  <c r="CU40" i="26"/>
  <c r="K40" i="26"/>
  <c r="H40" i="26"/>
  <c r="HE39" i="26"/>
  <c r="DA39" i="26"/>
  <c r="CU39" i="26"/>
  <c r="AG39" i="26"/>
  <c r="AF39" i="26"/>
  <c r="AE39" i="26"/>
  <c r="AD39" i="26"/>
  <c r="AC39" i="26"/>
  <c r="H39" i="26"/>
  <c r="E39" i="26"/>
  <c r="HE38" i="26"/>
  <c r="DA38" i="26"/>
  <c r="CU38" i="26"/>
  <c r="BZ38" i="26"/>
  <c r="AG38" i="26"/>
  <c r="AF38" i="26"/>
  <c r="AE38" i="26"/>
  <c r="AD38" i="26"/>
  <c r="AC38" i="26"/>
  <c r="K38" i="26"/>
  <c r="H38" i="26"/>
  <c r="E38" i="26"/>
  <c r="DA37" i="26"/>
  <c r="CU37" i="26"/>
  <c r="BZ37" i="26"/>
  <c r="BN37" i="26"/>
  <c r="BK37" i="26"/>
  <c r="BE37" i="26"/>
  <c r="BB37" i="26"/>
  <c r="AV37" i="26"/>
  <c r="AS37" i="26"/>
  <c r="AM37" i="26"/>
  <c r="AJ37" i="26"/>
  <c r="Q37" i="26"/>
  <c r="N37" i="26"/>
  <c r="K37" i="26"/>
  <c r="H37" i="26"/>
  <c r="HE36" i="26"/>
  <c r="DA36" i="26"/>
  <c r="CU36" i="26"/>
  <c r="BN36" i="26"/>
  <c r="BK36" i="26"/>
  <c r="BE36" i="26"/>
  <c r="BB36" i="26"/>
  <c r="AV36" i="26"/>
  <c r="AS36" i="26"/>
  <c r="AM36" i="26"/>
  <c r="AJ36" i="26"/>
  <c r="Z36" i="26"/>
  <c r="W36" i="26"/>
  <c r="Q36" i="26"/>
  <c r="N36" i="26"/>
  <c r="K36" i="26"/>
  <c r="H36" i="26"/>
  <c r="E36" i="26"/>
  <c r="HE35" i="26"/>
  <c r="DA35" i="26"/>
  <c r="CU35" i="26"/>
  <c r="BN35" i="26"/>
  <c r="BK35" i="26"/>
  <c r="BE35" i="26"/>
  <c r="BB35" i="26"/>
  <c r="AV35" i="26"/>
  <c r="AS35" i="26"/>
  <c r="AM35" i="26"/>
  <c r="AJ35" i="26"/>
  <c r="AE35" i="26"/>
  <c r="AD35" i="26"/>
  <c r="AC35" i="26"/>
  <c r="Z35" i="26"/>
  <c r="W35" i="26"/>
  <c r="Q35" i="26"/>
  <c r="N35" i="26"/>
  <c r="K35" i="26"/>
  <c r="H35" i="26"/>
  <c r="E35" i="26"/>
  <c r="HE34" i="26"/>
  <c r="DA34" i="26"/>
  <c r="DA25" i="26" s="1"/>
  <c r="DA15" i="26" s="1"/>
  <c r="CU34" i="26"/>
  <c r="BW34" i="26"/>
  <c r="BN34" i="26"/>
  <c r="BK34" i="26"/>
  <c r="BE34" i="26"/>
  <c r="BB34" i="26"/>
  <c r="AV34" i="26"/>
  <c r="AS34" i="26"/>
  <c r="AM34" i="26"/>
  <c r="AJ34" i="26"/>
  <c r="Q34" i="26"/>
  <c r="N34" i="26"/>
  <c r="K34" i="26"/>
  <c r="K46" i="26" s="1"/>
  <c r="K11" i="26" s="1"/>
  <c r="H34" i="26"/>
  <c r="E34" i="26"/>
  <c r="B34" i="26"/>
  <c r="AG37" i="26" s="1"/>
  <c r="DA33" i="26"/>
  <c r="CU33" i="26"/>
  <c r="CF33" i="26"/>
  <c r="CC33" i="26"/>
  <c r="BW33" i="26"/>
  <c r="BN33" i="26"/>
  <c r="BK33" i="26"/>
  <c r="BE33" i="26"/>
  <c r="BB33" i="26"/>
  <c r="AV33" i="26"/>
  <c r="AS33" i="26"/>
  <c r="AM33" i="26"/>
  <c r="AJ33" i="26"/>
  <c r="Z33" i="26"/>
  <c r="W33" i="26"/>
  <c r="Q33" i="26"/>
  <c r="N33" i="26"/>
  <c r="K33" i="26"/>
  <c r="H33" i="26"/>
  <c r="E33" i="26"/>
  <c r="B33" i="26"/>
  <c r="AF36" i="26" s="1"/>
  <c r="HE32" i="26"/>
  <c r="DA32" i="26"/>
  <c r="CU32" i="26"/>
  <c r="CU44" i="26" s="1"/>
  <c r="CU11" i="26" s="1"/>
  <c r="CL32" i="26"/>
  <c r="CF32" i="26"/>
  <c r="CC32" i="26"/>
  <c r="BZ32" i="26"/>
  <c r="BW32" i="26"/>
  <c r="BN32" i="26"/>
  <c r="BK32" i="26"/>
  <c r="BE32" i="26"/>
  <c r="BB32" i="26"/>
  <c r="AV32" i="26"/>
  <c r="AS32" i="26"/>
  <c r="AM32" i="26"/>
  <c r="AJ32" i="26"/>
  <c r="Z32" i="26"/>
  <c r="W32" i="26"/>
  <c r="K32" i="26"/>
  <c r="H32" i="26"/>
  <c r="E32" i="26"/>
  <c r="B32" i="26"/>
  <c r="K10" i="26" s="1"/>
  <c r="HE31" i="26"/>
  <c r="DA31" i="26"/>
  <c r="CU31" i="26"/>
  <c r="CL31" i="26"/>
  <c r="CL30" i="26" s="1"/>
  <c r="CF31" i="26"/>
  <c r="CC31" i="26"/>
  <c r="BZ31" i="26"/>
  <c r="BN31" i="26"/>
  <c r="BK31" i="26"/>
  <c r="BE31" i="26"/>
  <c r="BB31" i="26"/>
  <c r="AV31" i="26"/>
  <c r="AS31" i="26"/>
  <c r="AM31" i="26"/>
  <c r="AJ31" i="26"/>
  <c r="Z31" i="26"/>
  <c r="W31" i="26"/>
  <c r="K31" i="26"/>
  <c r="H31" i="26"/>
  <c r="HE30" i="26"/>
  <c r="DA30" i="26"/>
  <c r="CU30" i="26"/>
  <c r="CO30" i="26"/>
  <c r="CF30" i="26"/>
  <c r="CC30" i="26"/>
  <c r="BZ30" i="26"/>
  <c r="BT30" i="26"/>
  <c r="BN30" i="26"/>
  <c r="BK30" i="26"/>
  <c r="BE30" i="26"/>
  <c r="BB30" i="26"/>
  <c r="AV30" i="26"/>
  <c r="AS30" i="26"/>
  <c r="AM30" i="26"/>
  <c r="AJ30" i="26"/>
  <c r="Z30" i="26"/>
  <c r="W30" i="26"/>
  <c r="K30" i="26"/>
  <c r="H30" i="26"/>
  <c r="HE29" i="26"/>
  <c r="DA29" i="26"/>
  <c r="CU29" i="26"/>
  <c r="CO29" i="26"/>
  <c r="CL29" i="26"/>
  <c r="CF29" i="26"/>
  <c r="CC29" i="26"/>
  <c r="BZ29" i="26"/>
  <c r="BT29" i="26"/>
  <c r="BN29" i="26"/>
  <c r="BK29" i="26"/>
  <c r="BE29" i="26"/>
  <c r="BB29" i="26"/>
  <c r="AV29" i="26"/>
  <c r="AS29" i="26"/>
  <c r="AM29" i="26"/>
  <c r="AM25" i="26" s="1"/>
  <c r="AJ29" i="26"/>
  <c r="AJ25" i="26" s="1"/>
  <c r="Z29" i="26"/>
  <c r="W29" i="26"/>
  <c r="W28" i="26" s="1"/>
  <c r="Q29" i="26"/>
  <c r="N29" i="26"/>
  <c r="K29" i="26"/>
  <c r="H29" i="26"/>
  <c r="HE28" i="26"/>
  <c r="DA28" i="26"/>
  <c r="CU28" i="26"/>
  <c r="CO28" i="26"/>
  <c r="CL28" i="26"/>
  <c r="CF28" i="26"/>
  <c r="CC28" i="26"/>
  <c r="BZ28" i="26"/>
  <c r="BN28" i="26"/>
  <c r="BK28" i="26"/>
  <c r="BE28" i="26"/>
  <c r="BB28" i="26"/>
  <c r="AV28" i="26"/>
  <c r="AS28" i="26"/>
  <c r="AM28" i="26"/>
  <c r="AJ28" i="26"/>
  <c r="AG28" i="26"/>
  <c r="AF28" i="26"/>
  <c r="AE28" i="26"/>
  <c r="AE27" i="26" s="1"/>
  <c r="AD28" i="26"/>
  <c r="AD27" i="26" s="1"/>
  <c r="AC28" i="26"/>
  <c r="AC27" i="26" s="1"/>
  <c r="Z28" i="26"/>
  <c r="Z38" i="26" s="1"/>
  <c r="Q28" i="26"/>
  <c r="N28" i="26"/>
  <c r="H28" i="26"/>
  <c r="HE27" i="26"/>
  <c r="HB27" i="26"/>
  <c r="GM27" i="26"/>
  <c r="FI27" i="26"/>
  <c r="ET27" i="26"/>
  <c r="EE27" i="26"/>
  <c r="DA27" i="26"/>
  <c r="CX27" i="26"/>
  <c r="CU27" i="26"/>
  <c r="CO27" i="26"/>
  <c r="CL27" i="26"/>
  <c r="CF27" i="26"/>
  <c r="CC27" i="26"/>
  <c r="BZ27" i="26"/>
  <c r="BW27" i="26"/>
  <c r="BT27" i="26"/>
  <c r="BN27" i="26"/>
  <c r="BN26" i="26" s="1"/>
  <c r="BK27" i="26"/>
  <c r="BK26" i="26" s="1"/>
  <c r="BE27" i="26"/>
  <c r="BB27" i="26"/>
  <c r="AV27" i="26"/>
  <c r="AS27" i="26"/>
  <c r="AM27" i="26"/>
  <c r="AM26" i="26" s="1"/>
  <c r="AJ27" i="26"/>
  <c r="AJ26" i="26" s="1"/>
  <c r="AG27" i="26"/>
  <c r="AF27" i="26"/>
  <c r="Z27" i="26"/>
  <c r="W27" i="26"/>
  <c r="Q27" i="26"/>
  <c r="Q26" i="26" s="1"/>
  <c r="Q21" i="26" s="1"/>
  <c r="N27" i="26"/>
  <c r="N26" i="26" s="1"/>
  <c r="K27" i="26"/>
  <c r="H27" i="26"/>
  <c r="E27" i="26"/>
  <c r="HB26" i="26"/>
  <c r="GM26" i="26"/>
  <c r="FI26" i="26"/>
  <c r="ET26" i="26"/>
  <c r="EE26" i="26"/>
  <c r="EE24" i="26" s="1"/>
  <c r="DP26" i="26"/>
  <c r="DP24" i="26" s="1"/>
  <c r="DG26" i="26"/>
  <c r="DA26" i="26"/>
  <c r="CX26" i="26"/>
  <c r="CU26" i="26"/>
  <c r="CO26" i="26"/>
  <c r="CL26" i="26"/>
  <c r="CF26" i="26"/>
  <c r="CC26" i="26"/>
  <c r="BZ26" i="26"/>
  <c r="BW26" i="26"/>
  <c r="BT26" i="26"/>
  <c r="BE26" i="26"/>
  <c r="BB26" i="26"/>
  <c r="AV26" i="26"/>
  <c r="AS26" i="26"/>
  <c r="K26" i="26"/>
  <c r="H26" i="26"/>
  <c r="E26" i="26"/>
  <c r="HE25" i="26"/>
  <c r="HB25" i="26"/>
  <c r="GM25" i="26"/>
  <c r="FI25" i="26"/>
  <c r="ET25" i="26"/>
  <c r="ET23" i="26" s="1"/>
  <c r="EE25" i="26"/>
  <c r="EE23" i="26" s="1"/>
  <c r="DP25" i="26"/>
  <c r="CX25" i="26"/>
  <c r="CO25" i="26"/>
  <c r="CL25" i="26"/>
  <c r="CF25" i="26"/>
  <c r="CC25" i="26"/>
  <c r="CC24" i="26" s="1"/>
  <c r="BZ25" i="26"/>
  <c r="BZ33" i="26" s="1"/>
  <c r="BZ10" i="26" s="1"/>
  <c r="BW25" i="26"/>
  <c r="BT25" i="26"/>
  <c r="AG25" i="26"/>
  <c r="AF25" i="26"/>
  <c r="AE25" i="26"/>
  <c r="AD25" i="26"/>
  <c r="AC25" i="26"/>
  <c r="E25" i="26"/>
  <c r="HB24" i="26"/>
  <c r="GM24" i="26"/>
  <c r="FI24" i="26"/>
  <c r="ET24" i="26"/>
  <c r="DD24" i="26"/>
  <c r="CX24" i="26"/>
  <c r="CO24" i="26"/>
  <c r="CL24" i="26"/>
  <c r="CF24" i="26"/>
  <c r="BZ24" i="26"/>
  <c r="BW24" i="26"/>
  <c r="BN24" i="26"/>
  <c r="BK24" i="26"/>
  <c r="BE24" i="26"/>
  <c r="BB24" i="26"/>
  <c r="AV24" i="26"/>
  <c r="AS24" i="26"/>
  <c r="AM24" i="26"/>
  <c r="AJ24" i="26"/>
  <c r="AG24" i="26"/>
  <c r="AF24" i="26"/>
  <c r="AE24" i="26"/>
  <c r="AD24" i="26"/>
  <c r="AC24" i="26"/>
  <c r="Q24" i="26"/>
  <c r="N24" i="26"/>
  <c r="K24" i="26"/>
  <c r="H24" i="26"/>
  <c r="E24" i="26"/>
  <c r="HB23" i="26"/>
  <c r="GM23" i="26"/>
  <c r="FI23" i="26"/>
  <c r="DP23" i="26"/>
  <c r="DG23" i="26"/>
  <c r="DG20" i="26" s="1"/>
  <c r="DD23" i="26"/>
  <c r="CR23" i="26"/>
  <c r="CO23" i="26"/>
  <c r="CL23" i="26"/>
  <c r="BZ23" i="26"/>
  <c r="BW23" i="26"/>
  <c r="AG23" i="26"/>
  <c r="AF23" i="26"/>
  <c r="AE23" i="26"/>
  <c r="AD23" i="26"/>
  <c r="AC23" i="26"/>
  <c r="K23" i="26"/>
  <c r="H23" i="26"/>
  <c r="HB22" i="26"/>
  <c r="GM22" i="26"/>
  <c r="FI22" i="26"/>
  <c r="FI16" i="26" s="1"/>
  <c r="ET22" i="26"/>
  <c r="ET16" i="26" s="1"/>
  <c r="EE22" i="26"/>
  <c r="EE16" i="26" s="1"/>
  <c r="DP22" i="26"/>
  <c r="DP16" i="26" s="1"/>
  <c r="DD22" i="26"/>
  <c r="CR22" i="26"/>
  <c r="CO22" i="26"/>
  <c r="CL22" i="26"/>
  <c r="CF22" i="26"/>
  <c r="CC22" i="26"/>
  <c r="BZ22" i="26"/>
  <c r="BW22" i="26"/>
  <c r="K22" i="26"/>
  <c r="HB21" i="26"/>
  <c r="GM21" i="26"/>
  <c r="GA21" i="26"/>
  <c r="FL21" i="26"/>
  <c r="FI21" i="26"/>
  <c r="EW21" i="26"/>
  <c r="ET21" i="26"/>
  <c r="EH21" i="26"/>
  <c r="EE21" i="26"/>
  <c r="DS21" i="26"/>
  <c r="DP21" i="26"/>
  <c r="DD21" i="26"/>
  <c r="BZ21" i="26"/>
  <c r="BW21" i="26"/>
  <c r="AG21" i="26"/>
  <c r="AF21" i="26"/>
  <c r="AE21" i="26"/>
  <c r="AD21" i="26"/>
  <c r="AC21" i="26"/>
  <c r="Z21" i="26"/>
  <c r="W21" i="26"/>
  <c r="K21" i="26"/>
  <c r="HB20" i="26"/>
  <c r="GP20" i="26"/>
  <c r="GM20" i="26"/>
  <c r="GA20" i="26"/>
  <c r="FL20" i="26"/>
  <c r="FI20" i="26"/>
  <c r="EW20" i="26"/>
  <c r="ET20" i="26"/>
  <c r="EH20" i="26"/>
  <c r="EE20" i="26"/>
  <c r="DS20" i="26"/>
  <c r="DP20" i="26"/>
  <c r="DD20" i="26"/>
  <c r="BZ20" i="26"/>
  <c r="BW20" i="26"/>
  <c r="BT20" i="26"/>
  <c r="AG20" i="26"/>
  <c r="AF20" i="26"/>
  <c r="AE20" i="26"/>
  <c r="AD20" i="26"/>
  <c r="AC20" i="26"/>
  <c r="Z20" i="26"/>
  <c r="W20" i="26"/>
  <c r="H20" i="26"/>
  <c r="HB19" i="26"/>
  <c r="GP19" i="26"/>
  <c r="GM19" i="26"/>
  <c r="GA19" i="26"/>
  <c r="FL19" i="26"/>
  <c r="FI19" i="26"/>
  <c r="EW19" i="26"/>
  <c r="ET19" i="26"/>
  <c r="EH19" i="26"/>
  <c r="EE19" i="26"/>
  <c r="DS19" i="26"/>
  <c r="DP19" i="26"/>
  <c r="DP11" i="26" s="1"/>
  <c r="CX19" i="26"/>
  <c r="BZ19" i="26"/>
  <c r="BW19" i="26"/>
  <c r="AG19" i="26"/>
  <c r="AF19" i="26"/>
  <c r="AE19" i="26"/>
  <c r="AD19" i="26"/>
  <c r="AC19" i="26"/>
  <c r="H19" i="26"/>
  <c r="HB18" i="26"/>
  <c r="GP18" i="26"/>
  <c r="GP17" i="26" s="1"/>
  <c r="GM18" i="26"/>
  <c r="GA18" i="26"/>
  <c r="FL18" i="26"/>
  <c r="FI18" i="26"/>
  <c r="EW18" i="26"/>
  <c r="ET18" i="26"/>
  <c r="EH18" i="26"/>
  <c r="EE18" i="26"/>
  <c r="DS18" i="26"/>
  <c r="DP18" i="26"/>
  <c r="CX18" i="26"/>
  <c r="BZ18" i="26"/>
  <c r="BW18" i="26"/>
  <c r="BT18" i="26"/>
  <c r="BQ18" i="26"/>
  <c r="BN18" i="26"/>
  <c r="BK18" i="26"/>
  <c r="BH18" i="26"/>
  <c r="BE18" i="26"/>
  <c r="BB18" i="26"/>
  <c r="AY18" i="26"/>
  <c r="AV18" i="26"/>
  <c r="AS18" i="26"/>
  <c r="AP18" i="26"/>
  <c r="AM18" i="26"/>
  <c r="AJ18" i="26"/>
  <c r="AG18" i="26"/>
  <c r="AF18" i="26"/>
  <c r="AE18" i="26"/>
  <c r="AD18" i="26"/>
  <c r="AC18" i="26"/>
  <c r="T18" i="26"/>
  <c r="Q18" i="26"/>
  <c r="N18" i="26"/>
  <c r="H18" i="26"/>
  <c r="E18" i="26"/>
  <c r="BT19" i="26" s="1"/>
  <c r="HB17" i="26"/>
  <c r="GM17" i="26"/>
  <c r="FI17" i="26"/>
  <c r="ET17" i="26"/>
  <c r="EE17" i="26"/>
  <c r="DP17" i="26"/>
  <c r="DD17" i="26"/>
  <c r="DM9" i="26" s="1"/>
  <c r="CX17" i="26"/>
  <c r="BW17" i="26"/>
  <c r="BT17" i="26"/>
  <c r="BQ17" i="26"/>
  <c r="BN17" i="26"/>
  <c r="BK17" i="26"/>
  <c r="BH17" i="26"/>
  <c r="BE17" i="26"/>
  <c r="BB17" i="26"/>
  <c r="AY17" i="26"/>
  <c r="AV17" i="26"/>
  <c r="AS17" i="26"/>
  <c r="AP17" i="26"/>
  <c r="AM17" i="26"/>
  <c r="AJ17" i="26"/>
  <c r="AG17" i="26"/>
  <c r="AF17" i="26"/>
  <c r="AE17" i="26"/>
  <c r="AD17" i="26"/>
  <c r="AC17" i="26"/>
  <c r="T17" i="26"/>
  <c r="Q17" i="26"/>
  <c r="N17" i="26"/>
  <c r="H17" i="26"/>
  <c r="E17" i="26"/>
  <c r="HE16" i="26"/>
  <c r="HB16" i="26"/>
  <c r="GM16" i="26"/>
  <c r="GA16" i="26"/>
  <c r="FL16" i="26"/>
  <c r="EW16" i="26"/>
  <c r="EH16" i="26"/>
  <c r="DD16" i="26"/>
  <c r="CX16" i="26"/>
  <c r="CI16" i="26"/>
  <c r="CF16" i="26"/>
  <c r="CC16" i="26"/>
  <c r="BW16" i="26"/>
  <c r="BT16" i="26"/>
  <c r="BQ16" i="26"/>
  <c r="BN16" i="26"/>
  <c r="BK16" i="26"/>
  <c r="BH16" i="26"/>
  <c r="BE16" i="26"/>
  <c r="BB16" i="26"/>
  <c r="AY16" i="26"/>
  <c r="AV16" i="26"/>
  <c r="AS16" i="26"/>
  <c r="AP16" i="26"/>
  <c r="AM16" i="26"/>
  <c r="AJ16" i="26"/>
  <c r="AG16" i="26"/>
  <c r="AF16" i="26"/>
  <c r="AE16" i="26"/>
  <c r="AD16" i="26"/>
  <c r="AC16" i="26"/>
  <c r="T16" i="26"/>
  <c r="Q16" i="26"/>
  <c r="N16" i="26"/>
  <c r="E16" i="26"/>
  <c r="HE15" i="26"/>
  <c r="HB15" i="26"/>
  <c r="GP15" i="26"/>
  <c r="GM15" i="26"/>
  <c r="FI15" i="26"/>
  <c r="ET15" i="26"/>
  <c r="DP15" i="26"/>
  <c r="DD15" i="26"/>
  <c r="CX15" i="26"/>
  <c r="CL15" i="26"/>
  <c r="CI15" i="26"/>
  <c r="CF15" i="26"/>
  <c r="CC15" i="26"/>
  <c r="BT15" i="26"/>
  <c r="BQ15" i="26"/>
  <c r="BN15" i="26"/>
  <c r="BK15" i="26"/>
  <c r="BH15" i="26"/>
  <c r="BE15" i="26"/>
  <c r="BB15" i="26"/>
  <c r="AY15" i="26"/>
  <c r="AV15" i="26"/>
  <c r="AS15" i="26"/>
  <c r="AP15" i="26"/>
  <c r="AM15" i="26"/>
  <c r="AJ15" i="26"/>
  <c r="T15" i="26"/>
  <c r="Q15" i="26"/>
  <c r="N15" i="26"/>
  <c r="E15" i="26"/>
  <c r="HE14" i="26"/>
  <c r="HB14" i="26"/>
  <c r="GP14" i="26"/>
  <c r="GY14" i="26" s="1"/>
  <c r="GM14" i="26"/>
  <c r="GA14" i="26"/>
  <c r="GJ14" i="26" s="1"/>
  <c r="FL14" i="26"/>
  <c r="FU7" i="26" s="1"/>
  <c r="FI14" i="26"/>
  <c r="EW14" i="26"/>
  <c r="FF14" i="26" s="1"/>
  <c r="ET14" i="26"/>
  <c r="EH14" i="26"/>
  <c r="EQ14" i="26" s="1"/>
  <c r="EE14" i="26"/>
  <c r="EB14" i="26"/>
  <c r="DY14" i="26"/>
  <c r="DS14" i="26"/>
  <c r="EB15" i="26" s="1"/>
  <c r="DP14" i="26"/>
  <c r="DD14" i="26"/>
  <c r="CX14" i="26"/>
  <c r="CL14" i="26"/>
  <c r="CI14" i="26"/>
  <c r="CF14" i="26"/>
  <c r="CC14" i="26"/>
  <c r="BW14" i="26"/>
  <c r="BT14" i="26"/>
  <c r="BQ14" i="26"/>
  <c r="BN14" i="26"/>
  <c r="BK14" i="26"/>
  <c r="BH14" i="26"/>
  <c r="BE14" i="26"/>
  <c r="BB14" i="26"/>
  <c r="AY14" i="26"/>
  <c r="AV14" i="26"/>
  <c r="AS14" i="26"/>
  <c r="AP14" i="26"/>
  <c r="AM14" i="26"/>
  <c r="AJ14" i="26"/>
  <c r="AG14" i="26"/>
  <c r="AF14" i="26"/>
  <c r="AE14" i="26"/>
  <c r="AD14" i="26"/>
  <c r="AC14" i="26"/>
  <c r="Z14" i="26"/>
  <c r="W14" i="26"/>
  <c r="T14" i="26"/>
  <c r="Q14" i="26"/>
  <c r="N14" i="26"/>
  <c r="E14" i="26"/>
  <c r="HB13" i="26"/>
  <c r="GY13" i="26"/>
  <c r="GV13" i="26"/>
  <c r="GP13" i="26"/>
  <c r="GM13" i="26"/>
  <c r="GJ13" i="26"/>
  <c r="GG13" i="26"/>
  <c r="GA13" i="26"/>
  <c r="FL13" i="26"/>
  <c r="FI13" i="26"/>
  <c r="FF13" i="26"/>
  <c r="FC13" i="26"/>
  <c r="EW13" i="26"/>
  <c r="ET13" i="26"/>
  <c r="EQ13" i="26"/>
  <c r="EN13" i="26"/>
  <c r="EH13" i="26"/>
  <c r="EE13" i="26"/>
  <c r="EB13" i="26"/>
  <c r="DY13" i="26"/>
  <c r="DS13" i="26"/>
  <c r="DP13" i="26"/>
  <c r="DD13" i="26"/>
  <c r="CX13" i="26"/>
  <c r="CU13" i="26"/>
  <c r="CO13" i="26"/>
  <c r="CI13" i="26"/>
  <c r="CF13" i="26"/>
  <c r="CC13" i="26"/>
  <c r="BW13" i="26"/>
  <c r="BT13" i="26"/>
  <c r="BQ13" i="26"/>
  <c r="BN13" i="26"/>
  <c r="BK13" i="26"/>
  <c r="BH13" i="26"/>
  <c r="BE13" i="26"/>
  <c r="BB13" i="26"/>
  <c r="AY13" i="26"/>
  <c r="AV13" i="26"/>
  <c r="AS13" i="26"/>
  <c r="AP13" i="26"/>
  <c r="AM13" i="26"/>
  <c r="AJ13" i="26"/>
  <c r="AG13" i="26"/>
  <c r="AF13" i="26"/>
  <c r="Z13" i="26"/>
  <c r="W13" i="26"/>
  <c r="T13" i="26"/>
  <c r="Q13" i="26"/>
  <c r="K13" i="26"/>
  <c r="K12" i="26" s="1"/>
  <c r="E13" i="26"/>
  <c r="HB12" i="26"/>
  <c r="GY12" i="26"/>
  <c r="GV12" i="26"/>
  <c r="GP12" i="26"/>
  <c r="GM12" i="26"/>
  <c r="GJ12" i="26"/>
  <c r="GG12" i="26"/>
  <c r="GA12" i="26"/>
  <c r="FL12" i="26"/>
  <c r="FI12" i="26"/>
  <c r="FF12" i="26"/>
  <c r="FC12" i="26"/>
  <c r="EW12" i="26"/>
  <c r="ET12" i="26"/>
  <c r="EQ12" i="26"/>
  <c r="EN12" i="26"/>
  <c r="EH12" i="26"/>
  <c r="EE12" i="26"/>
  <c r="EB12" i="26"/>
  <c r="DY12" i="26"/>
  <c r="DS12" i="26"/>
  <c r="DP12" i="26"/>
  <c r="DD12" i="26"/>
  <c r="DA12" i="26"/>
  <c r="DA11" i="26" s="1"/>
  <c r="CX12" i="26"/>
  <c r="CU12" i="26"/>
  <c r="CO12" i="26"/>
  <c r="CI12" i="26"/>
  <c r="CF12" i="26"/>
  <c r="CC12" i="26"/>
  <c r="BZ12" i="26"/>
  <c r="BZ11" i="26" s="1"/>
  <c r="BT12" i="26"/>
  <c r="BQ12" i="26"/>
  <c r="BQ6" i="26" s="1"/>
  <c r="BN12" i="26"/>
  <c r="BK12" i="26"/>
  <c r="BN25" i="26" s="1"/>
  <c r="BH12" i="26"/>
  <c r="BE12" i="26"/>
  <c r="BB12" i="26"/>
  <c r="AY12" i="26"/>
  <c r="AV12" i="26"/>
  <c r="AS12" i="26"/>
  <c r="AP12" i="26"/>
  <c r="AM12" i="26"/>
  <c r="AJ12" i="26"/>
  <c r="AG12" i="26"/>
  <c r="AF12" i="26"/>
  <c r="E12" i="26"/>
  <c r="HE11" i="26"/>
  <c r="HB11" i="26"/>
  <c r="GY11" i="26"/>
  <c r="GV11" i="26"/>
  <c r="GP11" i="26"/>
  <c r="GM11" i="26"/>
  <c r="GJ11" i="26"/>
  <c r="GG11" i="26"/>
  <c r="GA11" i="26"/>
  <c r="FL11" i="26"/>
  <c r="FI11" i="26"/>
  <c r="FF11" i="26"/>
  <c r="FC11" i="26"/>
  <c r="EW11" i="26"/>
  <c r="ET11" i="26"/>
  <c r="EQ11" i="26"/>
  <c r="EN11" i="26"/>
  <c r="EH11" i="26"/>
  <c r="EE11" i="26"/>
  <c r="EB11" i="26"/>
  <c r="DY11" i="26"/>
  <c r="DS11" i="26"/>
  <c r="DD11" i="26"/>
  <c r="CO11" i="26"/>
  <c r="CL11" i="26"/>
  <c r="CL12" i="26" s="1"/>
  <c r="CI11" i="26"/>
  <c r="CF11" i="26"/>
  <c r="CC11" i="26"/>
  <c r="BQ11" i="26"/>
  <c r="BN11" i="26"/>
  <c r="BK11" i="26"/>
  <c r="BH11" i="26"/>
  <c r="BE11" i="26"/>
  <c r="BB11" i="26"/>
  <c r="AY11" i="26"/>
  <c r="AV11" i="26"/>
  <c r="AS11" i="26"/>
  <c r="AP11" i="26"/>
  <c r="AM11" i="26"/>
  <c r="AJ11" i="26"/>
  <c r="AG11" i="26"/>
  <c r="AG26" i="26" s="1"/>
  <c r="AG30" i="26" s="1"/>
  <c r="AF11" i="26"/>
  <c r="AF26" i="26" s="1"/>
  <c r="AF30" i="26" s="1"/>
  <c r="AE11" i="26"/>
  <c r="AE26" i="26" s="1"/>
  <c r="AD11" i="26"/>
  <c r="AD26" i="26" s="1"/>
  <c r="AC11" i="26"/>
  <c r="AC26" i="26" s="1"/>
  <c r="Z11" i="26"/>
  <c r="W11" i="26"/>
  <c r="HE10" i="26"/>
  <c r="HB10" i="26"/>
  <c r="GY10" i="26"/>
  <c r="GV10" i="26"/>
  <c r="GP10" i="26"/>
  <c r="GM10" i="26"/>
  <c r="GJ10" i="26"/>
  <c r="GG10" i="26"/>
  <c r="GA10" i="26"/>
  <c r="FL10" i="26"/>
  <c r="FI10" i="26"/>
  <c r="FF10" i="26"/>
  <c r="FC10" i="26"/>
  <c r="EW10" i="26"/>
  <c r="ET10" i="26"/>
  <c r="EQ10" i="26"/>
  <c r="EN10" i="26"/>
  <c r="EH10" i="26"/>
  <c r="EE10" i="26"/>
  <c r="EB10" i="26"/>
  <c r="DY10" i="26"/>
  <c r="DS10" i="26"/>
  <c r="DP10" i="26"/>
  <c r="DG10" i="26"/>
  <c r="CX10" i="26"/>
  <c r="CU10" i="26"/>
  <c r="CO10" i="26"/>
  <c r="CL10" i="26"/>
  <c r="CI10" i="26"/>
  <c r="CF10" i="26"/>
  <c r="CC10" i="26"/>
  <c r="CF6" i="26" s="1"/>
  <c r="BT10" i="26"/>
  <c r="BQ10" i="26"/>
  <c r="BN10" i="26"/>
  <c r="BK10" i="26"/>
  <c r="BH10" i="26"/>
  <c r="BE10" i="26"/>
  <c r="BB10" i="26"/>
  <c r="BH6" i="26" s="1"/>
  <c r="AY10" i="26"/>
  <c r="AV10" i="26"/>
  <c r="AS10" i="26"/>
  <c r="AV6" i="26" s="1"/>
  <c r="AP10" i="26"/>
  <c r="AP6" i="26" s="1"/>
  <c r="AM10" i="26"/>
  <c r="AM6" i="26" s="1"/>
  <c r="AJ10" i="26"/>
  <c r="AJ6" i="26" s="1"/>
  <c r="Z10" i="26"/>
  <c r="W10" i="26"/>
  <c r="T10" i="26"/>
  <c r="Q10" i="26"/>
  <c r="N10" i="26"/>
  <c r="E10" i="26"/>
  <c r="BW7" i="26" s="1"/>
  <c r="HE9" i="26"/>
  <c r="HB9" i="26"/>
  <c r="GY9" i="26"/>
  <c r="GV9" i="26"/>
  <c r="GP9" i="26"/>
  <c r="GM9" i="26"/>
  <c r="GJ9" i="26"/>
  <c r="GG9" i="26"/>
  <c r="GA9" i="26"/>
  <c r="FL9" i="26"/>
  <c r="FI9" i="26"/>
  <c r="FF9" i="26"/>
  <c r="FC9" i="26"/>
  <c r="EW9" i="26"/>
  <c r="ET9" i="26"/>
  <c r="EQ9" i="26"/>
  <c r="EN9" i="26"/>
  <c r="EH9" i="26"/>
  <c r="EE9" i="26"/>
  <c r="EB9" i="26"/>
  <c r="DY9" i="26"/>
  <c r="DS9" i="26"/>
  <c r="DP9" i="26"/>
  <c r="DD9" i="26"/>
  <c r="DA9" i="26"/>
  <c r="CX9" i="26"/>
  <c r="CU9" i="26"/>
  <c r="CO9" i="26"/>
  <c r="CL9" i="26"/>
  <c r="CI9" i="26"/>
  <c r="CF9" i="26"/>
  <c r="CC9" i="26"/>
  <c r="BZ9" i="26"/>
  <c r="BW9" i="26"/>
  <c r="BT9" i="26"/>
  <c r="BT28" i="26" s="1"/>
  <c r="BQ9" i="26"/>
  <c r="BN9" i="26"/>
  <c r="BK9" i="26"/>
  <c r="BH9" i="26"/>
  <c r="BE9" i="26"/>
  <c r="BB9" i="26"/>
  <c r="AY9" i="26"/>
  <c r="AV9" i="26"/>
  <c r="AS9" i="26"/>
  <c r="AP9" i="26"/>
  <c r="AM9" i="26"/>
  <c r="AJ9" i="26"/>
  <c r="AG9" i="26"/>
  <c r="AF9" i="26"/>
  <c r="AE9" i="26"/>
  <c r="AD9" i="26"/>
  <c r="AC9" i="26"/>
  <c r="Z9" i="26"/>
  <c r="W9" i="26"/>
  <c r="N9" i="26"/>
  <c r="K9" i="26"/>
  <c r="H9" i="26"/>
  <c r="E9" i="26"/>
  <c r="HE8" i="26"/>
  <c r="HB8" i="26"/>
  <c r="GY8" i="26"/>
  <c r="GV8" i="26"/>
  <c r="GP8" i="26"/>
  <c r="GM8" i="26"/>
  <c r="GJ8" i="26"/>
  <c r="GG8" i="26"/>
  <c r="GG6" i="26" s="1"/>
  <c r="GA8" i="26"/>
  <c r="FL8" i="26"/>
  <c r="FI8" i="26"/>
  <c r="FF8" i="26"/>
  <c r="FC8" i="26"/>
  <c r="EW8" i="26"/>
  <c r="ET8" i="26"/>
  <c r="ET6" i="26" s="1"/>
  <c r="EQ8" i="26"/>
  <c r="EQ6" i="26" s="1"/>
  <c r="EN8" i="26"/>
  <c r="EH8" i="26"/>
  <c r="EE8" i="26"/>
  <c r="EB8" i="26"/>
  <c r="DY8" i="26"/>
  <c r="DY6" i="26" s="1"/>
  <c r="DS8" i="26"/>
  <c r="DP8" i="26"/>
  <c r="DM8" i="26"/>
  <c r="DM6" i="26" s="1"/>
  <c r="DJ8" i="26"/>
  <c r="DD8" i="26"/>
  <c r="DA8" i="26"/>
  <c r="CX8" i="26"/>
  <c r="CU8" i="26"/>
  <c r="CO8" i="26"/>
  <c r="CL8" i="26"/>
  <c r="CI8" i="26"/>
  <c r="CF8" i="26"/>
  <c r="CC8" i="26"/>
  <c r="BZ8" i="26"/>
  <c r="BW8" i="26"/>
  <c r="BT8" i="26"/>
  <c r="BQ8" i="26"/>
  <c r="BN8" i="26"/>
  <c r="BK8" i="26"/>
  <c r="BH8" i="26"/>
  <c r="BE8" i="26"/>
  <c r="BB8" i="26"/>
  <c r="AY8" i="26"/>
  <c r="AV8" i="26"/>
  <c r="AS8" i="26"/>
  <c r="AP8" i="26"/>
  <c r="AM8" i="26"/>
  <c r="AJ8" i="26"/>
  <c r="AG8" i="26"/>
  <c r="AF8" i="26"/>
  <c r="AE8" i="26"/>
  <c r="AD8" i="26"/>
  <c r="AC8" i="26"/>
  <c r="Z8" i="26"/>
  <c r="W8" i="26"/>
  <c r="T8" i="26"/>
  <c r="T7" i="26" s="1"/>
  <c r="Q8" i="26"/>
  <c r="N8" i="26"/>
  <c r="K8" i="26"/>
  <c r="H8" i="26"/>
  <c r="E8" i="26"/>
  <c r="HE7" i="26"/>
  <c r="HB7" i="26"/>
  <c r="HB5" i="26" s="1"/>
  <c r="GY7" i="26"/>
  <c r="GY5" i="26" s="1"/>
  <c r="GV7" i="26"/>
  <c r="GM7" i="26"/>
  <c r="GJ7" i="26"/>
  <c r="GG7" i="26"/>
  <c r="FI7" i="26"/>
  <c r="FF7" i="26"/>
  <c r="FC7" i="26"/>
  <c r="ET7" i="26"/>
  <c r="ET5" i="26" s="1"/>
  <c r="EQ7" i="26"/>
  <c r="EN7" i="26"/>
  <c r="EN5" i="26" s="1"/>
  <c r="EE7" i="26"/>
  <c r="EB7" i="26"/>
  <c r="DY7" i="26"/>
  <c r="DM7" i="26"/>
  <c r="DJ7" i="26"/>
  <c r="DJ5" i="26" s="1"/>
  <c r="DA7" i="26"/>
  <c r="CX7" i="26"/>
  <c r="CU7" i="26"/>
  <c r="CO7" i="26"/>
  <c r="CL7" i="26"/>
  <c r="CI7" i="26"/>
  <c r="CF7" i="26"/>
  <c r="CC7" i="26"/>
  <c r="BZ7" i="26"/>
  <c r="BT7" i="26"/>
  <c r="BQ7" i="26"/>
  <c r="BN7" i="26"/>
  <c r="BK7" i="26"/>
  <c r="BH7" i="26"/>
  <c r="BE7" i="26"/>
  <c r="BB7" i="26"/>
  <c r="AY7" i="26"/>
  <c r="AV7" i="26"/>
  <c r="AS7" i="26"/>
  <c r="AP7" i="26"/>
  <c r="AM7" i="26"/>
  <c r="AJ7" i="26"/>
  <c r="Z7" i="26"/>
  <c r="W7" i="26"/>
  <c r="Q7" i="26"/>
  <c r="N7" i="26"/>
  <c r="K7" i="26"/>
  <c r="H7" i="26"/>
  <c r="E7" i="26"/>
  <c r="HB6" i="26"/>
  <c r="GY6" i="26"/>
  <c r="GV6" i="26"/>
  <c r="GP6" i="26"/>
  <c r="GM6" i="26"/>
  <c r="GJ6" i="26"/>
  <c r="GD6" i="26"/>
  <c r="GA6" i="26"/>
  <c r="FU6" i="26"/>
  <c r="FR6" i="26"/>
  <c r="FL6" i="26"/>
  <c r="FI6" i="26"/>
  <c r="FF6" i="26"/>
  <c r="FC6" i="26"/>
  <c r="EZ6" i="26"/>
  <c r="EW6" i="26"/>
  <c r="EN6" i="26"/>
  <c r="EK6" i="26"/>
  <c r="EH6" i="26"/>
  <c r="EE6" i="26"/>
  <c r="EB6" i="26"/>
  <c r="DV6" i="26"/>
  <c r="DS6" i="26"/>
  <c r="DJ6" i="26"/>
  <c r="DD6" i="26"/>
  <c r="DA6" i="26"/>
  <c r="CX6" i="26"/>
  <c r="CU6" i="26"/>
  <c r="CR6" i="26"/>
  <c r="CO6" i="26"/>
  <c r="CL6" i="26"/>
  <c r="BZ6" i="26"/>
  <c r="BW6" i="26"/>
  <c r="BT6" i="26"/>
  <c r="Z6" i="26"/>
  <c r="W6" i="26"/>
  <c r="K6" i="26"/>
  <c r="H6" i="26"/>
  <c r="E6" i="26"/>
  <c r="HE5" i="26"/>
  <c r="GV5" i="26"/>
  <c r="GS5" i="26"/>
  <c r="GP5" i="26"/>
  <c r="GM5" i="26"/>
  <c r="GJ5" i="26"/>
  <c r="GG5" i="26"/>
  <c r="GD5" i="26"/>
  <c r="GA5" i="26"/>
  <c r="FX5" i="26"/>
  <c r="FU5" i="26"/>
  <c r="FR5" i="26"/>
  <c r="FO5" i="26"/>
  <c r="FL5" i="26"/>
  <c r="FI5" i="26"/>
  <c r="FF5" i="26"/>
  <c r="FC5" i="26"/>
  <c r="EZ5" i="26"/>
  <c r="EW5" i="26"/>
  <c r="EQ5" i="26"/>
  <c r="EK5" i="26"/>
  <c r="EH5" i="26"/>
  <c r="EE5" i="26"/>
  <c r="EB5" i="26"/>
  <c r="DY5" i="26"/>
  <c r="DV5" i="26"/>
  <c r="DS5" i="26"/>
  <c r="DM5" i="26"/>
  <c r="DD5" i="26"/>
  <c r="DA5" i="26"/>
  <c r="CX5" i="26"/>
  <c r="CX23" i="26" s="1"/>
  <c r="CU5" i="26"/>
  <c r="CO5" i="26"/>
  <c r="CR5" i="26" s="1"/>
  <c r="CL5" i="26"/>
  <c r="CI5" i="26"/>
  <c r="CF5" i="26"/>
  <c r="CC5" i="26"/>
  <c r="BZ5" i="26"/>
  <c r="BW5" i="26"/>
  <c r="BT5" i="26"/>
  <c r="BQ5" i="26"/>
  <c r="BN5" i="26"/>
  <c r="BK5" i="26"/>
  <c r="BH5" i="26"/>
  <c r="BE5" i="26"/>
  <c r="BB5" i="26"/>
  <c r="AY5" i="26"/>
  <c r="AV5" i="26"/>
  <c r="AS5" i="26"/>
  <c r="AP5" i="26"/>
  <c r="AM5" i="26"/>
  <c r="AJ5" i="26"/>
  <c r="AG5" i="26"/>
  <c r="AF5" i="26"/>
  <c r="AE5" i="26"/>
  <c r="AD5" i="26"/>
  <c r="AC5" i="26"/>
  <c r="Z5" i="26"/>
  <c r="W5" i="26"/>
  <c r="T5" i="26"/>
  <c r="Q5" i="26"/>
  <c r="N5" i="26"/>
  <c r="K5" i="26"/>
  <c r="H5" i="26"/>
  <c r="E5" i="26"/>
  <c r="FX2" i="26"/>
  <c r="H70" i="24"/>
  <c r="H69" i="24"/>
  <c r="H68" i="24"/>
  <c r="H67" i="24"/>
  <c r="H63" i="24" s="1"/>
  <c r="H66" i="24"/>
  <c r="H65" i="24"/>
  <c r="H64" i="24"/>
  <c r="H62" i="24"/>
  <c r="H61" i="24"/>
  <c r="H60" i="24"/>
  <c r="H58" i="24"/>
  <c r="H57" i="24"/>
  <c r="H56" i="24"/>
  <c r="K55" i="24"/>
  <c r="K54" i="24"/>
  <c r="H54" i="24"/>
  <c r="E54" i="24"/>
  <c r="K53" i="24"/>
  <c r="K51" i="24" s="1"/>
  <c r="H53" i="24"/>
  <c r="E53" i="24"/>
  <c r="K52" i="24"/>
  <c r="DA51" i="24"/>
  <c r="E51" i="24"/>
  <c r="DA50" i="24"/>
  <c r="K50" i="24"/>
  <c r="E50" i="24"/>
  <c r="CU49" i="24"/>
  <c r="H49" i="24"/>
  <c r="H47" i="24" s="1"/>
  <c r="CU48" i="24"/>
  <c r="H48" i="24"/>
  <c r="E48" i="24"/>
  <c r="Z47" i="24"/>
  <c r="E47" i="24"/>
  <c r="DA46" i="24"/>
  <c r="Z46" i="24"/>
  <c r="H46" i="24"/>
  <c r="E46" i="24"/>
  <c r="K45" i="24"/>
  <c r="E45" i="24"/>
  <c r="DA44" i="24"/>
  <c r="CU44" i="24"/>
  <c r="Z44" i="24"/>
  <c r="K44" i="24"/>
  <c r="E44" i="24"/>
  <c r="DA43" i="24"/>
  <c r="CU43" i="24"/>
  <c r="Z43" i="24"/>
  <c r="W43" i="24"/>
  <c r="K43" i="24"/>
  <c r="H43" i="24"/>
  <c r="DA42" i="24"/>
  <c r="CU42" i="24"/>
  <c r="Z42" i="24"/>
  <c r="W42" i="24"/>
  <c r="K42" i="24"/>
  <c r="HE41" i="24"/>
  <c r="DA41" i="24"/>
  <c r="CU41" i="24"/>
  <c r="K41" i="24"/>
  <c r="HE40" i="24"/>
  <c r="DA40" i="24"/>
  <c r="CU40" i="24"/>
  <c r="K40" i="24"/>
  <c r="H40" i="24"/>
  <c r="HE39" i="24"/>
  <c r="DA39" i="24"/>
  <c r="CU39" i="24"/>
  <c r="AG39" i="24"/>
  <c r="AF39" i="24"/>
  <c r="AE39" i="24"/>
  <c r="AD39" i="24"/>
  <c r="AC39" i="24"/>
  <c r="H39" i="24"/>
  <c r="E39" i="24"/>
  <c r="HE38" i="24"/>
  <c r="DA38" i="24"/>
  <c r="DA10" i="24" s="1"/>
  <c r="CU38" i="24"/>
  <c r="BZ38" i="24"/>
  <c r="AG38" i="24"/>
  <c r="AF38" i="24"/>
  <c r="AE38" i="24"/>
  <c r="AD38" i="24"/>
  <c r="AC38" i="24"/>
  <c r="K38" i="24"/>
  <c r="H38" i="24"/>
  <c r="E38" i="24"/>
  <c r="DA37" i="24"/>
  <c r="CU37" i="24"/>
  <c r="BZ37" i="24"/>
  <c r="BN37" i="24"/>
  <c r="BK37" i="24"/>
  <c r="BE37" i="24"/>
  <c r="BB37" i="24"/>
  <c r="AV37" i="24"/>
  <c r="AS37" i="24"/>
  <c r="AM37" i="24"/>
  <c r="AJ37" i="24"/>
  <c r="AG37" i="24"/>
  <c r="Q37" i="24"/>
  <c r="N37" i="24"/>
  <c r="K37" i="24"/>
  <c r="H37" i="24"/>
  <c r="HE36" i="24"/>
  <c r="DA36" i="24"/>
  <c r="CU36" i="24"/>
  <c r="BN36" i="24"/>
  <c r="BK36" i="24"/>
  <c r="BE36" i="24"/>
  <c r="BB36" i="24"/>
  <c r="AV36" i="24"/>
  <c r="AS36" i="24"/>
  <c r="AM36" i="24"/>
  <c r="AJ36" i="24"/>
  <c r="Z36" i="24"/>
  <c r="W36" i="24"/>
  <c r="Q36" i="24"/>
  <c r="N36" i="24"/>
  <c r="K36" i="24"/>
  <c r="K20" i="24" s="1"/>
  <c r="H36" i="24"/>
  <c r="E36" i="24"/>
  <c r="HE35" i="24"/>
  <c r="DA35" i="24"/>
  <c r="CU35" i="24"/>
  <c r="BN35" i="24"/>
  <c r="BK35" i="24"/>
  <c r="BE35" i="24"/>
  <c r="BB35" i="24"/>
  <c r="AV35" i="24"/>
  <c r="AS35" i="24"/>
  <c r="AM35" i="24"/>
  <c r="AJ35" i="24"/>
  <c r="AE35" i="24"/>
  <c r="AD35" i="24"/>
  <c r="AC35" i="24"/>
  <c r="Z35" i="24"/>
  <c r="W35" i="24"/>
  <c r="W38" i="24" s="1"/>
  <c r="Q35" i="24"/>
  <c r="N35" i="24"/>
  <c r="K35" i="24"/>
  <c r="H35" i="24"/>
  <c r="E35" i="24"/>
  <c r="HE34" i="24"/>
  <c r="DA34" i="24"/>
  <c r="CU34" i="24"/>
  <c r="CU25" i="24" s="1"/>
  <c r="BW34" i="24"/>
  <c r="BN34" i="24"/>
  <c r="BK34" i="24"/>
  <c r="BE34" i="24"/>
  <c r="BB34" i="24"/>
  <c r="AV34" i="24"/>
  <c r="AS34" i="24"/>
  <c r="AM34" i="24"/>
  <c r="AJ34" i="24"/>
  <c r="Q34" i="24"/>
  <c r="N34" i="24"/>
  <c r="K34" i="24"/>
  <c r="K46" i="24" s="1"/>
  <c r="K11" i="24" s="1"/>
  <c r="H34" i="24"/>
  <c r="E34" i="24"/>
  <c r="B34" i="24"/>
  <c r="DA33" i="24"/>
  <c r="CU33" i="24"/>
  <c r="CF33" i="24"/>
  <c r="CC33" i="24"/>
  <c r="BW33" i="24"/>
  <c r="BN33" i="24"/>
  <c r="BK33" i="24"/>
  <c r="BE33" i="24"/>
  <c r="BB33" i="24"/>
  <c r="AV33" i="24"/>
  <c r="AS33" i="24"/>
  <c r="AM33" i="24"/>
  <c r="AJ33" i="24"/>
  <c r="Z33" i="24"/>
  <c r="W33" i="24"/>
  <c r="Q33" i="24"/>
  <c r="N33" i="24"/>
  <c r="K33" i="24"/>
  <c r="H33" i="24"/>
  <c r="E33" i="24"/>
  <c r="B33" i="24"/>
  <c r="AF36" i="24" s="1"/>
  <c r="HE32" i="24"/>
  <c r="DA32" i="24"/>
  <c r="CU32" i="24"/>
  <c r="CL32" i="24"/>
  <c r="CF32" i="24"/>
  <c r="CC32" i="24"/>
  <c r="BZ32" i="24"/>
  <c r="BW32" i="24"/>
  <c r="BN32" i="24"/>
  <c r="BK32" i="24"/>
  <c r="BE32" i="24"/>
  <c r="BB32" i="24"/>
  <c r="AV32" i="24"/>
  <c r="AS32" i="24"/>
  <c r="AM32" i="24"/>
  <c r="AJ32" i="24"/>
  <c r="Z32" i="24"/>
  <c r="W32" i="24"/>
  <c r="K32" i="24"/>
  <c r="H32" i="24"/>
  <c r="H15" i="24" s="1"/>
  <c r="E32" i="24"/>
  <c r="B32" i="24"/>
  <c r="HE31" i="24"/>
  <c r="DA31" i="24"/>
  <c r="CU31" i="24"/>
  <c r="CL31" i="24"/>
  <c r="CL30" i="24" s="1"/>
  <c r="CF31" i="24"/>
  <c r="CC31" i="24"/>
  <c r="BZ31" i="24"/>
  <c r="BN31" i="24"/>
  <c r="BK31" i="24"/>
  <c r="BE31" i="24"/>
  <c r="BB31" i="24"/>
  <c r="AV31" i="24"/>
  <c r="AS31" i="24"/>
  <c r="AM31" i="24"/>
  <c r="AJ31" i="24"/>
  <c r="Z31" i="24"/>
  <c r="W31" i="24"/>
  <c r="K31" i="24"/>
  <c r="K28" i="24" s="1"/>
  <c r="H31" i="24"/>
  <c r="HE30" i="24"/>
  <c r="DA30" i="24"/>
  <c r="CU30" i="24"/>
  <c r="CU24" i="24" s="1"/>
  <c r="CO30" i="24"/>
  <c r="CF30" i="24"/>
  <c r="CC30" i="24"/>
  <c r="BZ30" i="24"/>
  <c r="BT30" i="24"/>
  <c r="BN30" i="24"/>
  <c r="BK30" i="24"/>
  <c r="BE30" i="24"/>
  <c r="BB30" i="24"/>
  <c r="AV30" i="24"/>
  <c r="AS30" i="24"/>
  <c r="AM30" i="24"/>
  <c r="AJ30" i="24"/>
  <c r="Z30" i="24"/>
  <c r="Z41" i="24" s="1"/>
  <c r="W30" i="24"/>
  <c r="K30" i="24"/>
  <c r="H30" i="24"/>
  <c r="HE29" i="24"/>
  <c r="DA29" i="24"/>
  <c r="CU29" i="24"/>
  <c r="CO29" i="24"/>
  <c r="CL29" i="24"/>
  <c r="CF29" i="24"/>
  <c r="CC29" i="24"/>
  <c r="BZ29" i="24"/>
  <c r="BT29" i="24"/>
  <c r="BN29" i="24"/>
  <c r="BK29" i="24"/>
  <c r="BE29" i="24"/>
  <c r="BB29" i="24"/>
  <c r="AV29" i="24"/>
  <c r="AS29" i="24"/>
  <c r="AM29" i="24"/>
  <c r="AM25" i="24" s="1"/>
  <c r="AJ29" i="24"/>
  <c r="Z29" i="24"/>
  <c r="W29" i="24"/>
  <c r="Q29" i="24"/>
  <c r="N29" i="24"/>
  <c r="K29" i="24"/>
  <c r="H29" i="24"/>
  <c r="HE28" i="24"/>
  <c r="HE27" i="24" s="1"/>
  <c r="DA28" i="24"/>
  <c r="CU28" i="24"/>
  <c r="CO28" i="24"/>
  <c r="CL28" i="24"/>
  <c r="CF28" i="24"/>
  <c r="CC28" i="24"/>
  <c r="BZ28" i="24"/>
  <c r="BN28" i="24"/>
  <c r="BK28" i="24"/>
  <c r="BE28" i="24"/>
  <c r="BB28" i="24"/>
  <c r="AV28" i="24"/>
  <c r="AS28" i="24"/>
  <c r="AM28" i="24"/>
  <c r="AJ28" i="24"/>
  <c r="AG28" i="24"/>
  <c r="AF28" i="24"/>
  <c r="AE28" i="24"/>
  <c r="AD28" i="24"/>
  <c r="AC28" i="24"/>
  <c r="Z28" i="24"/>
  <c r="W28" i="24"/>
  <c r="Q28" i="24"/>
  <c r="N28" i="24"/>
  <c r="H28" i="24"/>
  <c r="HB27" i="24"/>
  <c r="GM27" i="24"/>
  <c r="FI27" i="24"/>
  <c r="ET27" i="24"/>
  <c r="EE27" i="24"/>
  <c r="DA27" i="24"/>
  <c r="CX27" i="24"/>
  <c r="CU27" i="24"/>
  <c r="CO27" i="24"/>
  <c r="CL27" i="24"/>
  <c r="CF27" i="24"/>
  <c r="CC27" i="24"/>
  <c r="BZ27" i="24"/>
  <c r="BW27" i="24"/>
  <c r="BT27" i="24"/>
  <c r="BN27" i="24"/>
  <c r="BN26" i="24" s="1"/>
  <c r="BK27" i="24"/>
  <c r="BK26" i="24" s="1"/>
  <c r="BE27" i="24"/>
  <c r="BE26" i="24" s="1"/>
  <c r="BB27" i="24"/>
  <c r="BB26" i="24" s="1"/>
  <c r="AV27" i="24"/>
  <c r="AV26" i="24" s="1"/>
  <c r="AS27" i="24"/>
  <c r="AM27" i="24"/>
  <c r="AJ27" i="24"/>
  <c r="AJ26" i="24" s="1"/>
  <c r="AJ21" i="24" s="1"/>
  <c r="AG27" i="24"/>
  <c r="AF27" i="24"/>
  <c r="AE27" i="24"/>
  <c r="AD27" i="24"/>
  <c r="AC27" i="24"/>
  <c r="Z27" i="24"/>
  <c r="W27" i="24"/>
  <c r="Q27" i="24"/>
  <c r="Q26" i="24" s="1"/>
  <c r="Q21" i="24" s="1"/>
  <c r="N27" i="24"/>
  <c r="N26" i="24" s="1"/>
  <c r="K27" i="24"/>
  <c r="H27" i="24"/>
  <c r="E27" i="24"/>
  <c r="HB26" i="24"/>
  <c r="GM26" i="24"/>
  <c r="FI26" i="24"/>
  <c r="ET26" i="24"/>
  <c r="EE26" i="24"/>
  <c r="DP26" i="24"/>
  <c r="DG26" i="24"/>
  <c r="DA26" i="24"/>
  <c r="DA23" i="24" s="1"/>
  <c r="CX26" i="24"/>
  <c r="CU26" i="24"/>
  <c r="CO26" i="24"/>
  <c r="CL26" i="24"/>
  <c r="CF26" i="24"/>
  <c r="CC26" i="24"/>
  <c r="BZ26" i="24"/>
  <c r="BW26" i="24"/>
  <c r="BT26" i="24"/>
  <c r="AS26" i="24"/>
  <c r="AM26" i="24"/>
  <c r="AG26" i="24"/>
  <c r="AG30" i="24" s="1"/>
  <c r="AF26" i="24"/>
  <c r="AF30" i="24" s="1"/>
  <c r="AC26" i="24"/>
  <c r="AC30" i="24" s="1"/>
  <c r="AC33" i="24" s="1"/>
  <c r="K26" i="24"/>
  <c r="H26" i="24"/>
  <c r="E26" i="24"/>
  <c r="HE25" i="24"/>
  <c r="HB25" i="24"/>
  <c r="HB23" i="24" s="1"/>
  <c r="GM25" i="24"/>
  <c r="FI25" i="24"/>
  <c r="ET25" i="24"/>
  <c r="ET23" i="24" s="1"/>
  <c r="EE25" i="24"/>
  <c r="EE23" i="24" s="1"/>
  <c r="DP25" i="24"/>
  <c r="DP23" i="24" s="1"/>
  <c r="CX25" i="24"/>
  <c r="CO25" i="24"/>
  <c r="CO23" i="24" s="1"/>
  <c r="CL25" i="24"/>
  <c r="CF25" i="24"/>
  <c r="CC25" i="24"/>
  <c r="BZ25" i="24"/>
  <c r="BZ33" i="24" s="1"/>
  <c r="BW25" i="24"/>
  <c r="BT25" i="24"/>
  <c r="BN25" i="24"/>
  <c r="BK25" i="24"/>
  <c r="AJ25" i="24"/>
  <c r="AG25" i="24"/>
  <c r="AF25" i="24"/>
  <c r="AE25" i="24"/>
  <c r="AD25" i="24"/>
  <c r="AC25" i="24"/>
  <c r="E25" i="24"/>
  <c r="HB24" i="24"/>
  <c r="GM24" i="24"/>
  <c r="FI24" i="24"/>
  <c r="ET24" i="24"/>
  <c r="EE24" i="24"/>
  <c r="DP24" i="24"/>
  <c r="DD24" i="24"/>
  <c r="CX24" i="24"/>
  <c r="CO24" i="24"/>
  <c r="CL24" i="24"/>
  <c r="CF24" i="24"/>
  <c r="CC24" i="24"/>
  <c r="BZ24" i="24"/>
  <c r="BW24" i="24"/>
  <c r="BN24" i="24"/>
  <c r="BK24" i="24"/>
  <c r="BK21" i="24" s="1"/>
  <c r="BE24" i="24"/>
  <c r="BB24" i="24"/>
  <c r="AV24" i="24"/>
  <c r="AS24" i="24"/>
  <c r="AM24" i="24"/>
  <c r="AJ24" i="24"/>
  <c r="AG24" i="24"/>
  <c r="AF24" i="24"/>
  <c r="AE24" i="24"/>
  <c r="AD24" i="24"/>
  <c r="AC24" i="24"/>
  <c r="Q24" i="24"/>
  <c r="N24" i="24"/>
  <c r="K24" i="24"/>
  <c r="H24" i="24"/>
  <c r="E24" i="24"/>
  <c r="GM23" i="24"/>
  <c r="FI23" i="24"/>
  <c r="DG23" i="24"/>
  <c r="DD23" i="24"/>
  <c r="CR23" i="24"/>
  <c r="CL23" i="24"/>
  <c r="CF23" i="24"/>
  <c r="CC23" i="24"/>
  <c r="BZ23" i="24"/>
  <c r="BW23" i="24"/>
  <c r="AG23" i="24"/>
  <c r="AF23" i="24"/>
  <c r="AE23" i="24"/>
  <c r="AD23" i="24"/>
  <c r="AC23" i="24"/>
  <c r="K23" i="24"/>
  <c r="H23" i="24"/>
  <c r="HB22" i="24"/>
  <c r="GM22" i="24"/>
  <c r="GM16" i="24" s="1"/>
  <c r="FI22" i="24"/>
  <c r="FI16" i="24" s="1"/>
  <c r="ET22" i="24"/>
  <c r="ET16" i="24" s="1"/>
  <c r="EE22" i="24"/>
  <c r="EE16" i="24" s="1"/>
  <c r="DP22" i="24"/>
  <c r="DD22" i="24"/>
  <c r="DD21" i="24" s="1"/>
  <c r="CO22" i="24"/>
  <c r="CR22" i="24" s="1"/>
  <c r="CL22" i="24"/>
  <c r="CF22" i="24"/>
  <c r="CF19" i="24" s="1"/>
  <c r="CC22" i="24"/>
  <c r="BZ22" i="24"/>
  <c r="BW22" i="24"/>
  <c r="K22" i="24"/>
  <c r="HB21" i="24"/>
  <c r="GM21" i="24"/>
  <c r="GA21" i="24"/>
  <c r="FL21" i="24"/>
  <c r="FI21" i="24"/>
  <c r="EW21" i="24"/>
  <c r="ET21" i="24"/>
  <c r="EH21" i="24"/>
  <c r="EE21" i="24"/>
  <c r="DS21" i="24"/>
  <c r="DP21" i="24"/>
  <c r="BZ21" i="24"/>
  <c r="BW21" i="24"/>
  <c r="AG21" i="24"/>
  <c r="AF21" i="24"/>
  <c r="AE21" i="24"/>
  <c r="AD21" i="24"/>
  <c r="AC21" i="24"/>
  <c r="Z21" i="24"/>
  <c r="W21" i="24"/>
  <c r="K21" i="24"/>
  <c r="HB20" i="24"/>
  <c r="GP20" i="24"/>
  <c r="GM20" i="24"/>
  <c r="GA20" i="24"/>
  <c r="FL20" i="24"/>
  <c r="FI20" i="24"/>
  <c r="EW20" i="24"/>
  <c r="ET20" i="24"/>
  <c r="EH20" i="24"/>
  <c r="EE20" i="24"/>
  <c r="DS20" i="24"/>
  <c r="DP20" i="24"/>
  <c r="DP16" i="24" s="1"/>
  <c r="DG20" i="24"/>
  <c r="DD20" i="24"/>
  <c r="BZ20" i="24"/>
  <c r="BZ17" i="24" s="1"/>
  <c r="BW20" i="24"/>
  <c r="BT20" i="24"/>
  <c r="AG20" i="24"/>
  <c r="AF20" i="24"/>
  <c r="AE20" i="24"/>
  <c r="AD20" i="24"/>
  <c r="AC20" i="24"/>
  <c r="Z20" i="24"/>
  <c r="W20" i="24"/>
  <c r="H20" i="24"/>
  <c r="HB19" i="24"/>
  <c r="GP19" i="24"/>
  <c r="GM19" i="24"/>
  <c r="GA19" i="24"/>
  <c r="FL19" i="24"/>
  <c r="FI19" i="24"/>
  <c r="EW19" i="24"/>
  <c r="ET19" i="24"/>
  <c r="EH19" i="24"/>
  <c r="EE19" i="24"/>
  <c r="DS19" i="24"/>
  <c r="DP19" i="24"/>
  <c r="CX19" i="24"/>
  <c r="BZ19" i="24"/>
  <c r="BW19" i="24"/>
  <c r="BT19" i="24"/>
  <c r="AG19" i="24"/>
  <c r="AF19" i="24"/>
  <c r="AE19" i="24"/>
  <c r="AD19" i="24"/>
  <c r="AC19" i="24"/>
  <c r="H19" i="24"/>
  <c r="HB18" i="24"/>
  <c r="GP18" i="24"/>
  <c r="GM18" i="24"/>
  <c r="GA18" i="24"/>
  <c r="FL18" i="24"/>
  <c r="FI18" i="24"/>
  <c r="EW18" i="24"/>
  <c r="ET18" i="24"/>
  <c r="EH18" i="24"/>
  <c r="EE18" i="24"/>
  <c r="DS18" i="24"/>
  <c r="DP18" i="24"/>
  <c r="CX18" i="24"/>
  <c r="BZ18" i="24"/>
  <c r="BZ16" i="24" s="1"/>
  <c r="BW18" i="24"/>
  <c r="BT18" i="24"/>
  <c r="BQ18" i="24"/>
  <c r="BN18" i="24"/>
  <c r="BK18" i="24"/>
  <c r="BH18" i="24"/>
  <c r="BE18" i="24"/>
  <c r="BB18" i="24"/>
  <c r="AY18" i="24"/>
  <c r="AV18" i="24"/>
  <c r="AS18" i="24"/>
  <c r="AP18" i="24"/>
  <c r="AM18" i="24"/>
  <c r="AJ18" i="24"/>
  <c r="AG18" i="24"/>
  <c r="AF18" i="24"/>
  <c r="AE18" i="24"/>
  <c r="AD18" i="24"/>
  <c r="AC18" i="24"/>
  <c r="T18" i="24"/>
  <c r="Q18" i="24"/>
  <c r="N18" i="24"/>
  <c r="H18" i="24"/>
  <c r="E18" i="24"/>
  <c r="HB17" i="24"/>
  <c r="GP17" i="24"/>
  <c r="GM17" i="24"/>
  <c r="FI17" i="24"/>
  <c r="ET17" i="24"/>
  <c r="EE17" i="24"/>
  <c r="DP17" i="24"/>
  <c r="DD17" i="24"/>
  <c r="DM9" i="24" s="1"/>
  <c r="CX17" i="24"/>
  <c r="BW17" i="24"/>
  <c r="BT17" i="24"/>
  <c r="BQ17" i="24"/>
  <c r="BN17" i="24"/>
  <c r="BK17" i="24"/>
  <c r="BH17" i="24"/>
  <c r="BE17" i="24"/>
  <c r="BB17" i="24"/>
  <c r="AY17" i="24"/>
  <c r="AV17" i="24"/>
  <c r="AS17" i="24"/>
  <c r="AP17" i="24"/>
  <c r="AM17" i="24"/>
  <c r="AJ17" i="24"/>
  <c r="AG17" i="24"/>
  <c r="AF17" i="24"/>
  <c r="AE17" i="24"/>
  <c r="AD17" i="24"/>
  <c r="AC17" i="24"/>
  <c r="T17" i="24"/>
  <c r="Q17" i="24"/>
  <c r="N17" i="24"/>
  <c r="H17" i="24"/>
  <c r="E17" i="24"/>
  <c r="HE16" i="24"/>
  <c r="HB16" i="24"/>
  <c r="GA16" i="24"/>
  <c r="FL16" i="24"/>
  <c r="EW16" i="24"/>
  <c r="EH16" i="24"/>
  <c r="DG16" i="24"/>
  <c r="DG7" i="24" s="1"/>
  <c r="DD16" i="24"/>
  <c r="CX16" i="24"/>
  <c r="CI16" i="24"/>
  <c r="CF16" i="24"/>
  <c r="CC16" i="24"/>
  <c r="BW16" i="24"/>
  <c r="BT16" i="24"/>
  <c r="BQ16" i="24"/>
  <c r="BN16" i="24"/>
  <c r="BK16" i="24"/>
  <c r="BH16" i="24"/>
  <c r="BE16" i="24"/>
  <c r="BB16" i="24"/>
  <c r="AY16" i="24"/>
  <c r="AV16" i="24"/>
  <c r="AS16" i="24"/>
  <c r="AP16" i="24"/>
  <c r="AM16" i="24"/>
  <c r="AJ16" i="24"/>
  <c r="AG16" i="24"/>
  <c r="AF16" i="24"/>
  <c r="AE16" i="24"/>
  <c r="AD16" i="24"/>
  <c r="AC16" i="24"/>
  <c r="T16" i="24"/>
  <c r="Q16" i="24"/>
  <c r="N16" i="24"/>
  <c r="E16" i="24"/>
  <c r="HE15" i="24"/>
  <c r="HB15" i="24"/>
  <c r="GP15" i="24"/>
  <c r="GM15" i="24"/>
  <c r="FI15" i="24"/>
  <c r="FI2" i="24" s="1"/>
  <c r="ET15" i="24"/>
  <c r="DP15" i="24"/>
  <c r="DD15" i="24"/>
  <c r="DD7" i="24" s="1"/>
  <c r="CX15" i="24"/>
  <c r="CL15" i="24"/>
  <c r="CI15" i="24"/>
  <c r="CF15" i="24"/>
  <c r="CC15" i="24"/>
  <c r="BT15" i="24"/>
  <c r="BQ15" i="24"/>
  <c r="BN15" i="24"/>
  <c r="BK15" i="24"/>
  <c r="BH15" i="24"/>
  <c r="BE15" i="24"/>
  <c r="BB15" i="24"/>
  <c r="AY15" i="24"/>
  <c r="AV15" i="24"/>
  <c r="AS15" i="24"/>
  <c r="AP15" i="24"/>
  <c r="AM15" i="24"/>
  <c r="AJ15" i="24"/>
  <c r="T15" i="24"/>
  <c r="Q15" i="24"/>
  <c r="N15" i="24"/>
  <c r="E15" i="24"/>
  <c r="HE14" i="24"/>
  <c r="HB14" i="24"/>
  <c r="GP14" i="24"/>
  <c r="GY14" i="24" s="1"/>
  <c r="GM14" i="24"/>
  <c r="GA14" i="24"/>
  <c r="GJ14" i="24" s="1"/>
  <c r="FL14" i="24"/>
  <c r="FU7" i="24" s="1"/>
  <c r="FI14" i="24"/>
  <c r="EW14" i="24"/>
  <c r="FF14" i="24" s="1"/>
  <c r="ET14" i="24"/>
  <c r="EH14" i="24"/>
  <c r="EQ14" i="24" s="1"/>
  <c r="EE14" i="24"/>
  <c r="EB14" i="24"/>
  <c r="DY14" i="24"/>
  <c r="DS14" i="24"/>
  <c r="EB15" i="24" s="1"/>
  <c r="DP14" i="24"/>
  <c r="DD14" i="24"/>
  <c r="CX14" i="24"/>
  <c r="CL14" i="24"/>
  <c r="CI14" i="24"/>
  <c r="CF14" i="24"/>
  <c r="CC14" i="24"/>
  <c r="BW14" i="24"/>
  <c r="BT14" i="24"/>
  <c r="BQ14" i="24"/>
  <c r="BN14" i="24"/>
  <c r="BK14" i="24"/>
  <c r="BH14" i="24"/>
  <c r="BE14" i="24"/>
  <c r="BB14" i="24"/>
  <c r="AY14" i="24"/>
  <c r="AV14" i="24"/>
  <c r="AS14" i="24"/>
  <c r="AP14" i="24"/>
  <c r="AM14" i="24"/>
  <c r="AJ14" i="24"/>
  <c r="AG14" i="24"/>
  <c r="AF14" i="24"/>
  <c r="AE14" i="24"/>
  <c r="AD14" i="24"/>
  <c r="AC14" i="24"/>
  <c r="Z14" i="24"/>
  <c r="W14" i="24"/>
  <c r="T14" i="24"/>
  <c r="Q14" i="24"/>
  <c r="N14" i="24"/>
  <c r="E14" i="24"/>
  <c r="HB13" i="24"/>
  <c r="GY13" i="24"/>
  <c r="GV13" i="24"/>
  <c r="GP13" i="24"/>
  <c r="GM13" i="24"/>
  <c r="GJ13" i="24"/>
  <c r="GG13" i="24"/>
  <c r="GA13" i="24"/>
  <c r="FL13" i="24"/>
  <c r="FI13" i="24"/>
  <c r="FF13" i="24"/>
  <c r="FC13" i="24"/>
  <c r="EW13" i="24"/>
  <c r="ET13" i="24"/>
  <c r="EQ13" i="24"/>
  <c r="EN13" i="24"/>
  <c r="EH13" i="24"/>
  <c r="EE13" i="24"/>
  <c r="EB13" i="24"/>
  <c r="DY13" i="24"/>
  <c r="DS13" i="24"/>
  <c r="DP13" i="24"/>
  <c r="DD13" i="24"/>
  <c r="CX13" i="24"/>
  <c r="CU13" i="24"/>
  <c r="CO13" i="24"/>
  <c r="CI13" i="24"/>
  <c r="CF13" i="24"/>
  <c r="CC13" i="24"/>
  <c r="BW13" i="24"/>
  <c r="BT13" i="24"/>
  <c r="BQ13" i="24"/>
  <c r="BN13" i="24"/>
  <c r="BK13" i="24"/>
  <c r="BH13" i="24"/>
  <c r="BE13" i="24"/>
  <c r="BB13" i="24"/>
  <c r="AY13" i="24"/>
  <c r="AV13" i="24"/>
  <c r="AS13" i="24"/>
  <c r="AP13" i="24"/>
  <c r="AM13" i="24"/>
  <c r="AJ13" i="24"/>
  <c r="AG13" i="24"/>
  <c r="AF13" i="24"/>
  <c r="Z13" i="24"/>
  <c r="W13" i="24"/>
  <c r="T13" i="24"/>
  <c r="Q13" i="24"/>
  <c r="K13" i="24"/>
  <c r="E13" i="24"/>
  <c r="HB12" i="24"/>
  <c r="GY12" i="24"/>
  <c r="GV12" i="24"/>
  <c r="GP12" i="24"/>
  <c r="GM12" i="24"/>
  <c r="GJ12" i="24"/>
  <c r="GG12" i="24"/>
  <c r="GA12" i="24"/>
  <c r="FL12" i="24"/>
  <c r="FI12" i="24"/>
  <c r="FF12" i="24"/>
  <c r="FC12" i="24"/>
  <c r="EW12" i="24"/>
  <c r="ET12" i="24"/>
  <c r="EQ12" i="24"/>
  <c r="EN12" i="24"/>
  <c r="EH12" i="24"/>
  <c r="EE12" i="24"/>
  <c r="EB12" i="24"/>
  <c r="DY12" i="24"/>
  <c r="DS12" i="24"/>
  <c r="DP12" i="24"/>
  <c r="DD12" i="24"/>
  <c r="DA12" i="24"/>
  <c r="DA11" i="24" s="1"/>
  <c r="CX12" i="24"/>
  <c r="CU12" i="24"/>
  <c r="CO12" i="24"/>
  <c r="CI12" i="24"/>
  <c r="CF12" i="24"/>
  <c r="CC12" i="24"/>
  <c r="BZ12" i="24"/>
  <c r="BZ11" i="24" s="1"/>
  <c r="BT12" i="24"/>
  <c r="BQ12" i="24"/>
  <c r="BQ6" i="24" s="1"/>
  <c r="BN12" i="24"/>
  <c r="BK12" i="24"/>
  <c r="BN6" i="24" s="1"/>
  <c r="BH12" i="24"/>
  <c r="BE12" i="24"/>
  <c r="BB12" i="24"/>
  <c r="AY12" i="24"/>
  <c r="AV12" i="24"/>
  <c r="AS12" i="24"/>
  <c r="AP12" i="24"/>
  <c r="AM12" i="24"/>
  <c r="AJ12" i="24"/>
  <c r="AG12" i="24"/>
  <c r="AF12" i="24"/>
  <c r="K12" i="24"/>
  <c r="E12" i="24"/>
  <c r="HE11" i="24"/>
  <c r="HB11" i="24"/>
  <c r="GY11" i="24"/>
  <c r="GV11" i="24"/>
  <c r="GP11" i="24"/>
  <c r="GM11" i="24"/>
  <c r="GJ11" i="24"/>
  <c r="GG11" i="24"/>
  <c r="GA11" i="24"/>
  <c r="FL11" i="24"/>
  <c r="FI11" i="24"/>
  <c r="FF11" i="24"/>
  <c r="FC11" i="24"/>
  <c r="EW11" i="24"/>
  <c r="ET11" i="24"/>
  <c r="EQ11" i="24"/>
  <c r="EN11" i="24"/>
  <c r="EH11" i="24"/>
  <c r="EE11" i="24"/>
  <c r="EB11" i="24"/>
  <c r="DY11" i="24"/>
  <c r="DS11" i="24"/>
  <c r="DP11" i="24"/>
  <c r="DG11" i="24"/>
  <c r="DG6" i="24" s="1"/>
  <c r="DD11" i="24"/>
  <c r="CO11" i="24"/>
  <c r="CL11" i="24"/>
  <c r="CL12" i="24" s="1"/>
  <c r="CI11" i="24"/>
  <c r="CF11" i="24"/>
  <c r="CC11" i="24"/>
  <c r="BQ11" i="24"/>
  <c r="BN11" i="24"/>
  <c r="BK11" i="24"/>
  <c r="BH11" i="24"/>
  <c r="BE11" i="24"/>
  <c r="BB11" i="24"/>
  <c r="AY11" i="24"/>
  <c r="AV11" i="24"/>
  <c r="AS11" i="24"/>
  <c r="AP11" i="24"/>
  <c r="AM11" i="24"/>
  <c r="AJ11" i="24"/>
  <c r="AG11" i="24"/>
  <c r="AF11" i="24"/>
  <c r="AE11" i="24"/>
  <c r="AE26" i="24" s="1"/>
  <c r="AE30" i="24" s="1"/>
  <c r="AE33" i="24" s="1"/>
  <c r="AD11" i="24"/>
  <c r="AD26" i="24" s="1"/>
  <c r="AD30" i="24" s="1"/>
  <c r="AD33" i="24" s="1"/>
  <c r="AC11" i="24"/>
  <c r="Z11" i="24"/>
  <c r="W11" i="24"/>
  <c r="HE10" i="24"/>
  <c r="HB10" i="24"/>
  <c r="GY10" i="24"/>
  <c r="GV10" i="24"/>
  <c r="GP10" i="24"/>
  <c r="GM10" i="24"/>
  <c r="GJ10" i="24"/>
  <c r="GG10" i="24"/>
  <c r="GA10" i="24"/>
  <c r="FL10" i="24"/>
  <c r="FI10" i="24"/>
  <c r="FF10" i="24"/>
  <c r="FC10" i="24"/>
  <c r="EW10" i="24"/>
  <c r="ET10" i="24"/>
  <c r="EQ10" i="24"/>
  <c r="EN10" i="24"/>
  <c r="EH10" i="24"/>
  <c r="EE10" i="24"/>
  <c r="EB10" i="24"/>
  <c r="DY10" i="24"/>
  <c r="DS10" i="24"/>
  <c r="DP10" i="24"/>
  <c r="DG10" i="24"/>
  <c r="CX10" i="24"/>
  <c r="CU10" i="24"/>
  <c r="CO10" i="24"/>
  <c r="CL10" i="24"/>
  <c r="CI10" i="24"/>
  <c r="CF10" i="24"/>
  <c r="CC10" i="24"/>
  <c r="CI6" i="24" s="1"/>
  <c r="BT10" i="24"/>
  <c r="BQ10" i="24"/>
  <c r="BN10" i="24"/>
  <c r="BK10" i="24"/>
  <c r="BH10" i="24"/>
  <c r="BE10" i="24"/>
  <c r="BB10" i="24"/>
  <c r="BE25" i="24" s="1"/>
  <c r="AY10" i="24"/>
  <c r="AV10" i="24"/>
  <c r="AS10" i="24"/>
  <c r="AY6" i="24" s="1"/>
  <c r="AP10" i="24"/>
  <c r="AP6" i="24" s="1"/>
  <c r="AM10" i="24"/>
  <c r="AJ10" i="24"/>
  <c r="Z10" i="24"/>
  <c r="W10" i="24"/>
  <c r="T10" i="24"/>
  <c r="Q10" i="24"/>
  <c r="N10" i="24"/>
  <c r="K10" i="24"/>
  <c r="E10" i="24"/>
  <c r="BW7" i="24" s="1"/>
  <c r="HE9" i="24"/>
  <c r="HB9" i="24"/>
  <c r="GY9" i="24"/>
  <c r="GV9" i="24"/>
  <c r="GP9" i="24"/>
  <c r="GM9" i="24"/>
  <c r="GJ9" i="24"/>
  <c r="GG9" i="24"/>
  <c r="GA9" i="24"/>
  <c r="FL9" i="24"/>
  <c r="FI9" i="24"/>
  <c r="FF9" i="24"/>
  <c r="FC9" i="24"/>
  <c r="EW9" i="24"/>
  <c r="ET9" i="24"/>
  <c r="EQ9" i="24"/>
  <c r="EN9" i="24"/>
  <c r="EH9" i="24"/>
  <c r="EE9" i="24"/>
  <c r="EB9" i="24"/>
  <c r="DY9" i="24"/>
  <c r="DS9" i="24"/>
  <c r="DP9" i="24"/>
  <c r="DD9" i="24"/>
  <c r="DA9" i="24"/>
  <c r="CX9" i="24"/>
  <c r="CU9" i="24"/>
  <c r="CO9" i="24"/>
  <c r="CO7" i="24" s="1"/>
  <c r="CL9" i="24"/>
  <c r="CI9" i="24"/>
  <c r="CF9" i="24"/>
  <c r="CC9" i="24"/>
  <c r="BZ9" i="24"/>
  <c r="BW9" i="24"/>
  <c r="BT9" i="24"/>
  <c r="BT28" i="24" s="1"/>
  <c r="BQ9" i="24"/>
  <c r="BN9" i="24"/>
  <c r="BK9" i="24"/>
  <c r="BH9" i="24"/>
  <c r="BE9" i="24"/>
  <c r="BB9" i="24"/>
  <c r="AY9" i="24"/>
  <c r="AV9" i="24"/>
  <c r="AS9" i="24"/>
  <c r="AP9" i="24"/>
  <c r="AM9" i="24"/>
  <c r="AJ9" i="24"/>
  <c r="AG9" i="24"/>
  <c r="AF9" i="24"/>
  <c r="AE9" i="24"/>
  <c r="AD9" i="24"/>
  <c r="AC9" i="24"/>
  <c r="Z9" i="24"/>
  <c r="W9" i="24"/>
  <c r="N9" i="24"/>
  <c r="K9" i="24"/>
  <c r="H9" i="24"/>
  <c r="E9" i="24"/>
  <c r="HE8" i="24"/>
  <c r="HE7" i="24" s="1"/>
  <c r="HB8" i="24"/>
  <c r="HB6" i="24" s="1"/>
  <c r="GY8" i="24"/>
  <c r="GY6" i="24" s="1"/>
  <c r="GV8" i="24"/>
  <c r="GP8" i="24"/>
  <c r="GM8" i="24"/>
  <c r="GJ8" i="24"/>
  <c r="GG8" i="24"/>
  <c r="GA8" i="24"/>
  <c r="FL8" i="24"/>
  <c r="FI8" i="24"/>
  <c r="FI6" i="24" s="1"/>
  <c r="FF8" i="24"/>
  <c r="FC8" i="24"/>
  <c r="EW8" i="24"/>
  <c r="ET8" i="24"/>
  <c r="ET6" i="24" s="1"/>
  <c r="EQ8" i="24"/>
  <c r="EQ6" i="24" s="1"/>
  <c r="EN8" i="24"/>
  <c r="EN6" i="24" s="1"/>
  <c r="EH8" i="24"/>
  <c r="EE8" i="24"/>
  <c r="EE6" i="24" s="1"/>
  <c r="EE2" i="24" s="1"/>
  <c r="EB8" i="24"/>
  <c r="DY8" i="24"/>
  <c r="DS8" i="24"/>
  <c r="DP8" i="24"/>
  <c r="DM8" i="24"/>
  <c r="DM6" i="24" s="1"/>
  <c r="DJ8" i="24"/>
  <c r="DJ6" i="24" s="1"/>
  <c r="DD8" i="24"/>
  <c r="DA8" i="24"/>
  <c r="CX8" i="24"/>
  <c r="CU8" i="24"/>
  <c r="CO8" i="24"/>
  <c r="CL8" i="24"/>
  <c r="CI8" i="24"/>
  <c r="CF8" i="24"/>
  <c r="CC8" i="24"/>
  <c r="BZ8" i="24"/>
  <c r="BW8" i="24"/>
  <c r="BT8" i="24"/>
  <c r="BQ8" i="24"/>
  <c r="BN8" i="24"/>
  <c r="BK8" i="24"/>
  <c r="BH8" i="24"/>
  <c r="BE8" i="24"/>
  <c r="BB8" i="24"/>
  <c r="AY8" i="24"/>
  <c r="AV8" i="24"/>
  <c r="AS8" i="24"/>
  <c r="AP8" i="24"/>
  <c r="AM8" i="24"/>
  <c r="AJ8" i="24"/>
  <c r="AG8" i="24"/>
  <c r="AF8" i="24"/>
  <c r="AE8" i="24"/>
  <c r="AD8" i="24"/>
  <c r="AC8" i="24"/>
  <c r="Z8" i="24"/>
  <c r="W8" i="24"/>
  <c r="T8" i="24"/>
  <c r="T7" i="24" s="1"/>
  <c r="Q8" i="24"/>
  <c r="Q7" i="24" s="1"/>
  <c r="N8" i="24"/>
  <c r="N7" i="24" s="1"/>
  <c r="N2" i="24" s="1"/>
  <c r="K8" i="24"/>
  <c r="H8" i="24"/>
  <c r="E8" i="24"/>
  <c r="HB7" i="24"/>
  <c r="GY7" i="24"/>
  <c r="GV7" i="24"/>
  <c r="GV5" i="24" s="1"/>
  <c r="GM7" i="24"/>
  <c r="GJ7" i="24"/>
  <c r="GG7" i="24"/>
  <c r="FI7" i="24"/>
  <c r="FI5" i="24" s="1"/>
  <c r="FF7" i="24"/>
  <c r="FF5" i="24" s="1"/>
  <c r="FC7" i="24"/>
  <c r="ET7" i="24"/>
  <c r="ET5" i="24" s="1"/>
  <c r="EQ7" i="24"/>
  <c r="EQ5" i="24" s="1"/>
  <c r="EN7" i="24"/>
  <c r="EN5" i="24" s="1"/>
  <c r="EE7" i="24"/>
  <c r="EB7" i="24"/>
  <c r="DY7" i="24"/>
  <c r="DM7" i="24"/>
  <c r="DJ7" i="24"/>
  <c r="DA7" i="24"/>
  <c r="CX7" i="24"/>
  <c r="CU7" i="24"/>
  <c r="CL7" i="24"/>
  <c r="CI7" i="24"/>
  <c r="CF7" i="24"/>
  <c r="CC7" i="24"/>
  <c r="BZ7" i="24"/>
  <c r="BT7" i="24"/>
  <c r="BQ7" i="24"/>
  <c r="BN7" i="24"/>
  <c r="BK7" i="24"/>
  <c r="BH7" i="24"/>
  <c r="BE7" i="24"/>
  <c r="BB7" i="24"/>
  <c r="AY7" i="24"/>
  <c r="AV7" i="24"/>
  <c r="AS7" i="24"/>
  <c r="AP7" i="24"/>
  <c r="AM7" i="24"/>
  <c r="AJ7" i="24"/>
  <c r="Z7" i="24"/>
  <c r="Z6" i="24" s="1"/>
  <c r="W7" i="24"/>
  <c r="W6" i="24" s="1"/>
  <c r="K7" i="24"/>
  <c r="H7" i="24"/>
  <c r="E7" i="24"/>
  <c r="E6" i="24" s="1"/>
  <c r="GV6" i="24"/>
  <c r="GP6" i="24"/>
  <c r="GM6" i="24"/>
  <c r="GJ6" i="24"/>
  <c r="GG6" i="24"/>
  <c r="GD6" i="24"/>
  <c r="GA6" i="24"/>
  <c r="FU6" i="24"/>
  <c r="FR6" i="24"/>
  <c r="FL6" i="24"/>
  <c r="FF6" i="24"/>
  <c r="FC6" i="24"/>
  <c r="EZ6" i="24"/>
  <c r="EW6" i="24"/>
  <c r="EK6" i="24"/>
  <c r="EH6" i="24"/>
  <c r="EB6" i="24"/>
  <c r="DY6" i="24"/>
  <c r="DV6" i="24"/>
  <c r="DS6" i="24"/>
  <c r="DD6" i="24"/>
  <c r="DA6" i="24"/>
  <c r="CX6" i="24"/>
  <c r="CU6" i="24"/>
  <c r="CR6" i="24"/>
  <c r="CO6" i="24"/>
  <c r="CL6" i="24"/>
  <c r="CF6" i="24"/>
  <c r="CC6" i="24"/>
  <c r="CC2" i="24" s="1"/>
  <c r="BZ6" i="24"/>
  <c r="BW6" i="24"/>
  <c r="BT6" i="24"/>
  <c r="BK6" i="24"/>
  <c r="BE6" i="24"/>
  <c r="AM6" i="24"/>
  <c r="AJ6" i="24"/>
  <c r="K6" i="24"/>
  <c r="H6" i="24"/>
  <c r="HE5" i="24"/>
  <c r="HB5" i="24"/>
  <c r="GY5" i="24"/>
  <c r="GS5" i="24"/>
  <c r="GP5" i="24"/>
  <c r="GM5" i="24"/>
  <c r="GJ5" i="24"/>
  <c r="GG5" i="24"/>
  <c r="GD5" i="24"/>
  <c r="GA5" i="24"/>
  <c r="FX5" i="24"/>
  <c r="FU5" i="24"/>
  <c r="FR5" i="24"/>
  <c r="FO5" i="24"/>
  <c r="FL5" i="24"/>
  <c r="FC5" i="24"/>
  <c r="EZ5" i="24"/>
  <c r="EW5" i="24"/>
  <c r="EK5" i="24"/>
  <c r="EH5" i="24"/>
  <c r="EE5" i="24"/>
  <c r="EB5" i="24"/>
  <c r="DY5" i="24"/>
  <c r="DV5" i="24"/>
  <c r="DS5" i="24"/>
  <c r="DM5" i="24"/>
  <c r="DJ5" i="24"/>
  <c r="DG5" i="24"/>
  <c r="DD5" i="24"/>
  <c r="DA5" i="24"/>
  <c r="CX5" i="24"/>
  <c r="CU5" i="24"/>
  <c r="CO5" i="24"/>
  <c r="CR5" i="24" s="1"/>
  <c r="CL5" i="24"/>
  <c r="CI5" i="24"/>
  <c r="CF5" i="24"/>
  <c r="CC5" i="24"/>
  <c r="BZ5" i="24"/>
  <c r="BW5" i="24"/>
  <c r="BT5" i="24"/>
  <c r="BQ5" i="24"/>
  <c r="BN5" i="24"/>
  <c r="BK5" i="24"/>
  <c r="BK2" i="24" s="1"/>
  <c r="BH5" i="24"/>
  <c r="BE5" i="24"/>
  <c r="BB5" i="24"/>
  <c r="AY5" i="24"/>
  <c r="AV5" i="24"/>
  <c r="AS5" i="24"/>
  <c r="AP5" i="24"/>
  <c r="AM5" i="24"/>
  <c r="AJ5" i="24"/>
  <c r="AJ2" i="24" s="1"/>
  <c r="AG5" i="24"/>
  <c r="AF5" i="24"/>
  <c r="AE5" i="24"/>
  <c r="AD5" i="24"/>
  <c r="AC5" i="24"/>
  <c r="Z5" i="24"/>
  <c r="W5" i="24"/>
  <c r="T5" i="24"/>
  <c r="Q5" i="24"/>
  <c r="N5" i="24"/>
  <c r="K5" i="24"/>
  <c r="H5" i="24"/>
  <c r="E5" i="24"/>
  <c r="FX2" i="24"/>
  <c r="H68" i="30"/>
  <c r="H67" i="30"/>
  <c r="H66" i="30"/>
  <c r="H65" i="30"/>
  <c r="H64" i="30"/>
  <c r="H63" i="30"/>
  <c r="H62" i="30"/>
  <c r="H55" i="30" s="1"/>
  <c r="H61" i="30"/>
  <c r="H60" i="30"/>
  <c r="H58" i="30"/>
  <c r="H57" i="30"/>
  <c r="H56" i="30"/>
  <c r="K54" i="30"/>
  <c r="H54" i="30"/>
  <c r="K53" i="30"/>
  <c r="H53" i="30"/>
  <c r="E53" i="30"/>
  <c r="K52" i="30"/>
  <c r="K50" i="30" s="1"/>
  <c r="K51" i="30"/>
  <c r="E51" i="30"/>
  <c r="DA50" i="30"/>
  <c r="E50" i="30"/>
  <c r="H49" i="30"/>
  <c r="H47" i="30" s="1"/>
  <c r="CU48" i="30"/>
  <c r="H48" i="30"/>
  <c r="E48" i="30"/>
  <c r="E47" i="30"/>
  <c r="DA46" i="30"/>
  <c r="Z46" i="30"/>
  <c r="H46" i="30"/>
  <c r="E46" i="30"/>
  <c r="K45" i="30"/>
  <c r="E45" i="30"/>
  <c r="DA44" i="30"/>
  <c r="Z44" i="30"/>
  <c r="K44" i="30"/>
  <c r="E44" i="30"/>
  <c r="DA43" i="30"/>
  <c r="CU43" i="30"/>
  <c r="Z43" i="30"/>
  <c r="K43" i="30"/>
  <c r="H43" i="30"/>
  <c r="B43" i="30"/>
  <c r="DA42" i="30"/>
  <c r="CU42" i="30"/>
  <c r="Z42" i="30"/>
  <c r="W42" i="30"/>
  <c r="K42" i="30"/>
  <c r="B42" i="30"/>
  <c r="CO22" i="30" s="1"/>
  <c r="CR22" i="30" s="1"/>
  <c r="HE41" i="30"/>
  <c r="DA41" i="30"/>
  <c r="CU41" i="30"/>
  <c r="K41" i="30"/>
  <c r="HE40" i="30"/>
  <c r="DA40" i="30"/>
  <c r="CU40" i="30"/>
  <c r="K40" i="30"/>
  <c r="H40" i="30"/>
  <c r="HE39" i="30"/>
  <c r="DA39" i="30"/>
  <c r="CU39" i="30"/>
  <c r="H39" i="30"/>
  <c r="HE38" i="30"/>
  <c r="DA38" i="30"/>
  <c r="CU38" i="30"/>
  <c r="AG38" i="30"/>
  <c r="AF38" i="30"/>
  <c r="AE38" i="30"/>
  <c r="AD38" i="30"/>
  <c r="AC38" i="30"/>
  <c r="K38" i="30"/>
  <c r="H38" i="30"/>
  <c r="E38" i="30"/>
  <c r="DA37" i="30"/>
  <c r="CU37" i="30"/>
  <c r="BZ37" i="30"/>
  <c r="K37" i="30"/>
  <c r="H37" i="30"/>
  <c r="HE36" i="30"/>
  <c r="DA36" i="30"/>
  <c r="CU36" i="30"/>
  <c r="BN36" i="30"/>
  <c r="BK36" i="30"/>
  <c r="BE36" i="30"/>
  <c r="BB36" i="30"/>
  <c r="AV36" i="30"/>
  <c r="AS36" i="30"/>
  <c r="AM36" i="30"/>
  <c r="AJ36" i="30"/>
  <c r="Z36" i="30"/>
  <c r="W36" i="30"/>
  <c r="Q36" i="30"/>
  <c r="N36" i="30"/>
  <c r="K36" i="30"/>
  <c r="H36" i="30"/>
  <c r="E36" i="30"/>
  <c r="HE35" i="30"/>
  <c r="DA35" i="30"/>
  <c r="CU35" i="30"/>
  <c r="BN35" i="30"/>
  <c r="BK35" i="30"/>
  <c r="BE35" i="30"/>
  <c r="BB35" i="30"/>
  <c r="AV35" i="30"/>
  <c r="AS35" i="30"/>
  <c r="AM35" i="30"/>
  <c r="AJ35" i="30"/>
  <c r="Z35" i="30"/>
  <c r="W35" i="30"/>
  <c r="Q35" i="30"/>
  <c r="N35" i="30"/>
  <c r="K35" i="30"/>
  <c r="H35" i="30"/>
  <c r="E35" i="30"/>
  <c r="HE34" i="30"/>
  <c r="DA34" i="30"/>
  <c r="CU34" i="30"/>
  <c r="BN34" i="30"/>
  <c r="BK34" i="30"/>
  <c r="BE34" i="30"/>
  <c r="BB34" i="30"/>
  <c r="AV34" i="30"/>
  <c r="AS34" i="30"/>
  <c r="AM34" i="30"/>
  <c r="AJ34" i="30"/>
  <c r="Q34" i="30"/>
  <c r="N34" i="30"/>
  <c r="K34" i="30"/>
  <c r="K46" i="30" s="1"/>
  <c r="H34" i="30"/>
  <c r="E34" i="30"/>
  <c r="B34" i="30"/>
  <c r="AG37" i="30" s="1"/>
  <c r="DA33" i="30"/>
  <c r="CU33" i="30"/>
  <c r="BZ33" i="30"/>
  <c r="BN33" i="30"/>
  <c r="BK33" i="30"/>
  <c r="BE33" i="30"/>
  <c r="BB33" i="30"/>
  <c r="AV33" i="30"/>
  <c r="AS33" i="30"/>
  <c r="AM33" i="30"/>
  <c r="AJ33" i="30"/>
  <c r="Z33" i="30"/>
  <c r="W33" i="30"/>
  <c r="Q33" i="30"/>
  <c r="N33" i="30"/>
  <c r="K33" i="30"/>
  <c r="H33" i="30"/>
  <c r="E33" i="30"/>
  <c r="B33" i="30"/>
  <c r="AF36" i="30" s="1"/>
  <c r="HE32" i="30"/>
  <c r="DA32" i="30"/>
  <c r="CU32" i="30"/>
  <c r="CU44" i="30" s="1"/>
  <c r="CU11" i="30" s="1"/>
  <c r="CF32" i="30"/>
  <c r="CC32" i="30"/>
  <c r="BZ32" i="30"/>
  <c r="BW32" i="30"/>
  <c r="BN32" i="30"/>
  <c r="BK32" i="30"/>
  <c r="BE32" i="30"/>
  <c r="BB32" i="30"/>
  <c r="AV32" i="30"/>
  <c r="AS32" i="30"/>
  <c r="AM32" i="30"/>
  <c r="AJ32" i="30"/>
  <c r="Z32" i="30"/>
  <c r="W32" i="30"/>
  <c r="K32" i="30"/>
  <c r="H32" i="30"/>
  <c r="E32" i="30"/>
  <c r="B32" i="30"/>
  <c r="CU10" i="30" s="1"/>
  <c r="HE31" i="30"/>
  <c r="DA31" i="30"/>
  <c r="CU31" i="30"/>
  <c r="CL31" i="30"/>
  <c r="CF31" i="30"/>
  <c r="CC31" i="30"/>
  <c r="BZ31" i="30"/>
  <c r="BN31" i="30"/>
  <c r="BK31" i="30"/>
  <c r="BE31" i="30"/>
  <c r="BB31" i="30"/>
  <c r="AV31" i="30"/>
  <c r="AS31" i="30"/>
  <c r="AM31" i="30"/>
  <c r="AJ31" i="30"/>
  <c r="Z31" i="30"/>
  <c r="Z39" i="30" s="1"/>
  <c r="W31" i="30"/>
  <c r="K31" i="30"/>
  <c r="H31" i="30"/>
  <c r="HE30" i="30"/>
  <c r="DA30" i="30"/>
  <c r="CU30" i="30"/>
  <c r="CO30" i="30"/>
  <c r="CF30" i="30"/>
  <c r="CC30" i="30"/>
  <c r="BZ30" i="30"/>
  <c r="BN30" i="30"/>
  <c r="BK30" i="30"/>
  <c r="BE30" i="30"/>
  <c r="BB30" i="30"/>
  <c r="AV30" i="30"/>
  <c r="AS30" i="30"/>
  <c r="AM30" i="30"/>
  <c r="AJ30" i="30"/>
  <c r="Z30" i="30"/>
  <c r="W30" i="30"/>
  <c r="K30" i="30"/>
  <c r="H30" i="30"/>
  <c r="HE29" i="30"/>
  <c r="DA29" i="30"/>
  <c r="CU29" i="30"/>
  <c r="CO29" i="30"/>
  <c r="CF29" i="30"/>
  <c r="CC29" i="30"/>
  <c r="BZ29" i="30"/>
  <c r="BT29" i="30"/>
  <c r="BN29" i="30"/>
  <c r="BK29" i="30"/>
  <c r="BE29" i="30"/>
  <c r="BB29" i="30"/>
  <c r="AV29" i="30"/>
  <c r="AS29" i="30"/>
  <c r="AM29" i="30"/>
  <c r="AM25" i="30" s="1"/>
  <c r="AJ29" i="30"/>
  <c r="AJ25" i="30" s="1"/>
  <c r="Z29" i="30"/>
  <c r="Z28" i="30" s="1"/>
  <c r="W29" i="30"/>
  <c r="W28" i="30" s="1"/>
  <c r="W40" i="30" s="1"/>
  <c r="Q29" i="30"/>
  <c r="N29" i="30"/>
  <c r="K29" i="30"/>
  <c r="H29" i="30"/>
  <c r="HE28" i="30"/>
  <c r="DA28" i="30"/>
  <c r="CU28" i="30"/>
  <c r="CO28" i="30"/>
  <c r="CL28" i="30"/>
  <c r="CL29" i="30" s="1"/>
  <c r="CF28" i="30"/>
  <c r="CC28" i="30"/>
  <c r="BZ28" i="30"/>
  <c r="BN28" i="30"/>
  <c r="BK28" i="30"/>
  <c r="BE28" i="30"/>
  <c r="BB28" i="30"/>
  <c r="AV28" i="30"/>
  <c r="AS28" i="30"/>
  <c r="AM28" i="30"/>
  <c r="AJ28" i="30"/>
  <c r="AG28" i="30"/>
  <c r="AF28" i="30"/>
  <c r="AE28" i="30"/>
  <c r="AD28" i="30"/>
  <c r="AD27" i="30" s="1"/>
  <c r="AC28" i="30"/>
  <c r="AC27" i="30" s="1"/>
  <c r="Q28" i="30"/>
  <c r="N28" i="30"/>
  <c r="H28" i="30"/>
  <c r="HE27" i="30"/>
  <c r="HB27" i="30"/>
  <c r="GM27" i="30"/>
  <c r="FI27" i="30"/>
  <c r="ET27" i="30"/>
  <c r="EE27" i="30"/>
  <c r="DA27" i="30"/>
  <c r="CU27" i="30"/>
  <c r="CO27" i="30"/>
  <c r="CL27" i="30"/>
  <c r="CF27" i="30"/>
  <c r="CC27" i="30"/>
  <c r="BZ27" i="30"/>
  <c r="BW27" i="30"/>
  <c r="BT27" i="30"/>
  <c r="BN27" i="30"/>
  <c r="BN26" i="30" s="1"/>
  <c r="BK27" i="30"/>
  <c r="BK26" i="30" s="1"/>
  <c r="BE27" i="30"/>
  <c r="BE26" i="30" s="1"/>
  <c r="BB27" i="30"/>
  <c r="AV27" i="30"/>
  <c r="AS27" i="30"/>
  <c r="AM27" i="30"/>
  <c r="AM26" i="30" s="1"/>
  <c r="AJ27" i="30"/>
  <c r="AJ26" i="30" s="1"/>
  <c r="AG27" i="30"/>
  <c r="AF27" i="30"/>
  <c r="AE27" i="30"/>
  <c r="Z27" i="30"/>
  <c r="Z41" i="30" s="1"/>
  <c r="W27" i="30"/>
  <c r="Q27" i="30"/>
  <c r="Q26" i="30" s="1"/>
  <c r="N27" i="30"/>
  <c r="N26" i="30" s="1"/>
  <c r="K27" i="30"/>
  <c r="H27" i="30"/>
  <c r="HB26" i="30"/>
  <c r="GM26" i="30"/>
  <c r="FI26" i="30"/>
  <c r="ET26" i="30"/>
  <c r="EE26" i="30"/>
  <c r="DP26" i="30"/>
  <c r="DP24" i="30" s="1"/>
  <c r="DG26" i="30"/>
  <c r="DA26" i="30"/>
  <c r="CX26" i="30"/>
  <c r="CU26" i="30"/>
  <c r="CO26" i="30"/>
  <c r="CL26" i="30"/>
  <c r="CF26" i="30"/>
  <c r="CC26" i="30"/>
  <c r="BZ26" i="30"/>
  <c r="BW26" i="30"/>
  <c r="BT26" i="30"/>
  <c r="BB26" i="30"/>
  <c r="AV26" i="30"/>
  <c r="AS26" i="30"/>
  <c r="K26" i="30"/>
  <c r="H26" i="30"/>
  <c r="E26" i="30"/>
  <c r="HE25" i="30"/>
  <c r="HB25" i="30"/>
  <c r="HB23" i="30" s="1"/>
  <c r="GM25" i="30"/>
  <c r="FI25" i="30"/>
  <c r="ET25" i="30"/>
  <c r="ET23" i="30" s="1"/>
  <c r="EE25" i="30"/>
  <c r="EE23" i="30" s="1"/>
  <c r="DP25" i="30"/>
  <c r="DP23" i="30" s="1"/>
  <c r="CX25" i="30"/>
  <c r="CO25" i="30"/>
  <c r="CL25" i="30"/>
  <c r="CF25" i="30"/>
  <c r="CC25" i="30"/>
  <c r="BZ25" i="30"/>
  <c r="BW25" i="30"/>
  <c r="BT25" i="30"/>
  <c r="AG25" i="30"/>
  <c r="AF25" i="30"/>
  <c r="AE25" i="30"/>
  <c r="AD25" i="30"/>
  <c r="AC25" i="30"/>
  <c r="H25" i="30"/>
  <c r="E25" i="30"/>
  <c r="HB24" i="30"/>
  <c r="GM24" i="30"/>
  <c r="FI24" i="30"/>
  <c r="ET24" i="30"/>
  <c r="EE24" i="30"/>
  <c r="CX24" i="30"/>
  <c r="CO24" i="30"/>
  <c r="CL24" i="30"/>
  <c r="CF24" i="30"/>
  <c r="CC24" i="30"/>
  <c r="BZ24" i="30"/>
  <c r="BW24" i="30"/>
  <c r="BN24" i="30"/>
  <c r="BK24" i="30"/>
  <c r="BE24" i="30"/>
  <c r="BB24" i="30"/>
  <c r="AV24" i="30"/>
  <c r="AS24" i="30"/>
  <c r="AM24" i="30"/>
  <c r="AJ24" i="30"/>
  <c r="AG24" i="30"/>
  <c r="AF24" i="30"/>
  <c r="AE24" i="30"/>
  <c r="AD24" i="30"/>
  <c r="AC24" i="30"/>
  <c r="Q24" i="30"/>
  <c r="N24" i="30"/>
  <c r="K24" i="30"/>
  <c r="H24" i="30"/>
  <c r="E24" i="30"/>
  <c r="GM23" i="30"/>
  <c r="FI23" i="30"/>
  <c r="DG23" i="30"/>
  <c r="DD23" i="30"/>
  <c r="CR23" i="30"/>
  <c r="CO23" i="30"/>
  <c r="CL23" i="30"/>
  <c r="BZ23" i="30"/>
  <c r="BW23" i="30"/>
  <c r="AG23" i="30"/>
  <c r="AF23" i="30"/>
  <c r="AE23" i="30"/>
  <c r="AD23" i="30"/>
  <c r="AC23" i="30"/>
  <c r="K23" i="30"/>
  <c r="K20" i="30" s="1"/>
  <c r="H23" i="30"/>
  <c r="HB22" i="30"/>
  <c r="HB16" i="30" s="1"/>
  <c r="GM22" i="30"/>
  <c r="FI22" i="30"/>
  <c r="FI16" i="30" s="1"/>
  <c r="ET22" i="30"/>
  <c r="ET16" i="30" s="1"/>
  <c r="EE22" i="30"/>
  <c r="EE16" i="30" s="1"/>
  <c r="DP22" i="30"/>
  <c r="DD22" i="30"/>
  <c r="DD21" i="30" s="1"/>
  <c r="CL22" i="30"/>
  <c r="CF22" i="30"/>
  <c r="CC22" i="30"/>
  <c r="BZ22" i="30"/>
  <c r="BW22" i="30"/>
  <c r="K22" i="30"/>
  <c r="HB21" i="30"/>
  <c r="GM21" i="30"/>
  <c r="FI21" i="30"/>
  <c r="ET21" i="30"/>
  <c r="EE21" i="30"/>
  <c r="DP21" i="30"/>
  <c r="BZ21" i="30"/>
  <c r="BW21" i="30"/>
  <c r="AG21" i="30"/>
  <c r="AF21" i="30"/>
  <c r="AE21" i="30"/>
  <c r="AD21" i="30"/>
  <c r="AC21" i="30"/>
  <c r="K21" i="30"/>
  <c r="HB20" i="30"/>
  <c r="GM20" i="30"/>
  <c r="GA20" i="30"/>
  <c r="FL20" i="30"/>
  <c r="FI20" i="30"/>
  <c r="EW20" i="30"/>
  <c r="ET20" i="30"/>
  <c r="EH20" i="30"/>
  <c r="EE20" i="30"/>
  <c r="DS20" i="30"/>
  <c r="DP20" i="30"/>
  <c r="DP16" i="30" s="1"/>
  <c r="DG20" i="30"/>
  <c r="DG11" i="30" s="1"/>
  <c r="DG6" i="30" s="1"/>
  <c r="DD20" i="30"/>
  <c r="BZ20" i="30"/>
  <c r="BW20" i="30"/>
  <c r="BT20" i="30"/>
  <c r="AG20" i="30"/>
  <c r="AF20" i="30"/>
  <c r="AE20" i="30"/>
  <c r="AD20" i="30"/>
  <c r="AC20" i="30"/>
  <c r="Z20" i="30"/>
  <c r="W20" i="30"/>
  <c r="H20" i="30"/>
  <c r="HB19" i="30"/>
  <c r="GP19" i="30"/>
  <c r="GM19" i="30"/>
  <c r="GA19" i="30"/>
  <c r="FL19" i="30"/>
  <c r="FI19" i="30"/>
  <c r="EW19" i="30"/>
  <c r="ET19" i="30"/>
  <c r="EH19" i="30"/>
  <c r="EE19" i="30"/>
  <c r="DS19" i="30"/>
  <c r="DP19" i="30"/>
  <c r="DP11" i="30" s="1"/>
  <c r="CX19" i="30"/>
  <c r="BZ19" i="30"/>
  <c r="BW19" i="30"/>
  <c r="BT19" i="30"/>
  <c r="AG19" i="30"/>
  <c r="AF19" i="30"/>
  <c r="AE19" i="30"/>
  <c r="AD19" i="30"/>
  <c r="AC19" i="30"/>
  <c r="H19" i="30"/>
  <c r="HB18" i="30"/>
  <c r="GP18" i="30"/>
  <c r="GM18" i="30"/>
  <c r="GA18" i="30"/>
  <c r="FL18" i="30"/>
  <c r="FI18" i="30"/>
  <c r="EW18" i="30"/>
  <c r="ET18" i="30"/>
  <c r="EH18" i="30"/>
  <c r="EE18" i="30"/>
  <c r="DS18" i="30"/>
  <c r="DP18" i="30"/>
  <c r="CX18" i="30"/>
  <c r="BZ18" i="30"/>
  <c r="BW18" i="30"/>
  <c r="BT18" i="30"/>
  <c r="AG18" i="30"/>
  <c r="AF18" i="30"/>
  <c r="AE18" i="30"/>
  <c r="AD18" i="30"/>
  <c r="AC18" i="30"/>
  <c r="H18" i="30"/>
  <c r="E18" i="30"/>
  <c r="HB17" i="30"/>
  <c r="GP17" i="30"/>
  <c r="GM17" i="30"/>
  <c r="FI17" i="30"/>
  <c r="ET17" i="30"/>
  <c r="EE17" i="30"/>
  <c r="DP17" i="30"/>
  <c r="DD17" i="30"/>
  <c r="DM9" i="30" s="1"/>
  <c r="CX17" i="30"/>
  <c r="BW17" i="30"/>
  <c r="BT17" i="30"/>
  <c r="BQ17" i="30"/>
  <c r="BN17" i="30"/>
  <c r="BK17" i="30"/>
  <c r="BH17" i="30"/>
  <c r="BE17" i="30"/>
  <c r="BB17" i="30"/>
  <c r="AY17" i="30"/>
  <c r="AV17" i="30"/>
  <c r="AS17" i="30"/>
  <c r="AP17" i="30"/>
  <c r="AM17" i="30"/>
  <c r="AJ17" i="30"/>
  <c r="AG17" i="30"/>
  <c r="AF17" i="30"/>
  <c r="AE17" i="30"/>
  <c r="AD17" i="30"/>
  <c r="AC17" i="30"/>
  <c r="T17" i="30"/>
  <c r="Q17" i="30"/>
  <c r="N17" i="30"/>
  <c r="H17" i="30"/>
  <c r="E17" i="30"/>
  <c r="GM16" i="30"/>
  <c r="GA16" i="30"/>
  <c r="FL16" i="30"/>
  <c r="EW16" i="30"/>
  <c r="EH16" i="30"/>
  <c r="DG16" i="30"/>
  <c r="DG7" i="30" s="1"/>
  <c r="DD16" i="30"/>
  <c r="CX16" i="30"/>
  <c r="BW16" i="30"/>
  <c r="BT16" i="30"/>
  <c r="BQ16" i="30"/>
  <c r="BN16" i="30"/>
  <c r="BK16" i="30"/>
  <c r="BH16" i="30"/>
  <c r="BE16" i="30"/>
  <c r="BB16" i="30"/>
  <c r="AY16" i="30"/>
  <c r="AV16" i="30"/>
  <c r="AS16" i="30"/>
  <c r="AP16" i="30"/>
  <c r="AM16" i="30"/>
  <c r="AJ16" i="30"/>
  <c r="AG16" i="30"/>
  <c r="AF16" i="30"/>
  <c r="AE16" i="30"/>
  <c r="AD16" i="30"/>
  <c r="AC16" i="30"/>
  <c r="T16" i="30"/>
  <c r="Q16" i="30"/>
  <c r="N16" i="30"/>
  <c r="E16" i="30"/>
  <c r="HB15" i="30"/>
  <c r="GP15" i="30"/>
  <c r="GM15" i="30"/>
  <c r="FI15" i="30"/>
  <c r="ET15" i="30"/>
  <c r="DP15" i="30"/>
  <c r="DD15" i="30"/>
  <c r="CX15" i="30"/>
  <c r="CI15" i="30"/>
  <c r="CF15" i="30"/>
  <c r="CC15" i="30"/>
  <c r="BT15" i="30"/>
  <c r="BQ15" i="30"/>
  <c r="BN15" i="30"/>
  <c r="BK15" i="30"/>
  <c r="BH15" i="30"/>
  <c r="BE15" i="30"/>
  <c r="BB15" i="30"/>
  <c r="AY15" i="30"/>
  <c r="AV15" i="30"/>
  <c r="AS15" i="30"/>
  <c r="AP15" i="30"/>
  <c r="AM15" i="30"/>
  <c r="AJ15" i="30"/>
  <c r="T15" i="30"/>
  <c r="Q15" i="30"/>
  <c r="N15" i="30"/>
  <c r="E15" i="30"/>
  <c r="HE14" i="30"/>
  <c r="HB14" i="30"/>
  <c r="GP14" i="30"/>
  <c r="GY14" i="30" s="1"/>
  <c r="GM14" i="30"/>
  <c r="GJ14" i="30"/>
  <c r="GA14" i="30"/>
  <c r="FL14" i="30"/>
  <c r="FU7" i="30" s="1"/>
  <c r="FI14" i="30"/>
  <c r="EW14" i="30"/>
  <c r="FF14" i="30" s="1"/>
  <c r="ET14" i="30"/>
  <c r="EH14" i="30"/>
  <c r="EQ14" i="30" s="1"/>
  <c r="EE14" i="30"/>
  <c r="EB14" i="30"/>
  <c r="DY14" i="30"/>
  <c r="DS14" i="30"/>
  <c r="EB15" i="30" s="1"/>
  <c r="DP14" i="30"/>
  <c r="DD14" i="30"/>
  <c r="CX14" i="30"/>
  <c r="CL14" i="30"/>
  <c r="CL13" i="30" s="1"/>
  <c r="CI14" i="30"/>
  <c r="CF14" i="30"/>
  <c r="CC14" i="30"/>
  <c r="BW14" i="30"/>
  <c r="BT14" i="30"/>
  <c r="BQ14" i="30"/>
  <c r="BN14" i="30"/>
  <c r="BK14" i="30"/>
  <c r="BH14" i="30"/>
  <c r="BE14" i="30"/>
  <c r="BB14" i="30"/>
  <c r="AY14" i="30"/>
  <c r="AV14" i="30"/>
  <c r="AS14" i="30"/>
  <c r="AP14" i="30"/>
  <c r="AM14" i="30"/>
  <c r="AJ14" i="30"/>
  <c r="AG14" i="30"/>
  <c r="AF14" i="30"/>
  <c r="AE14" i="30"/>
  <c r="AD14" i="30"/>
  <c r="AC14" i="30"/>
  <c r="Z14" i="30"/>
  <c r="W14" i="30"/>
  <c r="T14" i="30"/>
  <c r="Q14" i="30"/>
  <c r="N14" i="30"/>
  <c r="E14" i="30"/>
  <c r="HB13" i="30"/>
  <c r="GY13" i="30"/>
  <c r="GV13" i="30"/>
  <c r="GP13" i="30"/>
  <c r="GM13" i="30"/>
  <c r="GJ13" i="30"/>
  <c r="GG13" i="30"/>
  <c r="GA13" i="30"/>
  <c r="FL13" i="30"/>
  <c r="FI13" i="30"/>
  <c r="FF13" i="30"/>
  <c r="FC13" i="30"/>
  <c r="EW13" i="30"/>
  <c r="ET13" i="30"/>
  <c r="EQ13" i="30"/>
  <c r="EN13" i="30"/>
  <c r="EH13" i="30"/>
  <c r="EE13" i="30"/>
  <c r="EB13" i="30"/>
  <c r="DY13" i="30"/>
  <c r="DS13" i="30"/>
  <c r="DP13" i="30"/>
  <c r="DD13" i="30"/>
  <c r="CX13" i="30"/>
  <c r="CU13" i="30"/>
  <c r="CU12" i="30" s="1"/>
  <c r="CO13" i="30"/>
  <c r="CI13" i="30"/>
  <c r="CF13" i="30"/>
  <c r="CC13" i="30"/>
  <c r="BW13" i="30"/>
  <c r="BT13" i="30"/>
  <c r="BQ13" i="30"/>
  <c r="BN13" i="30"/>
  <c r="BK13" i="30"/>
  <c r="BH13" i="30"/>
  <c r="BE13" i="30"/>
  <c r="BB13" i="30"/>
  <c r="AY13" i="30"/>
  <c r="AV13" i="30"/>
  <c r="AS13" i="30"/>
  <c r="AP13" i="30"/>
  <c r="AM13" i="30"/>
  <c r="AJ13" i="30"/>
  <c r="AG13" i="30"/>
  <c r="AF13" i="30"/>
  <c r="Z13" i="30"/>
  <c r="W13" i="30"/>
  <c r="T13" i="30"/>
  <c r="Q13" i="30"/>
  <c r="K13" i="30"/>
  <c r="K12" i="30" s="1"/>
  <c r="E13" i="30"/>
  <c r="HB12" i="30"/>
  <c r="GY12" i="30"/>
  <c r="GV12" i="30"/>
  <c r="GP12" i="30"/>
  <c r="GM12" i="30"/>
  <c r="GJ12" i="30"/>
  <c r="GG12" i="30"/>
  <c r="GA12" i="30"/>
  <c r="FL12" i="30"/>
  <c r="FI12" i="30"/>
  <c r="FF12" i="30"/>
  <c r="FC12" i="30"/>
  <c r="EW12" i="30"/>
  <c r="ET12" i="30"/>
  <c r="EQ12" i="30"/>
  <c r="EN12" i="30"/>
  <c r="EH12" i="30"/>
  <c r="EE12" i="30"/>
  <c r="EB12" i="30"/>
  <c r="DY12" i="30"/>
  <c r="DS12" i="30"/>
  <c r="DP12" i="30"/>
  <c r="DD12" i="30"/>
  <c r="DA12" i="30"/>
  <c r="DA11" i="30" s="1"/>
  <c r="DA10" i="30" s="1"/>
  <c r="CX12" i="30"/>
  <c r="CO12" i="30"/>
  <c r="CL12" i="30"/>
  <c r="CI12" i="30"/>
  <c r="CF12" i="30"/>
  <c r="CC12" i="30"/>
  <c r="BZ12" i="30"/>
  <c r="BZ11" i="30" s="1"/>
  <c r="BT12" i="30"/>
  <c r="BQ12" i="30"/>
  <c r="BN12" i="30"/>
  <c r="BK12" i="30"/>
  <c r="BK25" i="30" s="1"/>
  <c r="BH12" i="30"/>
  <c r="BE12" i="30"/>
  <c r="BB12" i="30"/>
  <c r="AY12" i="30"/>
  <c r="AV12" i="30"/>
  <c r="AS12" i="30"/>
  <c r="AP12" i="30"/>
  <c r="AM12" i="30"/>
  <c r="AJ12" i="30"/>
  <c r="AG12" i="30"/>
  <c r="AF12" i="30"/>
  <c r="E12" i="30"/>
  <c r="HE11" i="30"/>
  <c r="HB11" i="30"/>
  <c r="GY11" i="30"/>
  <c r="GV11" i="30"/>
  <c r="GP11" i="30"/>
  <c r="GM11" i="30"/>
  <c r="GJ11" i="30"/>
  <c r="GG11" i="30"/>
  <c r="GA11" i="30"/>
  <c r="FL11" i="30"/>
  <c r="FI11" i="30"/>
  <c r="FF11" i="30"/>
  <c r="FC11" i="30"/>
  <c r="EW11" i="30"/>
  <c r="ET11" i="30"/>
  <c r="EQ11" i="30"/>
  <c r="EN11" i="30"/>
  <c r="EH11" i="30"/>
  <c r="EE11" i="30"/>
  <c r="EB11" i="30"/>
  <c r="DY11" i="30"/>
  <c r="DS11" i="30"/>
  <c r="DD11" i="30"/>
  <c r="CO11" i="30"/>
  <c r="CL11" i="30"/>
  <c r="CI11" i="30"/>
  <c r="CF11" i="30"/>
  <c r="CC11" i="30"/>
  <c r="BQ11" i="30"/>
  <c r="BN11" i="30"/>
  <c r="BK11" i="30"/>
  <c r="BH11" i="30"/>
  <c r="BE11" i="30"/>
  <c r="BB11" i="30"/>
  <c r="AY11" i="30"/>
  <c r="AV11" i="30"/>
  <c r="AS11" i="30"/>
  <c r="AP11" i="30"/>
  <c r="AM11" i="30"/>
  <c r="AJ11" i="30"/>
  <c r="AG11" i="30"/>
  <c r="AG26" i="30" s="1"/>
  <c r="AG30" i="30" s="1"/>
  <c r="AF11" i="30"/>
  <c r="AF26" i="30" s="1"/>
  <c r="AF30" i="30" s="1"/>
  <c r="AE11" i="30"/>
  <c r="AE26" i="30" s="1"/>
  <c r="AE30" i="30" s="1"/>
  <c r="AD11" i="30"/>
  <c r="AD26" i="30" s="1"/>
  <c r="AC11" i="30"/>
  <c r="AC26" i="30" s="1"/>
  <c r="AC30" i="30" s="1"/>
  <c r="Z11" i="30"/>
  <c r="W11" i="30"/>
  <c r="HE10" i="30"/>
  <c r="HB10" i="30"/>
  <c r="GY10" i="30"/>
  <c r="GV10" i="30"/>
  <c r="GP10" i="30"/>
  <c r="GM10" i="30"/>
  <c r="GJ10" i="30"/>
  <c r="GG10" i="30"/>
  <c r="GA10" i="30"/>
  <c r="FL10" i="30"/>
  <c r="FI10" i="30"/>
  <c r="FF10" i="30"/>
  <c r="FC10" i="30"/>
  <c r="EW10" i="30"/>
  <c r="ET10" i="30"/>
  <c r="EQ10" i="30"/>
  <c r="EN10" i="30"/>
  <c r="EH10" i="30"/>
  <c r="EE10" i="30"/>
  <c r="EB10" i="30"/>
  <c r="DY10" i="30"/>
  <c r="DS10" i="30"/>
  <c r="DP10" i="30"/>
  <c r="DG10" i="30"/>
  <c r="CX10" i="30"/>
  <c r="CO10" i="30"/>
  <c r="CL10" i="30"/>
  <c r="CI10" i="30"/>
  <c r="CF10" i="30"/>
  <c r="CC10" i="30"/>
  <c r="CI6" i="30" s="1"/>
  <c r="BQ10" i="30"/>
  <c r="BN10" i="30"/>
  <c r="BK10" i="30"/>
  <c r="BH10" i="30"/>
  <c r="BE10" i="30"/>
  <c r="BB10" i="30"/>
  <c r="BE25" i="30" s="1"/>
  <c r="AY10" i="30"/>
  <c r="AV10" i="30"/>
  <c r="AS10" i="30"/>
  <c r="AY6" i="30" s="1"/>
  <c r="AP10" i="30"/>
  <c r="AM10" i="30"/>
  <c r="AM6" i="30" s="1"/>
  <c r="AJ10" i="30"/>
  <c r="AJ6" i="30" s="1"/>
  <c r="Z10" i="30"/>
  <c r="W10" i="30"/>
  <c r="T10" i="30"/>
  <c r="Q10" i="30"/>
  <c r="N10" i="30"/>
  <c r="E10" i="30"/>
  <c r="BT10" i="30" s="1"/>
  <c r="HE9" i="30"/>
  <c r="HB9" i="30"/>
  <c r="GY9" i="30"/>
  <c r="GV9" i="30"/>
  <c r="GP9" i="30"/>
  <c r="GM9" i="30"/>
  <c r="GJ9" i="30"/>
  <c r="GG9" i="30"/>
  <c r="GA9" i="30"/>
  <c r="FL9" i="30"/>
  <c r="FI9" i="30"/>
  <c r="FF9" i="30"/>
  <c r="FC9" i="30"/>
  <c r="EW9" i="30"/>
  <c r="ET9" i="30"/>
  <c r="EQ9" i="30"/>
  <c r="EN9" i="30"/>
  <c r="EH9" i="30"/>
  <c r="EE9" i="30"/>
  <c r="EB9" i="30"/>
  <c r="DY9" i="30"/>
  <c r="DS9" i="30"/>
  <c r="DP9" i="30"/>
  <c r="DD9" i="30"/>
  <c r="DA9" i="30"/>
  <c r="CX9" i="30"/>
  <c r="CU9" i="30"/>
  <c r="CO9" i="30"/>
  <c r="CL9" i="30"/>
  <c r="CI9" i="30"/>
  <c r="CF9" i="30"/>
  <c r="CC9" i="30"/>
  <c r="BZ9" i="30"/>
  <c r="BW9" i="30"/>
  <c r="BT9" i="30"/>
  <c r="BT28" i="30" s="1"/>
  <c r="BQ9" i="30"/>
  <c r="BN9" i="30"/>
  <c r="BK9" i="30"/>
  <c r="BH9" i="30"/>
  <c r="BE9" i="30"/>
  <c r="BB9" i="30"/>
  <c r="AY9" i="30"/>
  <c r="AV9" i="30"/>
  <c r="AS9" i="30"/>
  <c r="AP9" i="30"/>
  <c r="AM9" i="30"/>
  <c r="AJ9" i="30"/>
  <c r="AG9" i="30"/>
  <c r="AF9" i="30"/>
  <c r="AE9" i="30"/>
  <c r="AD9" i="30"/>
  <c r="AC9" i="30"/>
  <c r="Z9" i="30"/>
  <c r="W9" i="30"/>
  <c r="N9" i="30"/>
  <c r="K9" i="30"/>
  <c r="H9" i="30"/>
  <c r="E9" i="30"/>
  <c r="HE8" i="30"/>
  <c r="HB8" i="30"/>
  <c r="GY8" i="30"/>
  <c r="GV8" i="30"/>
  <c r="GP8" i="30"/>
  <c r="GM8" i="30"/>
  <c r="GJ8" i="30"/>
  <c r="GJ6" i="30" s="1"/>
  <c r="GG8" i="30"/>
  <c r="GG6" i="30" s="1"/>
  <c r="GA8" i="30"/>
  <c r="GA7" i="30" s="1"/>
  <c r="FL8" i="30"/>
  <c r="FI8" i="30"/>
  <c r="FF8" i="30"/>
  <c r="FC8" i="30"/>
  <c r="FC6" i="30" s="1"/>
  <c r="EW8" i="30"/>
  <c r="ET8" i="30"/>
  <c r="ET6" i="30" s="1"/>
  <c r="EQ8" i="30"/>
  <c r="EQ6" i="30" s="1"/>
  <c r="EN8" i="30"/>
  <c r="EH8" i="30"/>
  <c r="EE8" i="30"/>
  <c r="EE6" i="30" s="1"/>
  <c r="EB8" i="30"/>
  <c r="EB6" i="30" s="1"/>
  <c r="DY8" i="30"/>
  <c r="DY6" i="30" s="1"/>
  <c r="DS8" i="30"/>
  <c r="DP8" i="30"/>
  <c r="DM8" i="30"/>
  <c r="DJ8" i="30"/>
  <c r="DD8" i="30"/>
  <c r="DA8" i="30"/>
  <c r="CX8" i="30"/>
  <c r="CU8" i="30"/>
  <c r="CO8" i="30"/>
  <c r="CL8" i="30"/>
  <c r="CI8" i="30"/>
  <c r="CF8" i="30"/>
  <c r="CC8" i="30"/>
  <c r="BZ8" i="30"/>
  <c r="BW8" i="30"/>
  <c r="BT8" i="30"/>
  <c r="BQ8" i="30"/>
  <c r="BN8" i="30"/>
  <c r="BK8" i="30"/>
  <c r="BH8" i="30"/>
  <c r="BE8" i="30"/>
  <c r="BB8" i="30"/>
  <c r="AY8" i="30"/>
  <c r="AV8" i="30"/>
  <c r="AS8" i="30"/>
  <c r="AP8" i="30"/>
  <c r="AM8" i="30"/>
  <c r="AJ8" i="30"/>
  <c r="AG8" i="30"/>
  <c r="AF8" i="30"/>
  <c r="AE8" i="30"/>
  <c r="AD8" i="30"/>
  <c r="AC8" i="30"/>
  <c r="Z8" i="30"/>
  <c r="W8" i="30"/>
  <c r="T8" i="30"/>
  <c r="Q8" i="30"/>
  <c r="N8" i="30"/>
  <c r="K8" i="30"/>
  <c r="H8" i="30"/>
  <c r="E8" i="30"/>
  <c r="HE7" i="30"/>
  <c r="HB7" i="30"/>
  <c r="HB5" i="30" s="1"/>
  <c r="GY7" i="30"/>
  <c r="GV7" i="30"/>
  <c r="GM7" i="30"/>
  <c r="GJ7" i="30"/>
  <c r="GG7" i="30"/>
  <c r="FI7" i="30"/>
  <c r="FF7" i="30"/>
  <c r="FF5" i="30" s="1"/>
  <c r="FC7" i="30"/>
  <c r="FC5" i="30" s="1"/>
  <c r="ET7" i="30"/>
  <c r="ET5" i="30" s="1"/>
  <c r="EQ7" i="30"/>
  <c r="EQ5" i="30" s="1"/>
  <c r="EN7" i="30"/>
  <c r="EE7" i="30"/>
  <c r="EB7" i="30"/>
  <c r="DY7" i="30"/>
  <c r="DM7" i="30"/>
  <c r="DM5" i="30" s="1"/>
  <c r="DJ7" i="30"/>
  <c r="DJ5" i="30" s="1"/>
  <c r="DA7" i="30"/>
  <c r="CX7" i="30"/>
  <c r="CU7" i="30"/>
  <c r="CO7" i="30"/>
  <c r="CL7" i="30"/>
  <c r="CI7" i="30"/>
  <c r="CF7" i="30"/>
  <c r="CC7" i="30"/>
  <c r="BZ7" i="30"/>
  <c r="BT7" i="30"/>
  <c r="BQ7" i="30"/>
  <c r="BN7" i="30"/>
  <c r="BK7" i="30"/>
  <c r="BH7" i="30"/>
  <c r="BE7" i="30"/>
  <c r="BB7" i="30"/>
  <c r="AY7" i="30"/>
  <c r="AV7" i="30"/>
  <c r="AS7" i="30"/>
  <c r="AP7" i="30"/>
  <c r="AM7" i="30"/>
  <c r="AJ7" i="30"/>
  <c r="Z7" i="30"/>
  <c r="W7" i="30"/>
  <c r="T7" i="30"/>
  <c r="Q7" i="30"/>
  <c r="N7" i="30"/>
  <c r="K7" i="30"/>
  <c r="H7" i="30"/>
  <c r="E7" i="30"/>
  <c r="HB6" i="30"/>
  <c r="GY6" i="30"/>
  <c r="GV6" i="30"/>
  <c r="GP6" i="30"/>
  <c r="GM6" i="30"/>
  <c r="GD6" i="30"/>
  <c r="GA6" i="30"/>
  <c r="FU6" i="30"/>
  <c r="FR6" i="30"/>
  <c r="FL6" i="30"/>
  <c r="FI6" i="30"/>
  <c r="FF6" i="30"/>
  <c r="EZ6" i="30"/>
  <c r="EW6" i="30"/>
  <c r="EN6" i="30"/>
  <c r="EK6" i="30"/>
  <c r="EH6" i="30"/>
  <c r="DV6" i="30"/>
  <c r="DS6" i="30"/>
  <c r="DM6" i="30"/>
  <c r="DJ6" i="30"/>
  <c r="DD6" i="30"/>
  <c r="DA6" i="30"/>
  <c r="CX6" i="30"/>
  <c r="CU6" i="30"/>
  <c r="CR6" i="30"/>
  <c r="CO6" i="30"/>
  <c r="CL6" i="30"/>
  <c r="BZ6" i="30"/>
  <c r="BW6" i="30"/>
  <c r="BT6" i="30"/>
  <c r="AP6" i="30"/>
  <c r="Z6" i="30"/>
  <c r="W6" i="30"/>
  <c r="K6" i="30"/>
  <c r="H6" i="30"/>
  <c r="E6" i="30"/>
  <c r="HE5" i="30"/>
  <c r="GY5" i="30"/>
  <c r="GV5" i="30"/>
  <c r="GS5" i="30"/>
  <c r="GP5" i="30"/>
  <c r="GM5" i="30"/>
  <c r="GJ5" i="30"/>
  <c r="GG5" i="30"/>
  <c r="GD5" i="30"/>
  <c r="GA5" i="30"/>
  <c r="FX5" i="30"/>
  <c r="FU5" i="30"/>
  <c r="FR5" i="30"/>
  <c r="FO5" i="30"/>
  <c r="FL5" i="30"/>
  <c r="FI5" i="30"/>
  <c r="EZ5" i="30"/>
  <c r="EW5" i="30"/>
  <c r="EN5" i="30"/>
  <c r="EK5" i="30"/>
  <c r="EH5" i="30"/>
  <c r="EE5" i="30"/>
  <c r="EB5" i="30"/>
  <c r="DY5" i="30"/>
  <c r="DV5" i="30"/>
  <c r="DS5" i="30"/>
  <c r="DD5" i="30"/>
  <c r="DA5" i="30"/>
  <c r="CX5" i="30"/>
  <c r="CU5" i="30"/>
  <c r="CR5" i="30"/>
  <c r="CO5" i="30"/>
  <c r="CL5" i="30"/>
  <c r="CI5" i="30"/>
  <c r="CF5" i="30"/>
  <c r="CC5" i="30"/>
  <c r="BZ5" i="30"/>
  <c r="BW5" i="30"/>
  <c r="BT5" i="30"/>
  <c r="BQ5" i="30"/>
  <c r="BN5" i="30"/>
  <c r="BK5" i="30"/>
  <c r="BH5" i="30"/>
  <c r="BE5" i="30"/>
  <c r="BB5" i="30"/>
  <c r="AY5" i="30"/>
  <c r="AV5" i="30"/>
  <c r="AS5" i="30"/>
  <c r="AP5" i="30"/>
  <c r="AM5" i="30"/>
  <c r="AJ5" i="30"/>
  <c r="AG5" i="30"/>
  <c r="AF5" i="30"/>
  <c r="AE5" i="30"/>
  <c r="AD5" i="30"/>
  <c r="AC5" i="30"/>
  <c r="Z5" i="30"/>
  <c r="W5" i="30"/>
  <c r="T5" i="30"/>
  <c r="Q5" i="30"/>
  <c r="N5" i="30"/>
  <c r="K5" i="30"/>
  <c r="H5" i="30"/>
  <c r="E5" i="30"/>
  <c r="FX2" i="30"/>
  <c r="H68" i="27"/>
  <c r="H67" i="27"/>
  <c r="H66" i="27"/>
  <c r="H65" i="27"/>
  <c r="H64" i="27"/>
  <c r="H63" i="27"/>
  <c r="H59" i="27" s="1"/>
  <c r="H62" i="27"/>
  <c r="H61" i="27"/>
  <c r="H60" i="27"/>
  <c r="H58" i="27"/>
  <c r="H57" i="27"/>
  <c r="H56" i="27"/>
  <c r="K54" i="27"/>
  <c r="H54" i="27"/>
  <c r="K53" i="27"/>
  <c r="H53" i="27"/>
  <c r="E53" i="27"/>
  <c r="K52" i="27"/>
  <c r="K50" i="27" s="1"/>
  <c r="K51" i="27"/>
  <c r="E51" i="27"/>
  <c r="DA50" i="27"/>
  <c r="E50" i="27"/>
  <c r="H49" i="27"/>
  <c r="H47" i="27" s="1"/>
  <c r="CU48" i="27"/>
  <c r="H48" i="27"/>
  <c r="E48" i="27"/>
  <c r="E47" i="27"/>
  <c r="B47" i="27"/>
  <c r="HE5" i="27" s="1"/>
  <c r="DA46" i="27"/>
  <c r="Z46" i="27"/>
  <c r="K46" i="27"/>
  <c r="H46" i="27"/>
  <c r="E46" i="27"/>
  <c r="K45" i="27"/>
  <c r="E45" i="27"/>
  <c r="DA44" i="27"/>
  <c r="Z44" i="27"/>
  <c r="K44" i="27"/>
  <c r="E44" i="27"/>
  <c r="DA43" i="27"/>
  <c r="CU43" i="27"/>
  <c r="Z43" i="27"/>
  <c r="K43" i="27"/>
  <c r="H43" i="27"/>
  <c r="B43" i="27"/>
  <c r="CO5" i="27" s="1"/>
  <c r="CR5" i="27" s="1"/>
  <c r="DA42" i="27"/>
  <c r="CU42" i="27"/>
  <c r="Z42" i="27"/>
  <c r="W42" i="27"/>
  <c r="K42" i="27"/>
  <c r="B42" i="27"/>
  <c r="CO22" i="27" s="1"/>
  <c r="CR22" i="27" s="1"/>
  <c r="HE41" i="27"/>
  <c r="DA41" i="27"/>
  <c r="CU41" i="27"/>
  <c r="K41" i="27"/>
  <c r="HE40" i="27"/>
  <c r="DA40" i="27"/>
  <c r="CU40" i="27"/>
  <c r="K40" i="27"/>
  <c r="H40" i="27"/>
  <c r="HE39" i="27"/>
  <c r="HE37" i="27" s="1"/>
  <c r="DA39" i="27"/>
  <c r="CU39" i="27"/>
  <c r="H39" i="27"/>
  <c r="HE38" i="27"/>
  <c r="DA38" i="27"/>
  <c r="CU38" i="27"/>
  <c r="AG38" i="27"/>
  <c r="AF38" i="27"/>
  <c r="AE38" i="27"/>
  <c r="AD38" i="27"/>
  <c r="AC38" i="27"/>
  <c r="K38" i="27"/>
  <c r="H38" i="27"/>
  <c r="E38" i="27"/>
  <c r="DA37" i="27"/>
  <c r="CU37" i="27"/>
  <c r="BZ37" i="27"/>
  <c r="K37" i="27"/>
  <c r="H37" i="27"/>
  <c r="HE36" i="27"/>
  <c r="DA36" i="27"/>
  <c r="CU36" i="27"/>
  <c r="BN36" i="27"/>
  <c r="BK36" i="27"/>
  <c r="BE36" i="27"/>
  <c r="BB36" i="27"/>
  <c r="AV36" i="27"/>
  <c r="AS36" i="27"/>
  <c r="AM36" i="27"/>
  <c r="AJ36" i="27"/>
  <c r="Z36" i="27"/>
  <c r="W36" i="27"/>
  <c r="Q36" i="27"/>
  <c r="N36" i="27"/>
  <c r="K36" i="27"/>
  <c r="H36" i="27"/>
  <c r="E36" i="27"/>
  <c r="HE35" i="27"/>
  <c r="DA35" i="27"/>
  <c r="CU35" i="27"/>
  <c r="BN35" i="27"/>
  <c r="BK35" i="27"/>
  <c r="BE35" i="27"/>
  <c r="BB35" i="27"/>
  <c r="AV35" i="27"/>
  <c r="AS35" i="27"/>
  <c r="AM35" i="27"/>
  <c r="AJ35" i="27"/>
  <c r="Z35" i="27"/>
  <c r="W35" i="27"/>
  <c r="Q35" i="27"/>
  <c r="N35" i="27"/>
  <c r="K35" i="27"/>
  <c r="H35" i="27"/>
  <c r="E35" i="27"/>
  <c r="HE34" i="27"/>
  <c r="DA34" i="27"/>
  <c r="CU34" i="27"/>
  <c r="BN34" i="27"/>
  <c r="BK34" i="27"/>
  <c r="BE34" i="27"/>
  <c r="BB34" i="27"/>
  <c r="AV34" i="27"/>
  <c r="AS34" i="27"/>
  <c r="AM34" i="27"/>
  <c r="AJ34" i="27"/>
  <c r="Q34" i="27"/>
  <c r="N34" i="27"/>
  <c r="K34" i="27"/>
  <c r="H34" i="27"/>
  <c r="E34" i="27"/>
  <c r="B34" i="27"/>
  <c r="AG37" i="27" s="1"/>
  <c r="DA33" i="27"/>
  <c r="CU33" i="27"/>
  <c r="BN33" i="27"/>
  <c r="BK33" i="27"/>
  <c r="BE33" i="27"/>
  <c r="BB33" i="27"/>
  <c r="AV33" i="27"/>
  <c r="AS33" i="27"/>
  <c r="AM33" i="27"/>
  <c r="AJ33" i="27"/>
  <c r="Z33" i="27"/>
  <c r="W33" i="27"/>
  <c r="Q33" i="27"/>
  <c r="N33" i="27"/>
  <c r="K33" i="27"/>
  <c r="H33" i="27"/>
  <c r="E33" i="27"/>
  <c r="B33" i="27"/>
  <c r="AF36" i="27" s="1"/>
  <c r="HE32" i="27"/>
  <c r="DA32" i="27"/>
  <c r="CU32" i="27"/>
  <c r="CU44" i="27" s="1"/>
  <c r="CU11" i="27" s="1"/>
  <c r="CF32" i="27"/>
  <c r="CC32" i="27"/>
  <c r="BZ32" i="27"/>
  <c r="BW32" i="27"/>
  <c r="BN32" i="27"/>
  <c r="BK32" i="27"/>
  <c r="BE32" i="27"/>
  <c r="BB32" i="27"/>
  <c r="AV32" i="27"/>
  <c r="AS32" i="27"/>
  <c r="AM32" i="27"/>
  <c r="AJ32" i="27"/>
  <c r="Z32" i="27"/>
  <c r="W32" i="27"/>
  <c r="K32" i="27"/>
  <c r="H32" i="27"/>
  <c r="E32" i="27"/>
  <c r="B32" i="27"/>
  <c r="CU10" i="27" s="1"/>
  <c r="HE31" i="27"/>
  <c r="DA31" i="27"/>
  <c r="CU31" i="27"/>
  <c r="CL31" i="27"/>
  <c r="CF31" i="27"/>
  <c r="CC31" i="27"/>
  <c r="BZ31" i="27"/>
  <c r="BN31" i="27"/>
  <c r="BK31" i="27"/>
  <c r="BE31" i="27"/>
  <c r="BB31" i="27"/>
  <c r="AV31" i="27"/>
  <c r="AS31" i="27"/>
  <c r="AM31" i="27"/>
  <c r="AJ31" i="27"/>
  <c r="Z31" i="27"/>
  <c r="W31" i="27"/>
  <c r="K31" i="27"/>
  <c r="H31" i="27"/>
  <c r="HE30" i="27"/>
  <c r="DA30" i="27"/>
  <c r="CU30" i="27"/>
  <c r="CO30" i="27"/>
  <c r="CF30" i="27"/>
  <c r="CC30" i="27"/>
  <c r="BZ30" i="27"/>
  <c r="BN30" i="27"/>
  <c r="BK30" i="27"/>
  <c r="BE30" i="27"/>
  <c r="BB30" i="27"/>
  <c r="AV30" i="27"/>
  <c r="AS30" i="27"/>
  <c r="AM30" i="27"/>
  <c r="AJ30" i="27"/>
  <c r="Z30" i="27"/>
  <c r="Z40" i="27" s="1"/>
  <c r="W30" i="27"/>
  <c r="K30" i="27"/>
  <c r="H30" i="27"/>
  <c r="HE29" i="27"/>
  <c r="DA29" i="27"/>
  <c r="CU29" i="27"/>
  <c r="CO29" i="27"/>
  <c r="CF29" i="27"/>
  <c r="CC29" i="27"/>
  <c r="BZ29" i="27"/>
  <c r="BT29" i="27"/>
  <c r="BN29" i="27"/>
  <c r="BK29" i="27"/>
  <c r="BE29" i="27"/>
  <c r="BB29" i="27"/>
  <c r="AV29" i="27"/>
  <c r="AS29" i="27"/>
  <c r="AM29" i="27"/>
  <c r="AJ29" i="27"/>
  <c r="AJ25" i="27" s="1"/>
  <c r="Z29" i="27"/>
  <c r="Z28" i="27" s="1"/>
  <c r="W29" i="27"/>
  <c r="W28" i="27" s="1"/>
  <c r="Q29" i="27"/>
  <c r="N29" i="27"/>
  <c r="K29" i="27"/>
  <c r="H29" i="27"/>
  <c r="H22" i="27" s="1"/>
  <c r="HE28" i="27"/>
  <c r="DA28" i="27"/>
  <c r="CU28" i="27"/>
  <c r="CO28" i="27"/>
  <c r="CL28" i="27"/>
  <c r="CL29" i="27" s="1"/>
  <c r="CF28" i="27"/>
  <c r="CC28" i="27"/>
  <c r="BZ28" i="27"/>
  <c r="BN28" i="27"/>
  <c r="BK28" i="27"/>
  <c r="BE28" i="27"/>
  <c r="BB28" i="27"/>
  <c r="AV28" i="27"/>
  <c r="AS28" i="27"/>
  <c r="AM28" i="27"/>
  <c r="AJ28" i="27"/>
  <c r="AG28" i="27"/>
  <c r="AF28" i="27"/>
  <c r="AF27" i="27" s="1"/>
  <c r="AE28" i="27"/>
  <c r="AE27" i="27" s="1"/>
  <c r="AD28" i="27"/>
  <c r="AD27" i="27" s="1"/>
  <c r="AC28" i="27"/>
  <c r="Q28" i="27"/>
  <c r="N28" i="27"/>
  <c r="H28" i="27"/>
  <c r="HE27" i="27"/>
  <c r="HB27" i="27"/>
  <c r="GM27" i="27"/>
  <c r="FI27" i="27"/>
  <c r="ET27" i="27"/>
  <c r="EE27" i="27"/>
  <c r="DA27" i="27"/>
  <c r="CU27" i="27"/>
  <c r="CO27" i="27"/>
  <c r="CL27" i="27"/>
  <c r="CF27" i="27"/>
  <c r="CC27" i="27"/>
  <c r="BZ27" i="27"/>
  <c r="BZ17" i="27" s="1"/>
  <c r="BW27" i="27"/>
  <c r="BT27" i="27"/>
  <c r="BN27" i="27"/>
  <c r="BN26" i="27" s="1"/>
  <c r="BK27" i="27"/>
  <c r="BE27" i="27"/>
  <c r="BB27" i="27"/>
  <c r="AV27" i="27"/>
  <c r="AS27" i="27"/>
  <c r="AS26" i="27" s="1"/>
  <c r="AM27" i="27"/>
  <c r="AM26" i="27" s="1"/>
  <c r="AJ27" i="27"/>
  <c r="AJ26" i="27" s="1"/>
  <c r="AG27" i="27"/>
  <c r="AC27" i="27"/>
  <c r="Z27" i="27"/>
  <c r="W27" i="27"/>
  <c r="Q27" i="27"/>
  <c r="Q26" i="27" s="1"/>
  <c r="N27" i="27"/>
  <c r="N26" i="27" s="1"/>
  <c r="K27" i="27"/>
  <c r="H27" i="27"/>
  <c r="HB26" i="27"/>
  <c r="GM26" i="27"/>
  <c r="FI26" i="27"/>
  <c r="ET26" i="27"/>
  <c r="EE26" i="27"/>
  <c r="EE24" i="27" s="1"/>
  <c r="DP26" i="27"/>
  <c r="DP24" i="27" s="1"/>
  <c r="DG26" i="27"/>
  <c r="DA26" i="27"/>
  <c r="CX26" i="27"/>
  <c r="CU26" i="27"/>
  <c r="CO26" i="27"/>
  <c r="CL26" i="27"/>
  <c r="CF26" i="27"/>
  <c r="CC26" i="27"/>
  <c r="BZ26" i="27"/>
  <c r="BW26" i="27"/>
  <c r="BT26" i="27"/>
  <c r="BK26" i="27"/>
  <c r="BE26" i="27"/>
  <c r="BB26" i="27"/>
  <c r="AV26" i="27"/>
  <c r="K26" i="27"/>
  <c r="H26" i="27"/>
  <c r="E26" i="27"/>
  <c r="HE25" i="27"/>
  <c r="HB25" i="27"/>
  <c r="GM25" i="27"/>
  <c r="FI25" i="27"/>
  <c r="FI23" i="27" s="1"/>
  <c r="ET25" i="27"/>
  <c r="ET23" i="27" s="1"/>
  <c r="EE25" i="27"/>
  <c r="EE23" i="27" s="1"/>
  <c r="DP25" i="27"/>
  <c r="DP23" i="27" s="1"/>
  <c r="CX25" i="27"/>
  <c r="CO25" i="27"/>
  <c r="CL25" i="27"/>
  <c r="CF25" i="27"/>
  <c r="CC25" i="27"/>
  <c r="CC24" i="27" s="1"/>
  <c r="BZ25" i="27"/>
  <c r="BZ33" i="27" s="1"/>
  <c r="BZ10" i="27" s="1"/>
  <c r="BW25" i="27"/>
  <c r="BT25" i="27"/>
  <c r="AV25" i="27"/>
  <c r="AS25" i="27"/>
  <c r="AM25" i="27"/>
  <c r="AG25" i="27"/>
  <c r="AF25" i="27"/>
  <c r="AE25" i="27"/>
  <c r="AD25" i="27"/>
  <c r="AC25" i="27"/>
  <c r="E25" i="27"/>
  <c r="HB24" i="27"/>
  <c r="GM24" i="27"/>
  <c r="FI24" i="27"/>
  <c r="ET24" i="27"/>
  <c r="CX24" i="27"/>
  <c r="CO24" i="27"/>
  <c r="CL24" i="27"/>
  <c r="CF24" i="27"/>
  <c r="BZ24" i="27"/>
  <c r="BW24" i="27"/>
  <c r="BN24" i="27"/>
  <c r="BK24" i="27"/>
  <c r="BE24" i="27"/>
  <c r="BB24" i="27"/>
  <c r="AV24" i="27"/>
  <c r="AS24" i="27"/>
  <c r="AM24" i="27"/>
  <c r="AJ24" i="27"/>
  <c r="AG24" i="27"/>
  <c r="AF24" i="27"/>
  <c r="AE24" i="27"/>
  <c r="AD24" i="27"/>
  <c r="AC24" i="27"/>
  <c r="Q24" i="27"/>
  <c r="N24" i="27"/>
  <c r="K24" i="27"/>
  <c r="H24" i="27"/>
  <c r="E24" i="27"/>
  <c r="HB23" i="27"/>
  <c r="GM23" i="27"/>
  <c r="DG23" i="27"/>
  <c r="DG20" i="27" s="1"/>
  <c r="DD23" i="27"/>
  <c r="CR23" i="27"/>
  <c r="CO23" i="27"/>
  <c r="CL23" i="27"/>
  <c r="BZ23" i="27"/>
  <c r="BW23" i="27"/>
  <c r="AG23" i="27"/>
  <c r="AF23" i="27"/>
  <c r="AE23" i="27"/>
  <c r="AD23" i="27"/>
  <c r="AC23" i="27"/>
  <c r="K23" i="27"/>
  <c r="H23" i="27"/>
  <c r="HB22" i="27"/>
  <c r="GM22" i="27"/>
  <c r="FI22" i="27"/>
  <c r="FI16" i="27" s="1"/>
  <c r="ET22" i="27"/>
  <c r="ET16" i="27" s="1"/>
  <c r="EE22" i="27"/>
  <c r="EE16" i="27" s="1"/>
  <c r="DP22" i="27"/>
  <c r="DP16" i="27" s="1"/>
  <c r="DD22" i="27"/>
  <c r="CL22" i="27"/>
  <c r="CF22" i="27"/>
  <c r="CC22" i="27"/>
  <c r="BZ22" i="27"/>
  <c r="BW22" i="27"/>
  <c r="K22" i="27"/>
  <c r="HB21" i="27"/>
  <c r="GM21" i="27"/>
  <c r="FI21" i="27"/>
  <c r="ET21" i="27"/>
  <c r="EE21" i="27"/>
  <c r="DP21" i="27"/>
  <c r="DD21" i="27"/>
  <c r="BZ21" i="27"/>
  <c r="BW21" i="27"/>
  <c r="AG21" i="27"/>
  <c r="AF21" i="27"/>
  <c r="AE21" i="27"/>
  <c r="AD21" i="27"/>
  <c r="AC21" i="27"/>
  <c r="K21" i="27"/>
  <c r="K19" i="27" s="1"/>
  <c r="HB20" i="27"/>
  <c r="GM20" i="27"/>
  <c r="GA20" i="27"/>
  <c r="FL20" i="27"/>
  <c r="FI20" i="27"/>
  <c r="EW20" i="27"/>
  <c r="ET20" i="27"/>
  <c r="EH20" i="27"/>
  <c r="EE20" i="27"/>
  <c r="DS20" i="27"/>
  <c r="DP20" i="27"/>
  <c r="DD20" i="27"/>
  <c r="BZ20" i="27"/>
  <c r="BW20" i="27"/>
  <c r="BT20" i="27"/>
  <c r="AG20" i="27"/>
  <c r="AF20" i="27"/>
  <c r="AE20" i="27"/>
  <c r="AD20" i="27"/>
  <c r="AC20" i="27"/>
  <c r="Z20" i="27"/>
  <c r="W20" i="27"/>
  <c r="H20" i="27"/>
  <c r="HB19" i="27"/>
  <c r="GP19" i="27"/>
  <c r="GM19" i="27"/>
  <c r="GA19" i="27"/>
  <c r="FL19" i="27"/>
  <c r="FI19" i="27"/>
  <c r="EW19" i="27"/>
  <c r="ET19" i="27"/>
  <c r="EH19" i="27"/>
  <c r="EE19" i="27"/>
  <c r="DS19" i="27"/>
  <c r="DP19" i="27"/>
  <c r="DP11" i="27" s="1"/>
  <c r="CX19" i="27"/>
  <c r="BZ19" i="27"/>
  <c r="BW19" i="27"/>
  <c r="AG19" i="27"/>
  <c r="AF19" i="27"/>
  <c r="AE19" i="27"/>
  <c r="AD19" i="27"/>
  <c r="AC19" i="27"/>
  <c r="H19" i="27"/>
  <c r="HB18" i="27"/>
  <c r="GP18" i="27"/>
  <c r="GM18" i="27"/>
  <c r="GA18" i="27"/>
  <c r="FL18" i="27"/>
  <c r="FI18" i="27"/>
  <c r="EW18" i="27"/>
  <c r="ET18" i="27"/>
  <c r="EH18" i="27"/>
  <c r="EE18" i="27"/>
  <c r="DS18" i="27"/>
  <c r="DP18" i="27"/>
  <c r="CX18" i="27"/>
  <c r="BZ18" i="27"/>
  <c r="BW18" i="27"/>
  <c r="BT18" i="27"/>
  <c r="AG18" i="27"/>
  <c r="AF18" i="27"/>
  <c r="AE18" i="27"/>
  <c r="AD18" i="27"/>
  <c r="AC18" i="27"/>
  <c r="H18" i="27"/>
  <c r="E18" i="27"/>
  <c r="BT19" i="27" s="1"/>
  <c r="HB17" i="27"/>
  <c r="GP17" i="27"/>
  <c r="GM17" i="27"/>
  <c r="FI17" i="27"/>
  <c r="ET17" i="27"/>
  <c r="EE17" i="27"/>
  <c r="DP17" i="27"/>
  <c r="DD17" i="27"/>
  <c r="CX17" i="27"/>
  <c r="BW17" i="27"/>
  <c r="BT17" i="27"/>
  <c r="BQ17" i="27"/>
  <c r="BN17" i="27"/>
  <c r="BK17" i="27"/>
  <c r="BH17" i="27"/>
  <c r="BE17" i="27"/>
  <c r="BB17" i="27"/>
  <c r="AY17" i="27"/>
  <c r="AV17" i="27"/>
  <c r="AS17" i="27"/>
  <c r="AP17" i="27"/>
  <c r="AM17" i="27"/>
  <c r="AJ17" i="27"/>
  <c r="AG17" i="27"/>
  <c r="AF17" i="27"/>
  <c r="AE17" i="27"/>
  <c r="AD17" i="27"/>
  <c r="AC17" i="27"/>
  <c r="Z17" i="27"/>
  <c r="T17" i="27"/>
  <c r="Q17" i="27"/>
  <c r="N17" i="27"/>
  <c r="H17" i="27"/>
  <c r="E17" i="27"/>
  <c r="HB16" i="27"/>
  <c r="GM16" i="27"/>
  <c r="GA16" i="27"/>
  <c r="FL16" i="27"/>
  <c r="EW16" i="27"/>
  <c r="EH16" i="27"/>
  <c r="DD16" i="27"/>
  <c r="CX16" i="27"/>
  <c r="BW16" i="27"/>
  <c r="BT16" i="27"/>
  <c r="BQ16" i="27"/>
  <c r="BN16" i="27"/>
  <c r="BK16" i="27"/>
  <c r="BH16" i="27"/>
  <c r="BE16" i="27"/>
  <c r="BB16" i="27"/>
  <c r="AY16" i="27"/>
  <c r="AV16" i="27"/>
  <c r="AS16" i="27"/>
  <c r="AP16" i="27"/>
  <c r="AM16" i="27"/>
  <c r="AJ16" i="27"/>
  <c r="AG16" i="27"/>
  <c r="AF16" i="27"/>
  <c r="AE16" i="27"/>
  <c r="AD16" i="27"/>
  <c r="AC16" i="27"/>
  <c r="T16" i="27"/>
  <c r="Q16" i="27"/>
  <c r="N16" i="27"/>
  <c r="E16" i="27"/>
  <c r="HB15" i="27"/>
  <c r="GP15" i="27"/>
  <c r="GM15" i="27"/>
  <c r="FI15" i="27"/>
  <c r="ET15" i="27"/>
  <c r="EB15" i="27"/>
  <c r="DP15" i="27"/>
  <c r="DD15" i="27"/>
  <c r="CX15" i="27"/>
  <c r="CI15" i="27"/>
  <c r="CF15" i="27"/>
  <c r="CC15" i="27"/>
  <c r="BT15" i="27"/>
  <c r="BQ15" i="27"/>
  <c r="BN15" i="27"/>
  <c r="BK15" i="27"/>
  <c r="BH15" i="27"/>
  <c r="BE15" i="27"/>
  <c r="BB15" i="27"/>
  <c r="AY15" i="27"/>
  <c r="AV15" i="27"/>
  <c r="AS15" i="27"/>
  <c r="AP15" i="27"/>
  <c r="AM15" i="27"/>
  <c r="AJ15" i="27"/>
  <c r="T15" i="27"/>
  <c r="Q15" i="27"/>
  <c r="N15" i="27"/>
  <c r="E15" i="27"/>
  <c r="HE14" i="27"/>
  <c r="HB14" i="27"/>
  <c r="GP14" i="27"/>
  <c r="GY14" i="27" s="1"/>
  <c r="GM14" i="27"/>
  <c r="GA14" i="27"/>
  <c r="GJ14" i="27" s="1"/>
  <c r="FL14" i="27"/>
  <c r="FU7" i="27" s="1"/>
  <c r="FI14" i="27"/>
  <c r="EW14" i="27"/>
  <c r="FF14" i="27" s="1"/>
  <c r="ET14" i="27"/>
  <c r="EQ14" i="27"/>
  <c r="EH14" i="27"/>
  <c r="EE14" i="27"/>
  <c r="EB14" i="27"/>
  <c r="DY14" i="27"/>
  <c r="DS14" i="27"/>
  <c r="DP14" i="27"/>
  <c r="DD14" i="27"/>
  <c r="CX14" i="27"/>
  <c r="CX21" i="27" s="1"/>
  <c r="CL14" i="27"/>
  <c r="CI14" i="27"/>
  <c r="CF14" i="27"/>
  <c r="CC14" i="27"/>
  <c r="BW14" i="27"/>
  <c r="BT14" i="27"/>
  <c r="BQ14" i="27"/>
  <c r="BN14" i="27"/>
  <c r="BK14" i="27"/>
  <c r="BH14" i="27"/>
  <c r="BE14" i="27"/>
  <c r="BB14" i="27"/>
  <c r="AY14" i="27"/>
  <c r="AV14" i="27"/>
  <c r="AS14" i="27"/>
  <c r="AP14" i="27"/>
  <c r="AM14" i="27"/>
  <c r="AJ14" i="27"/>
  <c r="AG14" i="27"/>
  <c r="AF14" i="27"/>
  <c r="AE14" i="27"/>
  <c r="AD14" i="27"/>
  <c r="AC14" i="27"/>
  <c r="Z14" i="27"/>
  <c r="W14" i="27"/>
  <c r="T14" i="27"/>
  <c r="T2" i="27" s="1"/>
  <c r="Q14" i="27"/>
  <c r="N14" i="27"/>
  <c r="E14" i="27"/>
  <c r="HB13" i="27"/>
  <c r="GY13" i="27"/>
  <c r="GV13" i="27"/>
  <c r="GP13" i="27"/>
  <c r="GM13" i="27"/>
  <c r="GJ13" i="27"/>
  <c r="GG13" i="27"/>
  <c r="GA13" i="27"/>
  <c r="FL13" i="27"/>
  <c r="FI13" i="27"/>
  <c r="FF13" i="27"/>
  <c r="FC13" i="27"/>
  <c r="EW13" i="27"/>
  <c r="ET13" i="27"/>
  <c r="EQ13" i="27"/>
  <c r="EN13" i="27"/>
  <c r="EH13" i="27"/>
  <c r="EE13" i="27"/>
  <c r="EB13" i="27"/>
  <c r="DY13" i="27"/>
  <c r="DS13" i="27"/>
  <c r="DP13" i="27"/>
  <c r="DD13" i="27"/>
  <c r="CX13" i="27"/>
  <c r="CU13" i="27"/>
  <c r="CU12" i="27" s="1"/>
  <c r="CO13" i="27"/>
  <c r="CL13" i="27"/>
  <c r="CI13" i="27"/>
  <c r="CF13" i="27"/>
  <c r="CC13" i="27"/>
  <c r="BW13" i="27"/>
  <c r="BT13" i="27"/>
  <c r="BQ13" i="27"/>
  <c r="BN13" i="27"/>
  <c r="BK13" i="27"/>
  <c r="BH13" i="27"/>
  <c r="BE13" i="27"/>
  <c r="BB13" i="27"/>
  <c r="AY13" i="27"/>
  <c r="AV13" i="27"/>
  <c r="AS13" i="27"/>
  <c r="AP13" i="27"/>
  <c r="AM13" i="27"/>
  <c r="AJ13" i="27"/>
  <c r="AG13" i="27"/>
  <c r="AF13" i="27"/>
  <c r="Z13" i="27"/>
  <c r="W13" i="27"/>
  <c r="T13" i="27"/>
  <c r="Q13" i="27"/>
  <c r="K13" i="27"/>
  <c r="K12" i="27" s="1"/>
  <c r="E13" i="27"/>
  <c r="HB12" i="27"/>
  <c r="GY12" i="27"/>
  <c r="GV12" i="27"/>
  <c r="GP12" i="27"/>
  <c r="GM12" i="27"/>
  <c r="GJ12" i="27"/>
  <c r="GG12" i="27"/>
  <c r="GA12" i="27"/>
  <c r="FL12" i="27"/>
  <c r="FI12" i="27"/>
  <c r="FF12" i="27"/>
  <c r="FC12" i="27"/>
  <c r="EW12" i="27"/>
  <c r="ET12" i="27"/>
  <c r="EQ12" i="27"/>
  <c r="EN12" i="27"/>
  <c r="EH12" i="27"/>
  <c r="EE12" i="27"/>
  <c r="EB12" i="27"/>
  <c r="DY12" i="27"/>
  <c r="DS12" i="27"/>
  <c r="DP12" i="27"/>
  <c r="DD12" i="27"/>
  <c r="DA12" i="27"/>
  <c r="CX12" i="27"/>
  <c r="CO12" i="27"/>
  <c r="CL12" i="27"/>
  <c r="CI12" i="27"/>
  <c r="CF12" i="27"/>
  <c r="CC12" i="27"/>
  <c r="BZ12" i="27"/>
  <c r="BT12" i="27"/>
  <c r="BQ12" i="27"/>
  <c r="BN12" i="27"/>
  <c r="BK12" i="27"/>
  <c r="BN25" i="27" s="1"/>
  <c r="BH12" i="27"/>
  <c r="BE12" i="27"/>
  <c r="BB12" i="27"/>
  <c r="AY12" i="27"/>
  <c r="AV12" i="27"/>
  <c r="AS12" i="27"/>
  <c r="AP12" i="27"/>
  <c r="AM12" i="27"/>
  <c r="AJ12" i="27"/>
  <c r="AG12" i="27"/>
  <c r="AF12" i="27"/>
  <c r="E12" i="27"/>
  <c r="HE11" i="27"/>
  <c r="HB11" i="27"/>
  <c r="GY11" i="27"/>
  <c r="GV11" i="27"/>
  <c r="GP11" i="27"/>
  <c r="GM11" i="27"/>
  <c r="GJ11" i="27"/>
  <c r="GG11" i="27"/>
  <c r="GA11" i="27"/>
  <c r="FL11" i="27"/>
  <c r="FI11" i="27"/>
  <c r="FF11" i="27"/>
  <c r="FC11" i="27"/>
  <c r="EW11" i="27"/>
  <c r="ET11" i="27"/>
  <c r="EQ11" i="27"/>
  <c r="EN11" i="27"/>
  <c r="EH11" i="27"/>
  <c r="EE11" i="27"/>
  <c r="EB11" i="27"/>
  <c r="DY11" i="27"/>
  <c r="DS11" i="27"/>
  <c r="DD11" i="27"/>
  <c r="DD10" i="27" s="1"/>
  <c r="DA11" i="27"/>
  <c r="DA10" i="27" s="1"/>
  <c r="CO11" i="27"/>
  <c r="CL11" i="27"/>
  <c r="CI11" i="27"/>
  <c r="CF11" i="27"/>
  <c r="CC11" i="27"/>
  <c r="BZ11" i="27"/>
  <c r="BT11" i="27"/>
  <c r="BQ11" i="27"/>
  <c r="BN11" i="27"/>
  <c r="BK11" i="27"/>
  <c r="BH11" i="27"/>
  <c r="BE11" i="27"/>
  <c r="BB11" i="27"/>
  <c r="AY11" i="27"/>
  <c r="AV11" i="27"/>
  <c r="AS11" i="27"/>
  <c r="AP11" i="27"/>
  <c r="AM11" i="27"/>
  <c r="AJ11" i="27"/>
  <c r="AG11" i="27"/>
  <c r="AG26" i="27" s="1"/>
  <c r="AG30" i="27" s="1"/>
  <c r="AF11" i="27"/>
  <c r="AF26" i="27" s="1"/>
  <c r="AE11" i="27"/>
  <c r="AE26" i="27" s="1"/>
  <c r="AE30" i="27" s="1"/>
  <c r="AD11" i="27"/>
  <c r="AD26" i="27" s="1"/>
  <c r="AD30" i="27" s="1"/>
  <c r="AC11" i="27"/>
  <c r="AC26" i="27" s="1"/>
  <c r="AC30" i="27" s="1"/>
  <c r="Z11" i="27"/>
  <c r="W11" i="27"/>
  <c r="W17" i="27" s="1"/>
  <c r="HE10" i="27"/>
  <c r="HB10" i="27"/>
  <c r="HB2" i="27" s="1"/>
  <c r="GY10" i="27"/>
  <c r="GV10" i="27"/>
  <c r="GP10" i="27"/>
  <c r="GM10" i="27"/>
  <c r="GJ10" i="27"/>
  <c r="GG10" i="27"/>
  <c r="GA10" i="27"/>
  <c r="FL10" i="27"/>
  <c r="FI10" i="27"/>
  <c r="FF10" i="27"/>
  <c r="FC10" i="27"/>
  <c r="EW10" i="27"/>
  <c r="ET10" i="27"/>
  <c r="EQ10" i="27"/>
  <c r="EN10" i="27"/>
  <c r="EH10" i="27"/>
  <c r="EE10" i="27"/>
  <c r="EB10" i="27"/>
  <c r="DY10" i="27"/>
  <c r="DS10" i="27"/>
  <c r="DP10" i="27"/>
  <c r="DG10" i="27"/>
  <c r="CX10" i="27"/>
  <c r="CO10" i="27"/>
  <c r="CL10" i="27"/>
  <c r="CI10" i="27"/>
  <c r="CF10" i="27"/>
  <c r="CC10" i="27"/>
  <c r="CI6" i="27" s="1"/>
  <c r="BQ10" i="27"/>
  <c r="BN10" i="27"/>
  <c r="BK10" i="27"/>
  <c r="BH10" i="27"/>
  <c r="BE10" i="27"/>
  <c r="BB10" i="27"/>
  <c r="BE25" i="27" s="1"/>
  <c r="BE21" i="27" s="1"/>
  <c r="AY10" i="27"/>
  <c r="AV10" i="27"/>
  <c r="AS10" i="27"/>
  <c r="AP10" i="27"/>
  <c r="AP6" i="27" s="1"/>
  <c r="AP2" i="27" s="1"/>
  <c r="AM10" i="27"/>
  <c r="AM6" i="27" s="1"/>
  <c r="AJ10" i="27"/>
  <c r="AJ6" i="27" s="1"/>
  <c r="Z10" i="27"/>
  <c r="W10" i="27"/>
  <c r="T10" i="27"/>
  <c r="Q10" i="27"/>
  <c r="N10" i="27"/>
  <c r="E10" i="27"/>
  <c r="BT10" i="27" s="1"/>
  <c r="HE9" i="27"/>
  <c r="HB9" i="27"/>
  <c r="GY9" i="27"/>
  <c r="GV9" i="27"/>
  <c r="GP9" i="27"/>
  <c r="GM9" i="27"/>
  <c r="GJ9" i="27"/>
  <c r="GG9" i="27"/>
  <c r="GA9" i="27"/>
  <c r="FL9" i="27"/>
  <c r="FI9" i="27"/>
  <c r="FF9" i="27"/>
  <c r="FC9" i="27"/>
  <c r="EW9" i="27"/>
  <c r="ET9" i="27"/>
  <c r="EQ9" i="27"/>
  <c r="EN9" i="27"/>
  <c r="EH9" i="27"/>
  <c r="EE9" i="27"/>
  <c r="EB9" i="27"/>
  <c r="DY9" i="27"/>
  <c r="DS9" i="27"/>
  <c r="DP9" i="27"/>
  <c r="DM9" i="27"/>
  <c r="DD9" i="27"/>
  <c r="DA9" i="27"/>
  <c r="CX9" i="27"/>
  <c r="CU9" i="27"/>
  <c r="CO9" i="27"/>
  <c r="CL9" i="27"/>
  <c r="CI9" i="27"/>
  <c r="CF9" i="27"/>
  <c r="CC9" i="27"/>
  <c r="BW9" i="27"/>
  <c r="BT9" i="27"/>
  <c r="BT28" i="27" s="1"/>
  <c r="BQ9" i="27"/>
  <c r="BN9" i="27"/>
  <c r="BK9" i="27"/>
  <c r="BH9" i="27"/>
  <c r="BE9" i="27"/>
  <c r="BB9" i="27"/>
  <c r="AY9" i="27"/>
  <c r="AV9" i="27"/>
  <c r="AS9" i="27"/>
  <c r="AP9" i="27"/>
  <c r="AM9" i="27"/>
  <c r="AJ9" i="27"/>
  <c r="AG9" i="27"/>
  <c r="AF9" i="27"/>
  <c r="AE9" i="27"/>
  <c r="AD9" i="27"/>
  <c r="AC9" i="27"/>
  <c r="Z9" i="27"/>
  <c r="W9" i="27"/>
  <c r="N9" i="27"/>
  <c r="K9" i="27"/>
  <c r="H9" i="27"/>
  <c r="E9" i="27"/>
  <c r="HE8" i="27"/>
  <c r="HB8" i="27"/>
  <c r="GY8" i="27"/>
  <c r="GV8" i="27"/>
  <c r="GP8" i="27"/>
  <c r="GM8" i="27"/>
  <c r="GM6" i="27" s="1"/>
  <c r="GM2" i="27" s="1"/>
  <c r="GJ8" i="27"/>
  <c r="GJ6" i="27" s="1"/>
  <c r="GG8" i="27"/>
  <c r="GA8" i="27"/>
  <c r="FL8" i="27"/>
  <c r="FL7" i="27" s="1"/>
  <c r="FI8" i="27"/>
  <c r="FF8" i="27"/>
  <c r="FF6" i="27" s="1"/>
  <c r="FC8" i="27"/>
  <c r="FC6" i="27" s="1"/>
  <c r="EW8" i="27"/>
  <c r="EW7" i="27" s="1"/>
  <c r="EW2" i="27" s="1"/>
  <c r="ET8" i="27"/>
  <c r="EQ8" i="27"/>
  <c r="EN8" i="27"/>
  <c r="EH8" i="27"/>
  <c r="EE8" i="27"/>
  <c r="EE6" i="27" s="1"/>
  <c r="EB8" i="27"/>
  <c r="EB6" i="27" s="1"/>
  <c r="DY8" i="27"/>
  <c r="DY6" i="27" s="1"/>
  <c r="DS8" i="27"/>
  <c r="DS7" i="27" s="1"/>
  <c r="DS2" i="27" s="1"/>
  <c r="DP8" i="27"/>
  <c r="DM8" i="27"/>
  <c r="DJ8" i="27"/>
  <c r="DD8" i="27"/>
  <c r="DA8" i="27"/>
  <c r="CX8" i="27"/>
  <c r="CU8" i="27"/>
  <c r="CO8" i="27"/>
  <c r="CO6" i="27" s="1"/>
  <c r="CL8" i="27"/>
  <c r="CI8" i="27"/>
  <c r="CF8" i="27"/>
  <c r="CC8" i="27"/>
  <c r="BZ8" i="27"/>
  <c r="BW8" i="27"/>
  <c r="BT8" i="27"/>
  <c r="BQ8" i="27"/>
  <c r="BN8" i="27"/>
  <c r="BK8" i="27"/>
  <c r="BH8" i="27"/>
  <c r="BE8" i="27"/>
  <c r="BB8" i="27"/>
  <c r="AY8" i="27"/>
  <c r="AV8" i="27"/>
  <c r="AS8" i="27"/>
  <c r="AP8" i="27"/>
  <c r="AM8" i="27"/>
  <c r="AJ8" i="27"/>
  <c r="AG8" i="27"/>
  <c r="AF8" i="27"/>
  <c r="AE8" i="27"/>
  <c r="AD8" i="27"/>
  <c r="AC8" i="27"/>
  <c r="Z8" i="27"/>
  <c r="Z19" i="27" s="1"/>
  <c r="W8" i="27"/>
  <c r="T8" i="27"/>
  <c r="Q8" i="27"/>
  <c r="N8" i="27"/>
  <c r="K8" i="27"/>
  <c r="H8" i="27"/>
  <c r="E8" i="27"/>
  <c r="HE7" i="27"/>
  <c r="HB7" i="27"/>
  <c r="GY7" i="27"/>
  <c r="GV7" i="27"/>
  <c r="GM7" i="27"/>
  <c r="GJ7" i="27"/>
  <c r="GJ5" i="27" s="1"/>
  <c r="GG7" i="27"/>
  <c r="GG5" i="27" s="1"/>
  <c r="FI7" i="27"/>
  <c r="FI5" i="27" s="1"/>
  <c r="FF7" i="27"/>
  <c r="FF5" i="27" s="1"/>
  <c r="FC7" i="27"/>
  <c r="FC5" i="27" s="1"/>
  <c r="ET7" i="27"/>
  <c r="ET5" i="27" s="1"/>
  <c r="EQ7" i="27"/>
  <c r="EN7" i="27"/>
  <c r="EE7" i="27"/>
  <c r="EB7" i="27"/>
  <c r="DY7" i="27"/>
  <c r="DM7" i="27"/>
  <c r="DM5" i="27" s="1"/>
  <c r="DJ7" i="27"/>
  <c r="DA7" i="27"/>
  <c r="CX7" i="27"/>
  <c r="CU7" i="27"/>
  <c r="CO7" i="27"/>
  <c r="CL7" i="27"/>
  <c r="CI7" i="27"/>
  <c r="CF7" i="27"/>
  <c r="CC7" i="27"/>
  <c r="BZ7" i="27"/>
  <c r="BT7" i="27"/>
  <c r="BQ7" i="27"/>
  <c r="BN7" i="27"/>
  <c r="BK7" i="27"/>
  <c r="BH7" i="27"/>
  <c r="BE7" i="27"/>
  <c r="BB7" i="27"/>
  <c r="AY7" i="27"/>
  <c r="AV7" i="27"/>
  <c r="AS7" i="27"/>
  <c r="AP7" i="27"/>
  <c r="AM7" i="27"/>
  <c r="AJ7" i="27"/>
  <c r="Z7" i="27"/>
  <c r="W7" i="27"/>
  <c r="T7" i="27"/>
  <c r="Q7" i="27"/>
  <c r="N7" i="27"/>
  <c r="K7" i="27"/>
  <c r="H7" i="27"/>
  <c r="E7" i="27"/>
  <c r="HB6" i="27"/>
  <c r="GY6" i="27"/>
  <c r="GV6" i="27"/>
  <c r="GP6" i="27"/>
  <c r="GG6" i="27"/>
  <c r="GD6" i="27"/>
  <c r="GA6" i="27"/>
  <c r="FU6" i="27"/>
  <c r="FR6" i="27"/>
  <c r="FL6" i="27"/>
  <c r="FI6" i="27"/>
  <c r="EZ6" i="27"/>
  <c r="EW6" i="27"/>
  <c r="ET6" i="27"/>
  <c r="EQ6" i="27"/>
  <c r="EN6" i="27"/>
  <c r="EK6" i="27"/>
  <c r="EH6" i="27"/>
  <c r="DV6" i="27"/>
  <c r="DS6" i="27"/>
  <c r="DM6" i="27"/>
  <c r="DJ6" i="27"/>
  <c r="DD6" i="27"/>
  <c r="DA6" i="27"/>
  <c r="CX6" i="27"/>
  <c r="CU6" i="27"/>
  <c r="CR6" i="27"/>
  <c r="CL6" i="27"/>
  <c r="BZ6" i="27"/>
  <c r="BW6" i="27"/>
  <c r="BT6" i="27"/>
  <c r="AY6" i="27"/>
  <c r="AV6" i="27"/>
  <c r="AS6" i="27"/>
  <c r="Z6" i="27"/>
  <c r="W6" i="27"/>
  <c r="K6" i="27"/>
  <c r="H6" i="27"/>
  <c r="E6" i="27"/>
  <c r="HB5" i="27"/>
  <c r="GY5" i="27"/>
  <c r="GV5" i="27"/>
  <c r="GS5" i="27"/>
  <c r="GP5" i="27"/>
  <c r="GM5" i="27"/>
  <c r="GD5" i="27"/>
  <c r="GA5" i="27"/>
  <c r="FX5" i="27"/>
  <c r="FU5" i="27"/>
  <c r="FR5" i="27"/>
  <c r="FO5" i="27"/>
  <c r="FL5" i="27"/>
  <c r="EZ5" i="27"/>
  <c r="EW5" i="27"/>
  <c r="EQ5" i="27"/>
  <c r="EN5" i="27"/>
  <c r="EK5" i="27"/>
  <c r="EH5" i="27"/>
  <c r="EE5" i="27"/>
  <c r="EB5" i="27"/>
  <c r="DY5" i="27"/>
  <c r="DV5" i="27"/>
  <c r="DS5" i="27"/>
  <c r="DJ5" i="27"/>
  <c r="DD5" i="27"/>
  <c r="DA5" i="27"/>
  <c r="CX5" i="27"/>
  <c r="CU5" i="27"/>
  <c r="CL5" i="27"/>
  <c r="CI5" i="27"/>
  <c r="CF5" i="27"/>
  <c r="CC5" i="27"/>
  <c r="BZ5" i="27"/>
  <c r="BW5" i="27"/>
  <c r="BT5" i="27"/>
  <c r="BQ5" i="27"/>
  <c r="BN5" i="27"/>
  <c r="BK5" i="27"/>
  <c r="BH5" i="27"/>
  <c r="BE5" i="27"/>
  <c r="BB5" i="27"/>
  <c r="AY5" i="27"/>
  <c r="AV5" i="27"/>
  <c r="AS5" i="27"/>
  <c r="AP5" i="27"/>
  <c r="AM5" i="27"/>
  <c r="AJ5" i="27"/>
  <c r="AG5" i="27"/>
  <c r="AF5" i="27"/>
  <c r="AE5" i="27"/>
  <c r="AD5" i="27"/>
  <c r="AC5" i="27"/>
  <c r="Z5" i="27"/>
  <c r="W5" i="27"/>
  <c r="W16" i="27" s="1"/>
  <c r="T5" i="27"/>
  <c r="Q5" i="27"/>
  <c r="N5" i="27"/>
  <c r="K5" i="27"/>
  <c r="H5" i="27"/>
  <c r="E5" i="27"/>
  <c r="FX2" i="27"/>
  <c r="CL2" i="27"/>
  <c r="Q2" i="27"/>
  <c r="BW21" i="25"/>
  <c r="H68" i="25"/>
  <c r="H67" i="25"/>
  <c r="H63" i="25" s="1"/>
  <c r="H66" i="25"/>
  <c r="H65" i="25"/>
  <c r="H64" i="25"/>
  <c r="H62" i="25"/>
  <c r="H61" i="25"/>
  <c r="H60" i="25"/>
  <c r="H58" i="25"/>
  <c r="H57" i="25"/>
  <c r="H56" i="25"/>
  <c r="K54" i="25"/>
  <c r="H54" i="25"/>
  <c r="K53" i="25"/>
  <c r="K51" i="25" s="1"/>
  <c r="H53" i="25"/>
  <c r="E53" i="25"/>
  <c r="K52" i="25"/>
  <c r="E51" i="25"/>
  <c r="DA50" i="25"/>
  <c r="K50" i="25"/>
  <c r="E50" i="25"/>
  <c r="H49" i="25"/>
  <c r="CU48" i="25"/>
  <c r="H48" i="25"/>
  <c r="H46" i="25" s="1"/>
  <c r="E48" i="25"/>
  <c r="H47" i="25"/>
  <c r="E47" i="25"/>
  <c r="B47" i="25"/>
  <c r="HE25" i="25" s="1"/>
  <c r="DA46" i="25"/>
  <c r="Z46" i="25"/>
  <c r="E46" i="25"/>
  <c r="K45" i="25"/>
  <c r="E45" i="25"/>
  <c r="DA44" i="25"/>
  <c r="Z44" i="25"/>
  <c r="K44" i="25"/>
  <c r="E44" i="25"/>
  <c r="DA43" i="25"/>
  <c r="CU43" i="25"/>
  <c r="Z43" i="25"/>
  <c r="K43" i="25"/>
  <c r="H43" i="25"/>
  <c r="B43" i="25"/>
  <c r="DA42" i="25"/>
  <c r="CU42" i="25"/>
  <c r="Z42" i="25"/>
  <c r="W42" i="25"/>
  <c r="K42" i="25"/>
  <c r="B42" i="25"/>
  <c r="HE41" i="25"/>
  <c r="DA41" i="25"/>
  <c r="CU41" i="25"/>
  <c r="K41" i="25"/>
  <c r="HE40" i="25"/>
  <c r="DA40" i="25"/>
  <c r="CU40" i="25"/>
  <c r="K40" i="25"/>
  <c r="H40" i="25"/>
  <c r="HE39" i="25"/>
  <c r="DA39" i="25"/>
  <c r="CU39" i="25"/>
  <c r="H39" i="25"/>
  <c r="HE38" i="25"/>
  <c r="DA38" i="25"/>
  <c r="CU38" i="25"/>
  <c r="AG38" i="25"/>
  <c r="AF38" i="25"/>
  <c r="AE38" i="25"/>
  <c r="AD38" i="25"/>
  <c r="AC38" i="25"/>
  <c r="K38" i="25"/>
  <c r="H38" i="25"/>
  <c r="E38" i="25"/>
  <c r="DA37" i="25"/>
  <c r="CU37" i="25"/>
  <c r="BZ37" i="25"/>
  <c r="AG37" i="25"/>
  <c r="K37" i="25"/>
  <c r="H37" i="25"/>
  <c r="HE36" i="25"/>
  <c r="DA36" i="25"/>
  <c r="CU36" i="25"/>
  <c r="BN36" i="25"/>
  <c r="BK36" i="25"/>
  <c r="BE36" i="25"/>
  <c r="BB36" i="25"/>
  <c r="AV36" i="25"/>
  <c r="AS36" i="25"/>
  <c r="AM36" i="25"/>
  <c r="AJ36" i="25"/>
  <c r="AF36" i="25"/>
  <c r="Z36" i="25"/>
  <c r="W36" i="25"/>
  <c r="Q36" i="25"/>
  <c r="N36" i="25"/>
  <c r="K36" i="25"/>
  <c r="H36" i="25"/>
  <c r="E36" i="25"/>
  <c r="HE35" i="25"/>
  <c r="DA35" i="25"/>
  <c r="CU35" i="25"/>
  <c r="BN35" i="25"/>
  <c r="BK35" i="25"/>
  <c r="BE35" i="25"/>
  <c r="BB35" i="25"/>
  <c r="AV35" i="25"/>
  <c r="AS35" i="25"/>
  <c r="AM35" i="25"/>
  <c r="AJ35" i="25"/>
  <c r="AE35" i="25"/>
  <c r="AD35" i="25"/>
  <c r="Z35" i="25"/>
  <c r="W35" i="25"/>
  <c r="Q35" i="25"/>
  <c r="N35" i="25"/>
  <c r="K35" i="25"/>
  <c r="H35" i="25"/>
  <c r="E35" i="25"/>
  <c r="HE34" i="25"/>
  <c r="DA34" i="25"/>
  <c r="CU34" i="25"/>
  <c r="BN34" i="25"/>
  <c r="BK34" i="25"/>
  <c r="BE34" i="25"/>
  <c r="BB34" i="25"/>
  <c r="AV34" i="25"/>
  <c r="AS34" i="25"/>
  <c r="AM34" i="25"/>
  <c r="AJ34" i="25"/>
  <c r="Q34" i="25"/>
  <c r="N34" i="25"/>
  <c r="K34" i="25"/>
  <c r="K46" i="25" s="1"/>
  <c r="K11" i="25" s="1"/>
  <c r="H34" i="25"/>
  <c r="E34" i="25"/>
  <c r="CL23" i="25" s="1"/>
  <c r="B34" i="25"/>
  <c r="DA33" i="25"/>
  <c r="CU33" i="25"/>
  <c r="BN33" i="25"/>
  <c r="BK33" i="25"/>
  <c r="BE33" i="25"/>
  <c r="BB33" i="25"/>
  <c r="AV33" i="25"/>
  <c r="AS33" i="25"/>
  <c r="AM33" i="25"/>
  <c r="AJ33" i="25"/>
  <c r="Z33" i="25"/>
  <c r="W33" i="25"/>
  <c r="Q33" i="25"/>
  <c r="N33" i="25"/>
  <c r="K33" i="25"/>
  <c r="H33" i="25"/>
  <c r="E33" i="25"/>
  <c r="B33" i="25"/>
  <c r="HE32" i="25"/>
  <c r="DA32" i="25"/>
  <c r="CU32" i="25"/>
  <c r="CU44" i="25" s="1"/>
  <c r="CU11" i="25" s="1"/>
  <c r="CF32" i="25"/>
  <c r="CC32" i="25"/>
  <c r="BZ32" i="25"/>
  <c r="BW32" i="25"/>
  <c r="BN32" i="25"/>
  <c r="BK32" i="25"/>
  <c r="BE32" i="25"/>
  <c r="BB32" i="25"/>
  <c r="AV32" i="25"/>
  <c r="AS32" i="25"/>
  <c r="AM32" i="25"/>
  <c r="AJ32" i="25"/>
  <c r="Z32" i="25"/>
  <c r="W32" i="25"/>
  <c r="K32" i="25"/>
  <c r="H32" i="25"/>
  <c r="E32" i="25"/>
  <c r="B32" i="25"/>
  <c r="AC35" i="25" s="1"/>
  <c r="HE31" i="25"/>
  <c r="DA31" i="25"/>
  <c r="CU31" i="25"/>
  <c r="CL31" i="25"/>
  <c r="CL30" i="25" s="1"/>
  <c r="CF31" i="25"/>
  <c r="CC31" i="25"/>
  <c r="BZ31" i="25"/>
  <c r="BN31" i="25"/>
  <c r="BK31" i="25"/>
  <c r="BE31" i="25"/>
  <c r="BB31" i="25"/>
  <c r="AV31" i="25"/>
  <c r="AS31" i="25"/>
  <c r="AM31" i="25"/>
  <c r="AJ31" i="25"/>
  <c r="Z31" i="25"/>
  <c r="W31" i="25"/>
  <c r="K31" i="25"/>
  <c r="H31" i="25"/>
  <c r="HE30" i="25"/>
  <c r="DA30" i="25"/>
  <c r="CU30" i="25"/>
  <c r="CO30" i="25"/>
  <c r="CF30" i="25"/>
  <c r="CC30" i="25"/>
  <c r="BZ30" i="25"/>
  <c r="BN30" i="25"/>
  <c r="BK30" i="25"/>
  <c r="BE30" i="25"/>
  <c r="BB30" i="25"/>
  <c r="AV30" i="25"/>
  <c r="AS30" i="25"/>
  <c r="AM30" i="25"/>
  <c r="AJ30" i="25"/>
  <c r="Z30" i="25"/>
  <c r="W30" i="25"/>
  <c r="K30" i="25"/>
  <c r="H30" i="25"/>
  <c r="HE29" i="25"/>
  <c r="DA29" i="25"/>
  <c r="CU29" i="25"/>
  <c r="CO29" i="25"/>
  <c r="CL29" i="25"/>
  <c r="CF29" i="25"/>
  <c r="CC29" i="25"/>
  <c r="BZ29" i="25"/>
  <c r="BT29" i="25"/>
  <c r="BN29" i="25"/>
  <c r="BK29" i="25"/>
  <c r="BE29" i="25"/>
  <c r="BB29" i="25"/>
  <c r="AV29" i="25"/>
  <c r="AS29" i="25"/>
  <c r="AM29" i="25"/>
  <c r="AM25" i="25" s="1"/>
  <c r="AJ29" i="25"/>
  <c r="AJ25" i="25" s="1"/>
  <c r="Z29" i="25"/>
  <c r="W29" i="25"/>
  <c r="Q29" i="25"/>
  <c r="N29" i="25"/>
  <c r="K29" i="25"/>
  <c r="H29" i="25"/>
  <c r="HE28" i="25"/>
  <c r="HE27" i="25" s="1"/>
  <c r="DA28" i="25"/>
  <c r="CU28" i="25"/>
  <c r="CO28" i="25"/>
  <c r="CL28" i="25"/>
  <c r="CF28" i="25"/>
  <c r="CC28" i="25"/>
  <c r="BZ28" i="25"/>
  <c r="BN28" i="25"/>
  <c r="BK28" i="25"/>
  <c r="BE28" i="25"/>
  <c r="BB28" i="25"/>
  <c r="AV28" i="25"/>
  <c r="AS28" i="25"/>
  <c r="AM28" i="25"/>
  <c r="AJ28" i="25"/>
  <c r="AG28" i="25"/>
  <c r="AG27" i="25" s="1"/>
  <c r="AF28" i="25"/>
  <c r="AF27" i="25" s="1"/>
  <c r="AE28" i="25"/>
  <c r="AD28" i="25"/>
  <c r="AC28" i="25"/>
  <c r="AC27" i="25" s="1"/>
  <c r="Z28" i="25"/>
  <c r="W28" i="25"/>
  <c r="Q28" i="25"/>
  <c r="N28" i="25"/>
  <c r="H28" i="25"/>
  <c r="HB27" i="25"/>
  <c r="GM27" i="25"/>
  <c r="FI27" i="25"/>
  <c r="ET27" i="25"/>
  <c r="EE27" i="25"/>
  <c r="DA27" i="25"/>
  <c r="CU27" i="25"/>
  <c r="CO27" i="25"/>
  <c r="CL27" i="25"/>
  <c r="CF27" i="25"/>
  <c r="CC27" i="25"/>
  <c r="BZ27" i="25"/>
  <c r="BW27" i="25"/>
  <c r="BT27" i="25"/>
  <c r="BN27" i="25"/>
  <c r="BK27" i="25"/>
  <c r="BE27" i="25"/>
  <c r="BE26" i="25" s="1"/>
  <c r="BB27" i="25"/>
  <c r="BB26" i="25" s="1"/>
  <c r="AV27" i="25"/>
  <c r="AV26" i="25" s="1"/>
  <c r="AS27" i="25"/>
  <c r="AM27" i="25"/>
  <c r="AJ27" i="25"/>
  <c r="AE27" i="25"/>
  <c r="AD27" i="25"/>
  <c r="Z27" i="25"/>
  <c r="W27" i="25"/>
  <c r="Q27" i="25"/>
  <c r="N27" i="25"/>
  <c r="K27" i="25"/>
  <c r="H27" i="25"/>
  <c r="HB26" i="25"/>
  <c r="HB24" i="25" s="1"/>
  <c r="GM26" i="25"/>
  <c r="GM24" i="25" s="1"/>
  <c r="FI26" i="25"/>
  <c r="FI24" i="25" s="1"/>
  <c r="ET26" i="25"/>
  <c r="ET24" i="25" s="1"/>
  <c r="EE26" i="25"/>
  <c r="EE24" i="25" s="1"/>
  <c r="DP26" i="25"/>
  <c r="DG26" i="25"/>
  <c r="DA26" i="25"/>
  <c r="CX26" i="25"/>
  <c r="CU26" i="25"/>
  <c r="CO26" i="25"/>
  <c r="CL26" i="25"/>
  <c r="CF26" i="25"/>
  <c r="CC26" i="25"/>
  <c r="BZ26" i="25"/>
  <c r="BW26" i="25"/>
  <c r="BT26" i="25"/>
  <c r="BN26" i="25"/>
  <c r="BK26" i="25"/>
  <c r="AS26" i="25"/>
  <c r="AM26" i="25"/>
  <c r="AJ26" i="25"/>
  <c r="Q26" i="25"/>
  <c r="N26" i="25"/>
  <c r="K26" i="25"/>
  <c r="H26" i="25"/>
  <c r="E26" i="25"/>
  <c r="HB25" i="25"/>
  <c r="HB23" i="25" s="1"/>
  <c r="GM25" i="25"/>
  <c r="GM23" i="25" s="1"/>
  <c r="FI25" i="25"/>
  <c r="ET25" i="25"/>
  <c r="EE25" i="25"/>
  <c r="DP25" i="25"/>
  <c r="CX25" i="25"/>
  <c r="CO25" i="25"/>
  <c r="CL25" i="25"/>
  <c r="CF25" i="25"/>
  <c r="CF24" i="25" s="1"/>
  <c r="CC25" i="25"/>
  <c r="CC24" i="25" s="1"/>
  <c r="BZ25" i="25"/>
  <c r="BZ33" i="25" s="1"/>
  <c r="BW25" i="25"/>
  <c r="BT25" i="25"/>
  <c r="AG25" i="25"/>
  <c r="AF25" i="25"/>
  <c r="AE25" i="25"/>
  <c r="AD25" i="25"/>
  <c r="AC25" i="25"/>
  <c r="E25" i="25"/>
  <c r="DP24" i="25"/>
  <c r="CX24" i="25"/>
  <c r="CO24" i="25"/>
  <c r="CL24" i="25"/>
  <c r="BZ24" i="25"/>
  <c r="BW24" i="25"/>
  <c r="BN24" i="25"/>
  <c r="BK24" i="25"/>
  <c r="BE24" i="25"/>
  <c r="BB24" i="25"/>
  <c r="AV24" i="25"/>
  <c r="AS24" i="25"/>
  <c r="AM24" i="25"/>
  <c r="AJ24" i="25"/>
  <c r="AG24" i="25"/>
  <c r="AF24" i="25"/>
  <c r="AE24" i="25"/>
  <c r="AD24" i="25"/>
  <c r="AC24" i="25"/>
  <c r="Q24" i="25"/>
  <c r="N24" i="25"/>
  <c r="K24" i="25"/>
  <c r="H24" i="25"/>
  <c r="E24" i="25"/>
  <c r="FI23" i="25"/>
  <c r="ET23" i="25"/>
  <c r="EE23" i="25"/>
  <c r="DP23" i="25"/>
  <c r="DG23" i="25"/>
  <c r="DD23" i="25"/>
  <c r="CR23" i="25"/>
  <c r="CO23" i="25"/>
  <c r="CC23" i="25"/>
  <c r="BZ23" i="25"/>
  <c r="BW23" i="25"/>
  <c r="AG23" i="25"/>
  <c r="AF23" i="25"/>
  <c r="AE23" i="25"/>
  <c r="AD23" i="25"/>
  <c r="AC23" i="25"/>
  <c r="K23" i="25"/>
  <c r="H23" i="25"/>
  <c r="HB22" i="25"/>
  <c r="HB16" i="25" s="1"/>
  <c r="GM22" i="25"/>
  <c r="GM16" i="25" s="1"/>
  <c r="FI22" i="25"/>
  <c r="ET22" i="25"/>
  <c r="ET16" i="25" s="1"/>
  <c r="EE22" i="25"/>
  <c r="EE16" i="25" s="1"/>
  <c r="DP22" i="25"/>
  <c r="DP16" i="25" s="1"/>
  <c r="DD22" i="25"/>
  <c r="CR22" i="25"/>
  <c r="CO22" i="25"/>
  <c r="CL22" i="25"/>
  <c r="CF22" i="25"/>
  <c r="CC22" i="25"/>
  <c r="BZ22" i="25"/>
  <c r="BW22" i="25"/>
  <c r="K22" i="25"/>
  <c r="HB21" i="25"/>
  <c r="GM21" i="25"/>
  <c r="FI21" i="25"/>
  <c r="ET21" i="25"/>
  <c r="EE21" i="25"/>
  <c r="DP21" i="25"/>
  <c r="DD21" i="25"/>
  <c r="BZ21" i="25"/>
  <c r="AG21" i="25"/>
  <c r="AF21" i="25"/>
  <c r="AE21" i="25"/>
  <c r="AD21" i="25"/>
  <c r="AC21" i="25"/>
  <c r="K21" i="25"/>
  <c r="HB20" i="25"/>
  <c r="GM20" i="25"/>
  <c r="GA20" i="25"/>
  <c r="FL20" i="25"/>
  <c r="FI20" i="25"/>
  <c r="EW20" i="25"/>
  <c r="ET20" i="25"/>
  <c r="EH20" i="25"/>
  <c r="EE20" i="25"/>
  <c r="DS20" i="25"/>
  <c r="DP20" i="25"/>
  <c r="DG20" i="25"/>
  <c r="DG11" i="25" s="1"/>
  <c r="DD20" i="25"/>
  <c r="BZ20" i="25"/>
  <c r="BW20" i="25"/>
  <c r="BT20" i="25"/>
  <c r="AG20" i="25"/>
  <c r="AF20" i="25"/>
  <c r="AE20" i="25"/>
  <c r="AD20" i="25"/>
  <c r="AC20" i="25"/>
  <c r="Z20" i="25"/>
  <c r="W20" i="25"/>
  <c r="H20" i="25"/>
  <c r="HB19" i="25"/>
  <c r="GP19" i="25"/>
  <c r="GM19" i="25"/>
  <c r="GA19" i="25"/>
  <c r="FL19" i="25"/>
  <c r="FI19" i="25"/>
  <c r="EW19" i="25"/>
  <c r="ET19" i="25"/>
  <c r="EH19" i="25"/>
  <c r="EE19" i="25"/>
  <c r="DS19" i="25"/>
  <c r="DP19" i="25"/>
  <c r="DP11" i="25" s="1"/>
  <c r="CX19" i="25"/>
  <c r="BZ19" i="25"/>
  <c r="BW19" i="25"/>
  <c r="BT19" i="25"/>
  <c r="AG19" i="25"/>
  <c r="AF19" i="25"/>
  <c r="AE19" i="25"/>
  <c r="AD19" i="25"/>
  <c r="AC19" i="25"/>
  <c r="H19" i="25"/>
  <c r="HB18" i="25"/>
  <c r="GP18" i="25"/>
  <c r="GP17" i="25" s="1"/>
  <c r="GM18" i="25"/>
  <c r="GA18" i="25"/>
  <c r="FL18" i="25"/>
  <c r="FI18" i="25"/>
  <c r="EW18" i="25"/>
  <c r="ET18" i="25"/>
  <c r="EH18" i="25"/>
  <c r="EE18" i="25"/>
  <c r="DS18" i="25"/>
  <c r="DP18" i="25"/>
  <c r="CX18" i="25"/>
  <c r="BZ18" i="25"/>
  <c r="BW18" i="25"/>
  <c r="AG18" i="25"/>
  <c r="AF18" i="25"/>
  <c r="AE18" i="25"/>
  <c r="AD18" i="25"/>
  <c r="AC18" i="25"/>
  <c r="H18" i="25"/>
  <c r="E18" i="25"/>
  <c r="HB17" i="25"/>
  <c r="GM17" i="25"/>
  <c r="FI17" i="25"/>
  <c r="ET17" i="25"/>
  <c r="EE17" i="25"/>
  <c r="DP17" i="25"/>
  <c r="DD17" i="25"/>
  <c r="DM9" i="25" s="1"/>
  <c r="CX17" i="25"/>
  <c r="BW17" i="25"/>
  <c r="BT17" i="25"/>
  <c r="BQ17" i="25"/>
  <c r="BN17" i="25"/>
  <c r="BK17" i="25"/>
  <c r="BH17" i="25"/>
  <c r="BE17" i="25"/>
  <c r="BB17" i="25"/>
  <c r="AY17" i="25"/>
  <c r="AV17" i="25"/>
  <c r="AS17" i="25"/>
  <c r="AP17" i="25"/>
  <c r="AM17" i="25"/>
  <c r="AJ17" i="25"/>
  <c r="AG17" i="25"/>
  <c r="AF17" i="25"/>
  <c r="AE17" i="25"/>
  <c r="AD17" i="25"/>
  <c r="AC17" i="25"/>
  <c r="T17" i="25"/>
  <c r="Q17" i="25"/>
  <c r="N17" i="25"/>
  <c r="H17" i="25"/>
  <c r="E17" i="25"/>
  <c r="GA16" i="25"/>
  <c r="FL16" i="25"/>
  <c r="FI16" i="25"/>
  <c r="EW16" i="25"/>
  <c r="EH16" i="25"/>
  <c r="DD16" i="25"/>
  <c r="CX16" i="25"/>
  <c r="BW16" i="25"/>
  <c r="BT16" i="25"/>
  <c r="BQ16" i="25"/>
  <c r="BN16" i="25"/>
  <c r="BK16" i="25"/>
  <c r="BH16" i="25"/>
  <c r="BE16" i="25"/>
  <c r="BB16" i="25"/>
  <c r="AY16" i="25"/>
  <c r="AV16" i="25"/>
  <c r="AS16" i="25"/>
  <c r="AP16" i="25"/>
  <c r="AM16" i="25"/>
  <c r="AJ16" i="25"/>
  <c r="AG16" i="25"/>
  <c r="AF16" i="25"/>
  <c r="AE16" i="25"/>
  <c r="AD16" i="25"/>
  <c r="AC16" i="25"/>
  <c r="T16" i="25"/>
  <c r="Q16" i="25"/>
  <c r="N16" i="25"/>
  <c r="E16" i="25"/>
  <c r="HB15" i="25"/>
  <c r="GP15" i="25"/>
  <c r="GM15" i="25"/>
  <c r="FI15" i="25"/>
  <c r="ET15" i="25"/>
  <c r="DP15" i="25"/>
  <c r="DD15" i="25"/>
  <c r="CX15" i="25"/>
  <c r="CI15" i="25"/>
  <c r="CF15" i="25"/>
  <c r="CC15" i="25"/>
  <c r="BT15" i="25"/>
  <c r="BQ15" i="25"/>
  <c r="BN15" i="25"/>
  <c r="BK15" i="25"/>
  <c r="BH15" i="25"/>
  <c r="BE15" i="25"/>
  <c r="BB15" i="25"/>
  <c r="AY15" i="25"/>
  <c r="AV15" i="25"/>
  <c r="AS15" i="25"/>
  <c r="AP15" i="25"/>
  <c r="AM15" i="25"/>
  <c r="AJ15" i="25"/>
  <c r="T15" i="25"/>
  <c r="Q15" i="25"/>
  <c r="N15" i="25"/>
  <c r="E15" i="25"/>
  <c r="HE14" i="25"/>
  <c r="HB14" i="25"/>
  <c r="GP14" i="25"/>
  <c r="GY14" i="25" s="1"/>
  <c r="GM14" i="25"/>
  <c r="GJ14" i="25"/>
  <c r="GA14" i="25"/>
  <c r="FL14" i="25"/>
  <c r="FI14" i="25"/>
  <c r="EW14" i="25"/>
  <c r="FF14" i="25" s="1"/>
  <c r="ET14" i="25"/>
  <c r="EH14" i="25"/>
  <c r="EQ14" i="25" s="1"/>
  <c r="EE14" i="25"/>
  <c r="EB14" i="25"/>
  <c r="DY14" i="25"/>
  <c r="DS14" i="25"/>
  <c r="EB15" i="25" s="1"/>
  <c r="DP14" i="25"/>
  <c r="DD14" i="25"/>
  <c r="CX14" i="25"/>
  <c r="CL14" i="25"/>
  <c r="CI14" i="25"/>
  <c r="CF14" i="25"/>
  <c r="CC14" i="25"/>
  <c r="BW14" i="25"/>
  <c r="BT14" i="25"/>
  <c r="BQ14" i="25"/>
  <c r="BN14" i="25"/>
  <c r="BK14" i="25"/>
  <c r="BH14" i="25"/>
  <c r="BE14" i="25"/>
  <c r="BB14" i="25"/>
  <c r="AY14" i="25"/>
  <c r="AV14" i="25"/>
  <c r="AS14" i="25"/>
  <c r="AP14" i="25"/>
  <c r="AM14" i="25"/>
  <c r="AJ14" i="25"/>
  <c r="AG14" i="25"/>
  <c r="AF14" i="25"/>
  <c r="AE14" i="25"/>
  <c r="AD14" i="25"/>
  <c r="AC14" i="25"/>
  <c r="Z14" i="25"/>
  <c r="W14" i="25"/>
  <c r="T14" i="25"/>
  <c r="Q14" i="25"/>
  <c r="N14" i="25"/>
  <c r="E14" i="25"/>
  <c r="HB13" i="25"/>
  <c r="GY13" i="25"/>
  <c r="GV13" i="25"/>
  <c r="GP13" i="25"/>
  <c r="GM13" i="25"/>
  <c r="GJ13" i="25"/>
  <c r="GG13" i="25"/>
  <c r="GA13" i="25"/>
  <c r="FL13" i="25"/>
  <c r="FI13" i="25"/>
  <c r="FF13" i="25"/>
  <c r="FC13" i="25"/>
  <c r="EW13" i="25"/>
  <c r="ET13" i="25"/>
  <c r="EQ13" i="25"/>
  <c r="EN13" i="25"/>
  <c r="EH13" i="25"/>
  <c r="EE13" i="25"/>
  <c r="EB13" i="25"/>
  <c r="DY13" i="25"/>
  <c r="DS13" i="25"/>
  <c r="DP13" i="25"/>
  <c r="DD13" i="25"/>
  <c r="CX13" i="25"/>
  <c r="CU13" i="25"/>
  <c r="CO13" i="25"/>
  <c r="CI13" i="25"/>
  <c r="CF13" i="25"/>
  <c r="CC13" i="25"/>
  <c r="BW13" i="25"/>
  <c r="BT13" i="25"/>
  <c r="BQ13" i="25"/>
  <c r="BN13" i="25"/>
  <c r="BK13" i="25"/>
  <c r="BH13" i="25"/>
  <c r="BE13" i="25"/>
  <c r="BB13" i="25"/>
  <c r="AY13" i="25"/>
  <c r="AV13" i="25"/>
  <c r="AS13" i="25"/>
  <c r="AP13" i="25"/>
  <c r="AM13" i="25"/>
  <c r="AJ13" i="25"/>
  <c r="AG13" i="25"/>
  <c r="AF13" i="25"/>
  <c r="Z13" i="25"/>
  <c r="W13" i="25"/>
  <c r="T13" i="25"/>
  <c r="Q13" i="25"/>
  <c r="K13" i="25"/>
  <c r="E13" i="25"/>
  <c r="HB12" i="25"/>
  <c r="GY12" i="25"/>
  <c r="GV12" i="25"/>
  <c r="GP12" i="25"/>
  <c r="GM12" i="25"/>
  <c r="GJ12" i="25"/>
  <c r="GG12" i="25"/>
  <c r="GA12" i="25"/>
  <c r="FL12" i="25"/>
  <c r="FI12" i="25"/>
  <c r="FF12" i="25"/>
  <c r="FC12" i="25"/>
  <c r="EW12" i="25"/>
  <c r="ET12" i="25"/>
  <c r="EQ12" i="25"/>
  <c r="EN12" i="25"/>
  <c r="EH12" i="25"/>
  <c r="EE12" i="25"/>
  <c r="EB12" i="25"/>
  <c r="DY12" i="25"/>
  <c r="DS12" i="25"/>
  <c r="DP12" i="25"/>
  <c r="DD12" i="25"/>
  <c r="DA12" i="25"/>
  <c r="DA11" i="25" s="1"/>
  <c r="CX12" i="25"/>
  <c r="CU12" i="25"/>
  <c r="CO12" i="25"/>
  <c r="CI12" i="25"/>
  <c r="CF12" i="25"/>
  <c r="CC12" i="25"/>
  <c r="BZ12" i="25"/>
  <c r="BZ11" i="25" s="1"/>
  <c r="BT12" i="25"/>
  <c r="BQ12" i="25"/>
  <c r="BN12" i="25"/>
  <c r="BK12" i="25"/>
  <c r="BQ6" i="25" s="1"/>
  <c r="BH12" i="25"/>
  <c r="BE12" i="25"/>
  <c r="BB12" i="25"/>
  <c r="AY12" i="25"/>
  <c r="AV12" i="25"/>
  <c r="AS12" i="25"/>
  <c r="AP12" i="25"/>
  <c r="AM12" i="25"/>
  <c r="AJ12" i="25"/>
  <c r="AG12" i="25"/>
  <c r="AF12" i="25"/>
  <c r="K12" i="25"/>
  <c r="E12" i="25"/>
  <c r="HE11" i="25"/>
  <c r="HB11" i="25"/>
  <c r="GY11" i="25"/>
  <c r="GV11" i="25"/>
  <c r="GP11" i="25"/>
  <c r="GM11" i="25"/>
  <c r="GJ11" i="25"/>
  <c r="GG11" i="25"/>
  <c r="GA11" i="25"/>
  <c r="FL11" i="25"/>
  <c r="FI11" i="25"/>
  <c r="FF11" i="25"/>
  <c r="FC11" i="25"/>
  <c r="EW11" i="25"/>
  <c r="ET11" i="25"/>
  <c r="EQ11" i="25"/>
  <c r="EN11" i="25"/>
  <c r="EH11" i="25"/>
  <c r="EE11" i="25"/>
  <c r="EB11" i="25"/>
  <c r="DY11" i="25"/>
  <c r="DS11" i="25"/>
  <c r="DD11" i="25"/>
  <c r="CO11" i="25"/>
  <c r="CL11" i="25"/>
  <c r="CL12" i="25" s="1"/>
  <c r="CI11" i="25"/>
  <c r="CF11" i="25"/>
  <c r="CC11" i="25"/>
  <c r="BQ11" i="25"/>
  <c r="BN11" i="25"/>
  <c r="BK11" i="25"/>
  <c r="BH11" i="25"/>
  <c r="BE11" i="25"/>
  <c r="BB11" i="25"/>
  <c r="AY11" i="25"/>
  <c r="AV11" i="25"/>
  <c r="AS11" i="25"/>
  <c r="AP11" i="25"/>
  <c r="AM11" i="25"/>
  <c r="AJ11" i="25"/>
  <c r="AG11" i="25"/>
  <c r="AG26" i="25" s="1"/>
  <c r="AF11" i="25"/>
  <c r="AF26" i="25" s="1"/>
  <c r="AE11" i="25"/>
  <c r="AE26" i="25" s="1"/>
  <c r="AD11" i="25"/>
  <c r="AD26" i="25" s="1"/>
  <c r="AC11" i="25"/>
  <c r="AC26" i="25" s="1"/>
  <c r="AC30" i="25" s="1"/>
  <c r="Z11" i="25"/>
  <c r="W11" i="25"/>
  <c r="HE10" i="25"/>
  <c r="HB10" i="25"/>
  <c r="GY10" i="25"/>
  <c r="GV10" i="25"/>
  <c r="GP10" i="25"/>
  <c r="GM10" i="25"/>
  <c r="GJ10" i="25"/>
  <c r="GG10" i="25"/>
  <c r="GA10" i="25"/>
  <c r="FL10" i="25"/>
  <c r="FI10" i="25"/>
  <c r="FF10" i="25"/>
  <c r="FC10" i="25"/>
  <c r="EW10" i="25"/>
  <c r="ET10" i="25"/>
  <c r="EQ10" i="25"/>
  <c r="EN10" i="25"/>
  <c r="EH10" i="25"/>
  <c r="EE10" i="25"/>
  <c r="EB10" i="25"/>
  <c r="DY10" i="25"/>
  <c r="DS10" i="25"/>
  <c r="DP10" i="25"/>
  <c r="DG10" i="25"/>
  <c r="CX10" i="25"/>
  <c r="CU10" i="25"/>
  <c r="CO10" i="25"/>
  <c r="CL10" i="25"/>
  <c r="CI10" i="25"/>
  <c r="CF10" i="25"/>
  <c r="CC10" i="25"/>
  <c r="CI6" i="25" s="1"/>
  <c r="BT10" i="25"/>
  <c r="BQ10" i="25"/>
  <c r="BN10" i="25"/>
  <c r="BK10" i="25"/>
  <c r="BH10" i="25"/>
  <c r="BE10" i="25"/>
  <c r="BB10" i="25"/>
  <c r="BE6" i="25" s="1"/>
  <c r="AY10" i="25"/>
  <c r="AV10" i="25"/>
  <c r="AS10" i="25"/>
  <c r="AV25" i="25" s="1"/>
  <c r="AV21" i="25" s="1"/>
  <c r="AP10" i="25"/>
  <c r="AP6" i="25" s="1"/>
  <c r="AM10" i="25"/>
  <c r="AM6" i="25" s="1"/>
  <c r="AJ10" i="25"/>
  <c r="Z10" i="25"/>
  <c r="W10" i="25"/>
  <c r="T10" i="25"/>
  <c r="Q10" i="25"/>
  <c r="N10" i="25"/>
  <c r="K10" i="25"/>
  <c r="E10" i="25"/>
  <c r="HE9" i="25"/>
  <c r="HB9" i="25"/>
  <c r="GY9" i="25"/>
  <c r="GV9" i="25"/>
  <c r="GP9" i="25"/>
  <c r="GM9" i="25"/>
  <c r="GJ9" i="25"/>
  <c r="GG9" i="25"/>
  <c r="GA9" i="25"/>
  <c r="FL9" i="25"/>
  <c r="FI9" i="25"/>
  <c r="FF9" i="25"/>
  <c r="FC9" i="25"/>
  <c r="EW9" i="25"/>
  <c r="ET9" i="25"/>
  <c r="EQ9" i="25"/>
  <c r="EN9" i="25"/>
  <c r="EH9" i="25"/>
  <c r="EE9" i="25"/>
  <c r="EB9" i="25"/>
  <c r="DY9" i="25"/>
  <c r="DS9" i="25"/>
  <c r="DP9" i="25"/>
  <c r="DD9" i="25"/>
  <c r="DA9" i="25"/>
  <c r="CX9" i="25"/>
  <c r="CU9" i="25"/>
  <c r="CO9" i="25"/>
  <c r="CO7" i="25" s="1"/>
  <c r="CL9" i="25"/>
  <c r="CI9" i="25"/>
  <c r="CF9" i="25"/>
  <c r="CC9" i="25"/>
  <c r="BW9" i="25"/>
  <c r="BT9" i="25"/>
  <c r="BT28" i="25" s="1"/>
  <c r="BQ9" i="25"/>
  <c r="BN9" i="25"/>
  <c r="BK9" i="25"/>
  <c r="BH9" i="25"/>
  <c r="BE9" i="25"/>
  <c r="BB9" i="25"/>
  <c r="AY9" i="25"/>
  <c r="AV9" i="25"/>
  <c r="AS9" i="25"/>
  <c r="AP9" i="25"/>
  <c r="AM9" i="25"/>
  <c r="AJ9" i="25"/>
  <c r="AG9" i="25"/>
  <c r="AF9" i="25"/>
  <c r="AE9" i="25"/>
  <c r="AD9" i="25"/>
  <c r="AC9" i="25"/>
  <c r="Z9" i="25"/>
  <c r="W9" i="25"/>
  <c r="N9" i="25"/>
  <c r="K9" i="25"/>
  <c r="H9" i="25"/>
  <c r="E9" i="25"/>
  <c r="HE8" i="25"/>
  <c r="HE7" i="25" s="1"/>
  <c r="HB8" i="25"/>
  <c r="HB6" i="25" s="1"/>
  <c r="GY8" i="25"/>
  <c r="GY6" i="25" s="1"/>
  <c r="GV8" i="25"/>
  <c r="GV6" i="25" s="1"/>
  <c r="GP8" i="25"/>
  <c r="GM8" i="25"/>
  <c r="GM6" i="25" s="1"/>
  <c r="GJ8" i="25"/>
  <c r="GG8" i="25"/>
  <c r="GG6" i="25" s="1"/>
  <c r="GA8" i="25"/>
  <c r="FL8" i="25"/>
  <c r="FI8" i="25"/>
  <c r="FI6" i="25" s="1"/>
  <c r="FF8" i="25"/>
  <c r="FC8" i="25"/>
  <c r="EW8" i="25"/>
  <c r="ET8" i="25"/>
  <c r="EQ8" i="25"/>
  <c r="EQ6" i="25" s="1"/>
  <c r="EN8" i="25"/>
  <c r="EN6" i="25" s="1"/>
  <c r="EH8" i="25"/>
  <c r="EE8" i="25"/>
  <c r="EB8" i="25"/>
  <c r="DY8" i="25"/>
  <c r="DS8" i="25"/>
  <c r="DP8" i="25"/>
  <c r="DM8" i="25"/>
  <c r="DM6" i="25" s="1"/>
  <c r="DJ8" i="25"/>
  <c r="DD8" i="25"/>
  <c r="DA8" i="25"/>
  <c r="CX8" i="25"/>
  <c r="CU8" i="25"/>
  <c r="CO8" i="25"/>
  <c r="CO6" i="25" s="1"/>
  <c r="CL8" i="25"/>
  <c r="CI8" i="25"/>
  <c r="CF8" i="25"/>
  <c r="CC8" i="25"/>
  <c r="BZ8" i="25"/>
  <c r="BW8" i="25"/>
  <c r="BT8" i="25"/>
  <c r="BQ8" i="25"/>
  <c r="BN8" i="25"/>
  <c r="BK8" i="25"/>
  <c r="BH8" i="25"/>
  <c r="BE8" i="25"/>
  <c r="BB8" i="25"/>
  <c r="AY8" i="25"/>
  <c r="AV8" i="25"/>
  <c r="AS8" i="25"/>
  <c r="AP8" i="25"/>
  <c r="AM8" i="25"/>
  <c r="AJ8" i="25"/>
  <c r="AG8" i="25"/>
  <c r="AF8" i="25"/>
  <c r="AE8" i="25"/>
  <c r="AD8" i="25"/>
  <c r="AC8" i="25"/>
  <c r="Z8" i="25"/>
  <c r="W8" i="25"/>
  <c r="T8" i="25"/>
  <c r="T7" i="25" s="1"/>
  <c r="Q8" i="25"/>
  <c r="Q7" i="25" s="1"/>
  <c r="N8" i="25"/>
  <c r="N7" i="25" s="1"/>
  <c r="K8" i="25"/>
  <c r="H8" i="25"/>
  <c r="E8" i="25"/>
  <c r="HB7" i="25"/>
  <c r="HB5" i="25" s="1"/>
  <c r="GY7" i="25"/>
  <c r="GV7" i="25"/>
  <c r="GV5" i="25" s="1"/>
  <c r="GM7" i="25"/>
  <c r="GM5" i="25" s="1"/>
  <c r="GJ7" i="25"/>
  <c r="GJ5" i="25" s="1"/>
  <c r="GG7" i="25"/>
  <c r="FU7" i="25"/>
  <c r="FI7" i="25"/>
  <c r="FF7" i="25"/>
  <c r="FC7" i="25"/>
  <c r="ET7" i="25"/>
  <c r="EQ7" i="25"/>
  <c r="EN7" i="25"/>
  <c r="EN5" i="25" s="1"/>
  <c r="EE7" i="25"/>
  <c r="EB7" i="25"/>
  <c r="DY7" i="25"/>
  <c r="DM7" i="25"/>
  <c r="DJ7" i="25"/>
  <c r="DJ5" i="25" s="1"/>
  <c r="DA7" i="25"/>
  <c r="CX7" i="25"/>
  <c r="CU7" i="25"/>
  <c r="CL7" i="25"/>
  <c r="CI7" i="25"/>
  <c r="CF7" i="25"/>
  <c r="CC7" i="25"/>
  <c r="BZ7" i="25"/>
  <c r="BW7" i="25"/>
  <c r="BT7" i="25"/>
  <c r="BT6" i="25" s="1"/>
  <c r="BQ7" i="25"/>
  <c r="BN7" i="25"/>
  <c r="BK7" i="25"/>
  <c r="BH7" i="25"/>
  <c r="BE7" i="25"/>
  <c r="BB7" i="25"/>
  <c r="AY7" i="25"/>
  <c r="AV7" i="25"/>
  <c r="AS7" i="25"/>
  <c r="AP7" i="25"/>
  <c r="AM7" i="25"/>
  <c r="AJ7" i="25"/>
  <c r="Z7" i="25"/>
  <c r="Z6" i="25" s="1"/>
  <c r="W7" i="25"/>
  <c r="W6" i="25" s="1"/>
  <c r="K7" i="25"/>
  <c r="H7" i="25"/>
  <c r="E7" i="25"/>
  <c r="E6" i="25" s="1"/>
  <c r="GP6" i="25"/>
  <c r="GJ6" i="25"/>
  <c r="GD6" i="25"/>
  <c r="GA6" i="25"/>
  <c r="FU6" i="25"/>
  <c r="FR6" i="25"/>
  <c r="FL6" i="25"/>
  <c r="FF6" i="25"/>
  <c r="FC6" i="25"/>
  <c r="EZ6" i="25"/>
  <c r="EW6" i="25"/>
  <c r="ET6" i="25"/>
  <c r="EK6" i="25"/>
  <c r="EH6" i="25"/>
  <c r="EE6" i="25"/>
  <c r="EB6" i="25"/>
  <c r="DY6" i="25"/>
  <c r="DV6" i="25"/>
  <c r="DS6" i="25"/>
  <c r="DJ6" i="25"/>
  <c r="DD6" i="25"/>
  <c r="DA6" i="25"/>
  <c r="CX6" i="25"/>
  <c r="CU6" i="25"/>
  <c r="CR6" i="25"/>
  <c r="CL6" i="25"/>
  <c r="BZ6" i="25"/>
  <c r="BW6" i="25"/>
  <c r="BK6" i="25"/>
  <c r="AJ6" i="25"/>
  <c r="K6" i="25"/>
  <c r="H6" i="25"/>
  <c r="HE5" i="25"/>
  <c r="GY5" i="25"/>
  <c r="GS5" i="25"/>
  <c r="GP5" i="25"/>
  <c r="GG5" i="25"/>
  <c r="GD5" i="25"/>
  <c r="GA5" i="25"/>
  <c r="FX5" i="25"/>
  <c r="FU5" i="25"/>
  <c r="FR5" i="25"/>
  <c r="FO5" i="25"/>
  <c r="FL5" i="25"/>
  <c r="FI5" i="25"/>
  <c r="FF5" i="25"/>
  <c r="FC5" i="25"/>
  <c r="EZ5" i="25"/>
  <c r="EW5" i="25"/>
  <c r="ET5" i="25"/>
  <c r="EQ5" i="25"/>
  <c r="EK5" i="25"/>
  <c r="EH5" i="25"/>
  <c r="EE5" i="25"/>
  <c r="EB5" i="25"/>
  <c r="DY5" i="25"/>
  <c r="DV5" i="25"/>
  <c r="DS5" i="25"/>
  <c r="DM5" i="25"/>
  <c r="DD5" i="25"/>
  <c r="DA5" i="25"/>
  <c r="CX5" i="25"/>
  <c r="CU5" i="25"/>
  <c r="CO5" i="25"/>
  <c r="CR5" i="25" s="1"/>
  <c r="CL5" i="25"/>
  <c r="CI5" i="25"/>
  <c r="CF5" i="25"/>
  <c r="CC5" i="25"/>
  <c r="BZ5" i="25"/>
  <c r="BW5" i="25"/>
  <c r="BT5" i="25"/>
  <c r="BQ5" i="25"/>
  <c r="BN5" i="25"/>
  <c r="BK5" i="25"/>
  <c r="BH5" i="25"/>
  <c r="BE5" i="25"/>
  <c r="BB5" i="25"/>
  <c r="AY5" i="25"/>
  <c r="AV5" i="25"/>
  <c r="AS5" i="25"/>
  <c r="AP5" i="25"/>
  <c r="AM5" i="25"/>
  <c r="AJ5" i="25"/>
  <c r="AG5" i="25"/>
  <c r="AF5" i="25"/>
  <c r="AE5" i="25"/>
  <c r="AD5" i="25"/>
  <c r="AC5" i="25"/>
  <c r="Z5" i="25"/>
  <c r="W5" i="25"/>
  <c r="T5" i="25"/>
  <c r="Q5" i="25"/>
  <c r="N5" i="25"/>
  <c r="K5" i="25"/>
  <c r="H5" i="25"/>
  <c r="E5" i="25"/>
  <c r="FX2" i="25"/>
  <c r="H68" i="23"/>
  <c r="H67" i="23"/>
  <c r="H66" i="23"/>
  <c r="H65" i="23"/>
  <c r="H64" i="23"/>
  <c r="H63" i="23"/>
  <c r="H62" i="23"/>
  <c r="H55" i="23" s="1"/>
  <c r="H61" i="23"/>
  <c r="H60" i="23"/>
  <c r="H58" i="23"/>
  <c r="H57" i="23"/>
  <c r="H56" i="23"/>
  <c r="K54" i="23"/>
  <c r="H54" i="23"/>
  <c r="K53" i="23"/>
  <c r="H53" i="23"/>
  <c r="E53" i="23"/>
  <c r="K52" i="23"/>
  <c r="K50" i="23" s="1"/>
  <c r="K51" i="23"/>
  <c r="E51" i="23"/>
  <c r="DA50" i="23"/>
  <c r="E50" i="23"/>
  <c r="H49" i="23"/>
  <c r="H47" i="23" s="1"/>
  <c r="CU48" i="23"/>
  <c r="H48" i="23"/>
  <c r="E48" i="23"/>
  <c r="E47" i="23"/>
  <c r="B47" i="23"/>
  <c r="DA46" i="23"/>
  <c r="Z46" i="23"/>
  <c r="H46" i="23"/>
  <c r="E46" i="23"/>
  <c r="K45" i="23"/>
  <c r="E45" i="23"/>
  <c r="DA44" i="23"/>
  <c r="Z44" i="23"/>
  <c r="K44" i="23"/>
  <c r="E44" i="23"/>
  <c r="DA43" i="23"/>
  <c r="CU43" i="23"/>
  <c r="Z43" i="23"/>
  <c r="K43" i="23"/>
  <c r="H43" i="23"/>
  <c r="DA42" i="23"/>
  <c r="CU42" i="23"/>
  <c r="Z42" i="23"/>
  <c r="W42" i="23"/>
  <c r="K42" i="23"/>
  <c r="HE41" i="23"/>
  <c r="DA41" i="23"/>
  <c r="CU41" i="23"/>
  <c r="K41" i="23"/>
  <c r="HE40" i="23"/>
  <c r="DA40" i="23"/>
  <c r="CU40" i="23"/>
  <c r="K40" i="23"/>
  <c r="H40" i="23"/>
  <c r="HE39" i="23"/>
  <c r="DA39" i="23"/>
  <c r="CU39" i="23"/>
  <c r="H39" i="23"/>
  <c r="HE38" i="23"/>
  <c r="DA38" i="23"/>
  <c r="CU38" i="23"/>
  <c r="AG38" i="23"/>
  <c r="AF38" i="23"/>
  <c r="AE38" i="23"/>
  <c r="AD38" i="23"/>
  <c r="AC38" i="23"/>
  <c r="K38" i="23"/>
  <c r="H38" i="23"/>
  <c r="E38" i="23"/>
  <c r="DA37" i="23"/>
  <c r="CU37" i="23"/>
  <c r="BZ37" i="23"/>
  <c r="K37" i="23"/>
  <c r="H37" i="23"/>
  <c r="HE36" i="23"/>
  <c r="DA36" i="23"/>
  <c r="CU36" i="23"/>
  <c r="BN36" i="23"/>
  <c r="BK36" i="23"/>
  <c r="BE36" i="23"/>
  <c r="BB36" i="23"/>
  <c r="AV36" i="23"/>
  <c r="AS36" i="23"/>
  <c r="AM36" i="23"/>
  <c r="AJ36" i="23"/>
  <c r="AF36" i="23"/>
  <c r="Z36" i="23"/>
  <c r="W36" i="23"/>
  <c r="Q36" i="23"/>
  <c r="N36" i="23"/>
  <c r="K36" i="23"/>
  <c r="H36" i="23"/>
  <c r="E36" i="23"/>
  <c r="HE35" i="23"/>
  <c r="DA35" i="23"/>
  <c r="CU35" i="23"/>
  <c r="BN35" i="23"/>
  <c r="BK35" i="23"/>
  <c r="BE35" i="23"/>
  <c r="BB35" i="23"/>
  <c r="AV35" i="23"/>
  <c r="AS35" i="23"/>
  <c r="AM35" i="23"/>
  <c r="AJ35" i="23"/>
  <c r="Z35" i="23"/>
  <c r="W35" i="23"/>
  <c r="Q35" i="23"/>
  <c r="N35" i="23"/>
  <c r="K35" i="23"/>
  <c r="H35" i="23"/>
  <c r="E35" i="23"/>
  <c r="HE34" i="23"/>
  <c r="DA34" i="23"/>
  <c r="CU34" i="23"/>
  <c r="BN34" i="23"/>
  <c r="BK34" i="23"/>
  <c r="BE34" i="23"/>
  <c r="BB34" i="23"/>
  <c r="AV34" i="23"/>
  <c r="AS34" i="23"/>
  <c r="AM34" i="23"/>
  <c r="AJ34" i="23"/>
  <c r="Q34" i="23"/>
  <c r="N34" i="23"/>
  <c r="K34" i="23"/>
  <c r="K46" i="23" s="1"/>
  <c r="K11" i="23" s="1"/>
  <c r="H34" i="23"/>
  <c r="E34" i="23"/>
  <c r="B34" i="23"/>
  <c r="AG37" i="23" s="1"/>
  <c r="DA33" i="23"/>
  <c r="CU33" i="23"/>
  <c r="BN33" i="23"/>
  <c r="BK33" i="23"/>
  <c r="BE33" i="23"/>
  <c r="BB33" i="23"/>
  <c r="AV33" i="23"/>
  <c r="AS33" i="23"/>
  <c r="AM33" i="23"/>
  <c r="AJ33" i="23"/>
  <c r="Z33" i="23"/>
  <c r="W33" i="23"/>
  <c r="Q33" i="23"/>
  <c r="N33" i="23"/>
  <c r="K33" i="23"/>
  <c r="H33" i="23"/>
  <c r="E33" i="23"/>
  <c r="B33" i="23"/>
  <c r="HE32" i="23"/>
  <c r="DA32" i="23"/>
  <c r="CU32" i="23"/>
  <c r="CU44" i="23" s="1"/>
  <c r="CU11" i="23" s="1"/>
  <c r="CF32" i="23"/>
  <c r="CC32" i="23"/>
  <c r="BZ32" i="23"/>
  <c r="BW32" i="23"/>
  <c r="BN32" i="23"/>
  <c r="BK32" i="23"/>
  <c r="BE32" i="23"/>
  <c r="BB32" i="23"/>
  <c r="AV32" i="23"/>
  <c r="AS32" i="23"/>
  <c r="AM32" i="23"/>
  <c r="AJ32" i="23"/>
  <c r="Z32" i="23"/>
  <c r="W32" i="23"/>
  <c r="K32" i="23"/>
  <c r="H32" i="23"/>
  <c r="H25" i="23" s="1"/>
  <c r="E32" i="23"/>
  <c r="B32" i="23"/>
  <c r="K10" i="23" s="1"/>
  <c r="HE31" i="23"/>
  <c r="DA31" i="23"/>
  <c r="CU31" i="23"/>
  <c r="CL31" i="23"/>
  <c r="CF31" i="23"/>
  <c r="CC31" i="23"/>
  <c r="BZ31" i="23"/>
  <c r="BN31" i="23"/>
  <c r="BK31" i="23"/>
  <c r="BE31" i="23"/>
  <c r="BB31" i="23"/>
  <c r="AV31" i="23"/>
  <c r="AS31" i="23"/>
  <c r="AM31" i="23"/>
  <c r="AJ31" i="23"/>
  <c r="Z31" i="23"/>
  <c r="Z39" i="23" s="1"/>
  <c r="W31" i="23"/>
  <c r="K31" i="23"/>
  <c r="H31" i="23"/>
  <c r="HE30" i="23"/>
  <c r="DA30" i="23"/>
  <c r="CU30" i="23"/>
  <c r="CO30" i="23"/>
  <c r="CF30" i="23"/>
  <c r="CC30" i="23"/>
  <c r="BZ30" i="23"/>
  <c r="BN30" i="23"/>
  <c r="BK30" i="23"/>
  <c r="BE30" i="23"/>
  <c r="BB30" i="23"/>
  <c r="AV30" i="23"/>
  <c r="AS30" i="23"/>
  <c r="AM30" i="23"/>
  <c r="AJ30" i="23"/>
  <c r="Z30" i="23"/>
  <c r="W30" i="23"/>
  <c r="K30" i="23"/>
  <c r="H30" i="23"/>
  <c r="HE29" i="23"/>
  <c r="DA29" i="23"/>
  <c r="CU29" i="23"/>
  <c r="CO29" i="23"/>
  <c r="CL29" i="23"/>
  <c r="CF29" i="23"/>
  <c r="CC29" i="23"/>
  <c r="BZ29" i="23"/>
  <c r="BT29" i="23"/>
  <c r="BN29" i="23"/>
  <c r="BK29" i="23"/>
  <c r="BE29" i="23"/>
  <c r="BB29" i="23"/>
  <c r="AV29" i="23"/>
  <c r="AS29" i="23"/>
  <c r="AM29" i="23"/>
  <c r="AM25" i="23" s="1"/>
  <c r="AJ29" i="23"/>
  <c r="AJ25" i="23" s="1"/>
  <c r="Z29" i="23"/>
  <c r="W29" i="23"/>
  <c r="W28" i="23" s="1"/>
  <c r="Q29" i="23"/>
  <c r="N29" i="23"/>
  <c r="K29" i="23"/>
  <c r="H29" i="23"/>
  <c r="HE28" i="23"/>
  <c r="DA28" i="23"/>
  <c r="DA24" i="23" s="1"/>
  <c r="DA14" i="23" s="1"/>
  <c r="CU28" i="23"/>
  <c r="CO28" i="23"/>
  <c r="CL28" i="23"/>
  <c r="CF28" i="23"/>
  <c r="CC28" i="23"/>
  <c r="BZ28" i="23"/>
  <c r="BN28" i="23"/>
  <c r="BK28" i="23"/>
  <c r="BE28" i="23"/>
  <c r="BB28" i="23"/>
  <c r="AV28" i="23"/>
  <c r="AS28" i="23"/>
  <c r="AM28" i="23"/>
  <c r="AJ28" i="23"/>
  <c r="AG28" i="23"/>
  <c r="AF28" i="23"/>
  <c r="AE28" i="23"/>
  <c r="AD28" i="23"/>
  <c r="AC28" i="23"/>
  <c r="AC27" i="23" s="1"/>
  <c r="Z28" i="23"/>
  <c r="Q28" i="23"/>
  <c r="N28" i="23"/>
  <c r="H28" i="23"/>
  <c r="HE27" i="23"/>
  <c r="HB27" i="23"/>
  <c r="GM27" i="23"/>
  <c r="FI27" i="23"/>
  <c r="ET27" i="23"/>
  <c r="EE27" i="23"/>
  <c r="DA27" i="23"/>
  <c r="CU27" i="23"/>
  <c r="CO27" i="23"/>
  <c r="CL27" i="23"/>
  <c r="CF27" i="23"/>
  <c r="CC27" i="23"/>
  <c r="BZ27" i="23"/>
  <c r="BW27" i="23"/>
  <c r="BT27" i="23"/>
  <c r="BN27" i="23"/>
  <c r="BN26" i="23" s="1"/>
  <c r="BK27" i="23"/>
  <c r="BK26" i="23" s="1"/>
  <c r="BE27" i="23"/>
  <c r="BE26" i="23" s="1"/>
  <c r="BB27" i="23"/>
  <c r="BB26" i="23" s="1"/>
  <c r="AV27" i="23"/>
  <c r="AS27" i="23"/>
  <c r="AM27" i="23"/>
  <c r="AJ27" i="23"/>
  <c r="AJ26" i="23" s="1"/>
  <c r="AG27" i="23"/>
  <c r="AF27" i="23"/>
  <c r="AE27" i="23"/>
  <c r="AD27" i="23"/>
  <c r="Z27" i="23"/>
  <c r="W27" i="23"/>
  <c r="Q27" i="23"/>
  <c r="Q26" i="23" s="1"/>
  <c r="N27" i="23"/>
  <c r="N26" i="23" s="1"/>
  <c r="K27" i="23"/>
  <c r="H27" i="23"/>
  <c r="HB26" i="23"/>
  <c r="GM26" i="23"/>
  <c r="FI26" i="23"/>
  <c r="ET26" i="23"/>
  <c r="EE26" i="23"/>
  <c r="DP26" i="23"/>
  <c r="DG26" i="23"/>
  <c r="DA26" i="23"/>
  <c r="CX26" i="23"/>
  <c r="CU26" i="23"/>
  <c r="CO26" i="23"/>
  <c r="CL26" i="23"/>
  <c r="CF26" i="23"/>
  <c r="CC26" i="23"/>
  <c r="BZ26" i="23"/>
  <c r="BW26" i="23"/>
  <c r="BT26" i="23"/>
  <c r="AV26" i="23"/>
  <c r="AS26" i="23"/>
  <c r="AM26" i="23"/>
  <c r="K26" i="23"/>
  <c r="H26" i="23"/>
  <c r="E26" i="23"/>
  <c r="HE25" i="23"/>
  <c r="HB25" i="23"/>
  <c r="HB23" i="23" s="1"/>
  <c r="GM25" i="23"/>
  <c r="GM23" i="23" s="1"/>
  <c r="FI25" i="23"/>
  <c r="ET25" i="23"/>
  <c r="EE25" i="23"/>
  <c r="EE23" i="23" s="1"/>
  <c r="DP25" i="23"/>
  <c r="DP23" i="23" s="1"/>
  <c r="CX25" i="23"/>
  <c r="CO25" i="23"/>
  <c r="CO23" i="23" s="1"/>
  <c r="CL25" i="23"/>
  <c r="CF25" i="23"/>
  <c r="CC25" i="23"/>
  <c r="BZ25" i="23"/>
  <c r="BZ33" i="23" s="1"/>
  <c r="BW25" i="23"/>
  <c r="BT25" i="23"/>
  <c r="AS25" i="23"/>
  <c r="AG25" i="23"/>
  <c r="AF25" i="23"/>
  <c r="AE25" i="23"/>
  <c r="AD25" i="23"/>
  <c r="AC25" i="23"/>
  <c r="E25" i="23"/>
  <c r="HB24" i="23"/>
  <c r="GM24" i="23"/>
  <c r="FI24" i="23"/>
  <c r="ET24" i="23"/>
  <c r="EE24" i="23"/>
  <c r="DP24" i="23"/>
  <c r="CX24" i="23"/>
  <c r="CO24" i="23"/>
  <c r="CL24" i="23"/>
  <c r="CF24" i="23"/>
  <c r="CC24" i="23"/>
  <c r="BZ24" i="23"/>
  <c r="BW24" i="23"/>
  <c r="BN24" i="23"/>
  <c r="BK24" i="23"/>
  <c r="BE24" i="23"/>
  <c r="BB24" i="23"/>
  <c r="AV24" i="23"/>
  <c r="AS24" i="23"/>
  <c r="AM24" i="23"/>
  <c r="AJ24" i="23"/>
  <c r="AG24" i="23"/>
  <c r="AF24" i="23"/>
  <c r="AE24" i="23"/>
  <c r="AD24" i="23"/>
  <c r="AC24" i="23"/>
  <c r="Q24" i="23"/>
  <c r="N24" i="23"/>
  <c r="K24" i="23"/>
  <c r="H24" i="23"/>
  <c r="E24" i="23"/>
  <c r="FI23" i="23"/>
  <c r="ET23" i="23"/>
  <c r="DG23" i="23"/>
  <c r="DD23" i="23"/>
  <c r="CR23" i="23"/>
  <c r="CL23" i="23"/>
  <c r="BZ23" i="23"/>
  <c r="BW23" i="23"/>
  <c r="AG23" i="23"/>
  <c r="AF23" i="23"/>
  <c r="AE23" i="23"/>
  <c r="AD23" i="23"/>
  <c r="AC23" i="23"/>
  <c r="K23" i="23"/>
  <c r="H23" i="23"/>
  <c r="HB22" i="23"/>
  <c r="HB16" i="23" s="1"/>
  <c r="GM22" i="23"/>
  <c r="FI22" i="23"/>
  <c r="FI16" i="23" s="1"/>
  <c r="ET22" i="23"/>
  <c r="ET16" i="23" s="1"/>
  <c r="EE22" i="23"/>
  <c r="EE16" i="23" s="1"/>
  <c r="DP22" i="23"/>
  <c r="DD22" i="23"/>
  <c r="DD21" i="23" s="1"/>
  <c r="CO22" i="23"/>
  <c r="CR22" i="23" s="1"/>
  <c r="CL22" i="23"/>
  <c r="CF22" i="23"/>
  <c r="CC22" i="23"/>
  <c r="BZ22" i="23"/>
  <c r="BW22" i="23"/>
  <c r="K22" i="23"/>
  <c r="HB21" i="23"/>
  <c r="GM21" i="23"/>
  <c r="FI21" i="23"/>
  <c r="ET21" i="23"/>
  <c r="EE21" i="23"/>
  <c r="DP21" i="23"/>
  <c r="BZ21" i="23"/>
  <c r="BW21" i="23"/>
  <c r="AG21" i="23"/>
  <c r="AF21" i="23"/>
  <c r="AE21" i="23"/>
  <c r="AD21" i="23"/>
  <c r="AC21" i="23"/>
  <c r="K21" i="23"/>
  <c r="HB20" i="23"/>
  <c r="GM20" i="23"/>
  <c r="GA20" i="23"/>
  <c r="FL20" i="23"/>
  <c r="FI20" i="23"/>
  <c r="EW20" i="23"/>
  <c r="ET20" i="23"/>
  <c r="EH20" i="23"/>
  <c r="EE20" i="23"/>
  <c r="DS20" i="23"/>
  <c r="DP20" i="23"/>
  <c r="DG20" i="23"/>
  <c r="DG11" i="23" s="1"/>
  <c r="DG6" i="23" s="1"/>
  <c r="DD20" i="23"/>
  <c r="BZ20" i="23"/>
  <c r="BW20" i="23"/>
  <c r="BT20" i="23"/>
  <c r="AG20" i="23"/>
  <c r="AF20" i="23"/>
  <c r="AE20" i="23"/>
  <c r="AD20" i="23"/>
  <c r="AC20" i="23"/>
  <c r="Z20" i="23"/>
  <c r="W20" i="23"/>
  <c r="H20" i="23"/>
  <c r="HB19" i="23"/>
  <c r="GP19" i="23"/>
  <c r="GM19" i="23"/>
  <c r="GA19" i="23"/>
  <c r="FL19" i="23"/>
  <c r="FI19" i="23"/>
  <c r="EW19" i="23"/>
  <c r="ET19" i="23"/>
  <c r="EH19" i="23"/>
  <c r="EE19" i="23"/>
  <c r="DS19" i="23"/>
  <c r="DP19" i="23"/>
  <c r="DP11" i="23" s="1"/>
  <c r="CX19" i="23"/>
  <c r="BZ19" i="23"/>
  <c r="BW19" i="23"/>
  <c r="BT19" i="23"/>
  <c r="AG19" i="23"/>
  <c r="AF19" i="23"/>
  <c r="AE19" i="23"/>
  <c r="AD19" i="23"/>
  <c r="AC19" i="23"/>
  <c r="H19" i="23"/>
  <c r="HB18" i="23"/>
  <c r="GP18" i="23"/>
  <c r="GM18" i="23"/>
  <c r="GA18" i="23"/>
  <c r="FL18" i="23"/>
  <c r="FI18" i="23"/>
  <c r="EW18" i="23"/>
  <c r="ET18" i="23"/>
  <c r="EH18" i="23"/>
  <c r="EE18" i="23"/>
  <c r="DS18" i="23"/>
  <c r="DP18" i="23"/>
  <c r="CX18" i="23"/>
  <c r="BZ18" i="23"/>
  <c r="BW18" i="23"/>
  <c r="BT18" i="23"/>
  <c r="AG18" i="23"/>
  <c r="AF18" i="23"/>
  <c r="AE18" i="23"/>
  <c r="AD18" i="23"/>
  <c r="AC18" i="23"/>
  <c r="H18" i="23"/>
  <c r="E18" i="23"/>
  <c r="HB17" i="23"/>
  <c r="GP17" i="23"/>
  <c r="GM17" i="23"/>
  <c r="FI17" i="23"/>
  <c r="ET17" i="23"/>
  <c r="EE17" i="23"/>
  <c r="DP17" i="23"/>
  <c r="DD17" i="23"/>
  <c r="DM9" i="23" s="1"/>
  <c r="CX17" i="23"/>
  <c r="BW17" i="23"/>
  <c r="BT17" i="23"/>
  <c r="BQ17" i="23"/>
  <c r="BN17" i="23"/>
  <c r="BK17" i="23"/>
  <c r="BH17" i="23"/>
  <c r="BE17" i="23"/>
  <c r="BB17" i="23"/>
  <c r="AY17" i="23"/>
  <c r="AV17" i="23"/>
  <c r="AS17" i="23"/>
  <c r="AP17" i="23"/>
  <c r="AM17" i="23"/>
  <c r="AJ17" i="23"/>
  <c r="AG17" i="23"/>
  <c r="AF17" i="23"/>
  <c r="AE17" i="23"/>
  <c r="AD17" i="23"/>
  <c r="AC17" i="23"/>
  <c r="T17" i="23"/>
  <c r="Q17" i="23"/>
  <c r="N17" i="23"/>
  <c r="H17" i="23"/>
  <c r="E17" i="23"/>
  <c r="GM16" i="23"/>
  <c r="GA16" i="23"/>
  <c r="FL16" i="23"/>
  <c r="EW16" i="23"/>
  <c r="EH16" i="23"/>
  <c r="DD16" i="23"/>
  <c r="CX16" i="23"/>
  <c r="BW16" i="23"/>
  <c r="BT16" i="23"/>
  <c r="BQ16" i="23"/>
  <c r="BN16" i="23"/>
  <c r="BK16" i="23"/>
  <c r="BH16" i="23"/>
  <c r="BE16" i="23"/>
  <c r="BB16" i="23"/>
  <c r="AY16" i="23"/>
  <c r="AV16" i="23"/>
  <c r="AS16" i="23"/>
  <c r="AP16" i="23"/>
  <c r="AM16" i="23"/>
  <c r="AJ16" i="23"/>
  <c r="AG16" i="23"/>
  <c r="AF16" i="23"/>
  <c r="AE16" i="23"/>
  <c r="AD16" i="23"/>
  <c r="AC16" i="23"/>
  <c r="T16" i="23"/>
  <c r="Q16" i="23"/>
  <c r="N16" i="23"/>
  <c r="E16" i="23"/>
  <c r="HB15" i="23"/>
  <c r="GP15" i="23"/>
  <c r="GM15" i="23"/>
  <c r="FI15" i="23"/>
  <c r="ET15" i="23"/>
  <c r="DP15" i="23"/>
  <c r="DD15" i="23"/>
  <c r="CX15" i="23"/>
  <c r="CI15" i="23"/>
  <c r="CF15" i="23"/>
  <c r="CC15" i="23"/>
  <c r="BT15" i="23"/>
  <c r="BQ15" i="23"/>
  <c r="BN15" i="23"/>
  <c r="BK15" i="23"/>
  <c r="BH15" i="23"/>
  <c r="BE15" i="23"/>
  <c r="BB15" i="23"/>
  <c r="AY15" i="23"/>
  <c r="AV15" i="23"/>
  <c r="AS15" i="23"/>
  <c r="AP15" i="23"/>
  <c r="AM15" i="23"/>
  <c r="AJ15" i="23"/>
  <c r="T15" i="23"/>
  <c r="Q15" i="23"/>
  <c r="N15" i="23"/>
  <c r="E15" i="23"/>
  <c r="HE14" i="23"/>
  <c r="HB14" i="23"/>
  <c r="GP14" i="23"/>
  <c r="GY14" i="23" s="1"/>
  <c r="GM14" i="23"/>
  <c r="GA14" i="23"/>
  <c r="GJ14" i="23" s="1"/>
  <c r="FL14" i="23"/>
  <c r="FU7" i="23" s="1"/>
  <c r="FI14" i="23"/>
  <c r="EW14" i="23"/>
  <c r="FF14" i="23" s="1"/>
  <c r="ET14" i="23"/>
  <c r="EH14" i="23"/>
  <c r="EQ14" i="23" s="1"/>
  <c r="EE14" i="23"/>
  <c r="EB14" i="23"/>
  <c r="DY14" i="23"/>
  <c r="DS14" i="23"/>
  <c r="EB15" i="23" s="1"/>
  <c r="DP14" i="23"/>
  <c r="DD14" i="23"/>
  <c r="CX14" i="23"/>
  <c r="CL14" i="23"/>
  <c r="CI14" i="23"/>
  <c r="CF14" i="23"/>
  <c r="CC14" i="23"/>
  <c r="BW14" i="23"/>
  <c r="BT14" i="23"/>
  <c r="BQ14" i="23"/>
  <c r="BN14" i="23"/>
  <c r="BK14" i="23"/>
  <c r="BH14" i="23"/>
  <c r="BE14" i="23"/>
  <c r="BB14" i="23"/>
  <c r="AY14" i="23"/>
  <c r="AV14" i="23"/>
  <c r="AS14" i="23"/>
  <c r="AP14" i="23"/>
  <c r="AM14" i="23"/>
  <c r="AJ14" i="23"/>
  <c r="AG14" i="23"/>
  <c r="AF14" i="23"/>
  <c r="AE14" i="23"/>
  <c r="AD14" i="23"/>
  <c r="AC14" i="23"/>
  <c r="Z14" i="23"/>
  <c r="W14" i="23"/>
  <c r="T14" i="23"/>
  <c r="Q14" i="23"/>
  <c r="N14" i="23"/>
  <c r="E14" i="23"/>
  <c r="HB13" i="23"/>
  <c r="GY13" i="23"/>
  <c r="GV13" i="23"/>
  <c r="GP13" i="23"/>
  <c r="GM13" i="23"/>
  <c r="GJ13" i="23"/>
  <c r="GG13" i="23"/>
  <c r="GA13" i="23"/>
  <c r="FL13" i="23"/>
  <c r="FI13" i="23"/>
  <c r="FF13" i="23"/>
  <c r="FC13" i="23"/>
  <c r="EW13" i="23"/>
  <c r="ET13" i="23"/>
  <c r="EQ13" i="23"/>
  <c r="EN13" i="23"/>
  <c r="EH13" i="23"/>
  <c r="EE13" i="23"/>
  <c r="EB13" i="23"/>
  <c r="DY13" i="23"/>
  <c r="DS13" i="23"/>
  <c r="DP13" i="23"/>
  <c r="DD13" i="23"/>
  <c r="CX13" i="23"/>
  <c r="CU13" i="23"/>
  <c r="CU12" i="23" s="1"/>
  <c r="CO13" i="23"/>
  <c r="CI13" i="23"/>
  <c r="CF13" i="23"/>
  <c r="CC13" i="23"/>
  <c r="BW13" i="23"/>
  <c r="BT13" i="23"/>
  <c r="BQ13" i="23"/>
  <c r="BN13" i="23"/>
  <c r="BK13" i="23"/>
  <c r="BH13" i="23"/>
  <c r="BE13" i="23"/>
  <c r="BB13" i="23"/>
  <c r="AY13" i="23"/>
  <c r="AV13" i="23"/>
  <c r="AS13" i="23"/>
  <c r="AP13" i="23"/>
  <c r="AM13" i="23"/>
  <c r="AJ13" i="23"/>
  <c r="AG13" i="23"/>
  <c r="AF13" i="23"/>
  <c r="Z13" i="23"/>
  <c r="W13" i="23"/>
  <c r="T13" i="23"/>
  <c r="Q13" i="23"/>
  <c r="K13" i="23"/>
  <c r="E13" i="23"/>
  <c r="HB12" i="23"/>
  <c r="GY12" i="23"/>
  <c r="GV12" i="23"/>
  <c r="GP12" i="23"/>
  <c r="GM12" i="23"/>
  <c r="GJ12" i="23"/>
  <c r="GG12" i="23"/>
  <c r="GA12" i="23"/>
  <c r="FL12" i="23"/>
  <c r="FL7" i="23" s="1"/>
  <c r="FL2" i="23" s="1"/>
  <c r="FI12" i="23"/>
  <c r="FF12" i="23"/>
  <c r="FC12" i="23"/>
  <c r="EW12" i="23"/>
  <c r="ET12" i="23"/>
  <c r="EQ12" i="23"/>
  <c r="EN12" i="23"/>
  <c r="EH12" i="23"/>
  <c r="EE12" i="23"/>
  <c r="EB12" i="23"/>
  <c r="DY12" i="23"/>
  <c r="DS12" i="23"/>
  <c r="DP12" i="23"/>
  <c r="DD12" i="23"/>
  <c r="DA12" i="23"/>
  <c r="DA11" i="23" s="1"/>
  <c r="CX12" i="23"/>
  <c r="CO12" i="23"/>
  <c r="CI12" i="23"/>
  <c r="CF12" i="23"/>
  <c r="CC12" i="23"/>
  <c r="BZ12" i="23"/>
  <c r="BZ11" i="23" s="1"/>
  <c r="BT12" i="23"/>
  <c r="BQ12" i="23"/>
  <c r="BN12" i="23"/>
  <c r="BK12" i="23"/>
  <c r="BQ6" i="23" s="1"/>
  <c r="BH12" i="23"/>
  <c r="BE12" i="23"/>
  <c r="BB12" i="23"/>
  <c r="AY12" i="23"/>
  <c r="AV12" i="23"/>
  <c r="AS12" i="23"/>
  <c r="AP12" i="23"/>
  <c r="AM12" i="23"/>
  <c r="AJ12" i="23"/>
  <c r="AG12" i="23"/>
  <c r="AF12" i="23"/>
  <c r="K12" i="23"/>
  <c r="E12" i="23"/>
  <c r="HE11" i="23"/>
  <c r="HB11" i="23"/>
  <c r="GY11" i="23"/>
  <c r="GV11" i="23"/>
  <c r="GP11" i="23"/>
  <c r="GM11" i="23"/>
  <c r="GJ11" i="23"/>
  <c r="GG11" i="23"/>
  <c r="GA11" i="23"/>
  <c r="FL11" i="23"/>
  <c r="FI11" i="23"/>
  <c r="FF11" i="23"/>
  <c r="FC11" i="23"/>
  <c r="EW11" i="23"/>
  <c r="ET11" i="23"/>
  <c r="EQ11" i="23"/>
  <c r="EN11" i="23"/>
  <c r="EH11" i="23"/>
  <c r="EE11" i="23"/>
  <c r="EB11" i="23"/>
  <c r="DY11" i="23"/>
  <c r="DS11" i="23"/>
  <c r="DD11" i="23"/>
  <c r="CO11" i="23"/>
  <c r="CL11" i="23"/>
  <c r="CL12" i="23" s="1"/>
  <c r="CI11" i="23"/>
  <c r="CF11" i="23"/>
  <c r="CC11" i="23"/>
  <c r="BQ11" i="23"/>
  <c r="BN11" i="23"/>
  <c r="BK11" i="23"/>
  <c r="BH11" i="23"/>
  <c r="BE11" i="23"/>
  <c r="BB11" i="23"/>
  <c r="AY11" i="23"/>
  <c r="AV11" i="23"/>
  <c r="AS11" i="23"/>
  <c r="AP11" i="23"/>
  <c r="AM11" i="23"/>
  <c r="AJ11" i="23"/>
  <c r="AG11" i="23"/>
  <c r="AG26" i="23" s="1"/>
  <c r="AG30" i="23" s="1"/>
  <c r="AF11" i="23"/>
  <c r="AF26" i="23" s="1"/>
  <c r="AF30" i="23" s="1"/>
  <c r="AE11" i="23"/>
  <c r="AE26" i="23" s="1"/>
  <c r="AE30" i="23" s="1"/>
  <c r="AD11" i="23"/>
  <c r="AD26" i="23" s="1"/>
  <c r="AD30" i="23" s="1"/>
  <c r="AC11" i="23"/>
  <c r="AC26" i="23" s="1"/>
  <c r="Z11" i="23"/>
  <c r="W11" i="23"/>
  <c r="HE10" i="23"/>
  <c r="HB10" i="23"/>
  <c r="GY10" i="23"/>
  <c r="GV10" i="23"/>
  <c r="GP10" i="23"/>
  <c r="GM10" i="23"/>
  <c r="GJ10" i="23"/>
  <c r="GG10" i="23"/>
  <c r="GA10" i="23"/>
  <c r="FL10" i="23"/>
  <c r="FI10" i="23"/>
  <c r="FF10" i="23"/>
  <c r="FC10" i="23"/>
  <c r="EW10" i="23"/>
  <c r="ET10" i="23"/>
  <c r="EQ10" i="23"/>
  <c r="EN10" i="23"/>
  <c r="EH10" i="23"/>
  <c r="EE10" i="23"/>
  <c r="EB10" i="23"/>
  <c r="DY10" i="23"/>
  <c r="DS10" i="23"/>
  <c r="DP10" i="23"/>
  <c r="DG10" i="23"/>
  <c r="DG5" i="23" s="1"/>
  <c r="CX10" i="23"/>
  <c r="CU10" i="23"/>
  <c r="CO10" i="23"/>
  <c r="CL10" i="23"/>
  <c r="CI10" i="23"/>
  <c r="CF10" i="23"/>
  <c r="CC10" i="23"/>
  <c r="CF6" i="23" s="1"/>
  <c r="BT10" i="23"/>
  <c r="BQ10" i="23"/>
  <c r="BN10" i="23"/>
  <c r="BK10" i="23"/>
  <c r="BH10" i="23"/>
  <c r="BE10" i="23"/>
  <c r="BB10" i="23"/>
  <c r="BE25" i="23" s="1"/>
  <c r="AY10" i="23"/>
  <c r="AV10" i="23"/>
  <c r="AS10" i="23"/>
  <c r="AV25" i="23" s="1"/>
  <c r="AP10" i="23"/>
  <c r="AM10" i="23"/>
  <c r="AM6" i="23" s="1"/>
  <c r="AJ10" i="23"/>
  <c r="AJ6" i="23" s="1"/>
  <c r="Z10" i="23"/>
  <c r="W10" i="23"/>
  <c r="T10" i="23"/>
  <c r="Q10" i="23"/>
  <c r="N10" i="23"/>
  <c r="E10" i="23"/>
  <c r="BW7" i="23" s="1"/>
  <c r="HE9" i="23"/>
  <c r="HB9" i="23"/>
  <c r="GY9" i="23"/>
  <c r="GV9" i="23"/>
  <c r="GP9" i="23"/>
  <c r="GM9" i="23"/>
  <c r="GJ9" i="23"/>
  <c r="GG9" i="23"/>
  <c r="GA9" i="23"/>
  <c r="FL9" i="23"/>
  <c r="FI9" i="23"/>
  <c r="FF9" i="23"/>
  <c r="FC9" i="23"/>
  <c r="EW9" i="23"/>
  <c r="ET9" i="23"/>
  <c r="EQ9" i="23"/>
  <c r="EN9" i="23"/>
  <c r="EH9" i="23"/>
  <c r="EE9" i="23"/>
  <c r="EB9" i="23"/>
  <c r="DY9" i="23"/>
  <c r="DS9" i="23"/>
  <c r="DP9" i="23"/>
  <c r="DD9" i="23"/>
  <c r="DA9" i="23"/>
  <c r="CX9" i="23"/>
  <c r="CU9" i="23"/>
  <c r="CO9" i="23"/>
  <c r="CL9" i="23"/>
  <c r="CI9" i="23"/>
  <c r="CF9" i="23"/>
  <c r="CC9" i="23"/>
  <c r="BZ9" i="23"/>
  <c r="BW9" i="23"/>
  <c r="BT9" i="23"/>
  <c r="BT28" i="23" s="1"/>
  <c r="BQ9" i="23"/>
  <c r="BN9" i="23"/>
  <c r="BK9" i="23"/>
  <c r="BH9" i="23"/>
  <c r="BE9" i="23"/>
  <c r="BB9" i="23"/>
  <c r="AY9" i="23"/>
  <c r="AV9" i="23"/>
  <c r="AS9" i="23"/>
  <c r="AP9" i="23"/>
  <c r="AM9" i="23"/>
  <c r="AJ9" i="23"/>
  <c r="AG9" i="23"/>
  <c r="AF9" i="23"/>
  <c r="AE9" i="23"/>
  <c r="AD9" i="23"/>
  <c r="AC9" i="23"/>
  <c r="Z9" i="23"/>
  <c r="W9" i="23"/>
  <c r="N9" i="23"/>
  <c r="K9" i="23"/>
  <c r="H9" i="23"/>
  <c r="E9" i="23"/>
  <c r="HE8" i="23"/>
  <c r="HE7" i="23" s="1"/>
  <c r="HB8" i="23"/>
  <c r="GY8" i="23"/>
  <c r="GV8" i="23"/>
  <c r="GP8" i="23"/>
  <c r="GM8" i="23"/>
  <c r="GJ8" i="23"/>
  <c r="GG8" i="23"/>
  <c r="GG6" i="23" s="1"/>
  <c r="GA8" i="23"/>
  <c r="FL8" i="23"/>
  <c r="FI8" i="23"/>
  <c r="FF8" i="23"/>
  <c r="FC8" i="23"/>
  <c r="EW8" i="23"/>
  <c r="ET8" i="23"/>
  <c r="ET6" i="23" s="1"/>
  <c r="EQ8" i="23"/>
  <c r="EQ6" i="23" s="1"/>
  <c r="EN8" i="23"/>
  <c r="EN6" i="23" s="1"/>
  <c r="EH8" i="23"/>
  <c r="EE8" i="23"/>
  <c r="EB8" i="23"/>
  <c r="EB6" i="23" s="1"/>
  <c r="DY8" i="23"/>
  <c r="DY6" i="23" s="1"/>
  <c r="DS8" i="23"/>
  <c r="DP8" i="23"/>
  <c r="DM8" i="23"/>
  <c r="DM6" i="23" s="1"/>
  <c r="DJ8" i="23"/>
  <c r="DD8" i="23"/>
  <c r="DA8" i="23"/>
  <c r="CX8" i="23"/>
  <c r="CU8" i="23"/>
  <c r="CO8" i="23"/>
  <c r="CL8" i="23"/>
  <c r="CI8" i="23"/>
  <c r="CF8" i="23"/>
  <c r="CC8" i="23"/>
  <c r="BZ8" i="23"/>
  <c r="BW8" i="23"/>
  <c r="BT8" i="23"/>
  <c r="BQ8" i="23"/>
  <c r="BN8" i="23"/>
  <c r="BK8" i="23"/>
  <c r="BH8" i="23"/>
  <c r="BE8" i="23"/>
  <c r="BB8" i="23"/>
  <c r="AY8" i="23"/>
  <c r="AV8" i="23"/>
  <c r="AS8" i="23"/>
  <c r="AP8" i="23"/>
  <c r="AM8" i="23"/>
  <c r="AJ8" i="23"/>
  <c r="AG8" i="23"/>
  <c r="AF8" i="23"/>
  <c r="AE8" i="23"/>
  <c r="AD8" i="23"/>
  <c r="AC8" i="23"/>
  <c r="Z8" i="23"/>
  <c r="W8" i="23"/>
  <c r="T8" i="23"/>
  <c r="T7" i="23" s="1"/>
  <c r="Q8" i="23"/>
  <c r="N8" i="23"/>
  <c r="K8" i="23"/>
  <c r="H8" i="23"/>
  <c r="E8" i="23"/>
  <c r="HB7" i="23"/>
  <c r="HB5" i="23" s="1"/>
  <c r="GY7" i="23"/>
  <c r="GY5" i="23" s="1"/>
  <c r="GV7" i="23"/>
  <c r="GM7" i="23"/>
  <c r="GJ7" i="23"/>
  <c r="GG7" i="23"/>
  <c r="FI7" i="23"/>
  <c r="FF7" i="23"/>
  <c r="FC7" i="23"/>
  <c r="FC5" i="23" s="1"/>
  <c r="ET7" i="23"/>
  <c r="ET5" i="23" s="1"/>
  <c r="EQ7" i="23"/>
  <c r="EQ5" i="23" s="1"/>
  <c r="EN7" i="23"/>
  <c r="EN5" i="23" s="1"/>
  <c r="EE7" i="23"/>
  <c r="EB7" i="23"/>
  <c r="DY7" i="23"/>
  <c r="DM7" i="23"/>
  <c r="DJ7" i="23"/>
  <c r="DJ5" i="23" s="1"/>
  <c r="DA7" i="23"/>
  <c r="CX7" i="23"/>
  <c r="CU7" i="23"/>
  <c r="CO7" i="23"/>
  <c r="CL7" i="23"/>
  <c r="CI7" i="23"/>
  <c r="CF7" i="23"/>
  <c r="CC7" i="23"/>
  <c r="BZ7" i="23"/>
  <c r="BT7" i="23"/>
  <c r="BT6" i="23" s="1"/>
  <c r="BQ7" i="23"/>
  <c r="BN7" i="23"/>
  <c r="BK7" i="23"/>
  <c r="BH7" i="23"/>
  <c r="BE7" i="23"/>
  <c r="BB7" i="23"/>
  <c r="AY7" i="23"/>
  <c r="AV7" i="23"/>
  <c r="AS7" i="23"/>
  <c r="AP7" i="23"/>
  <c r="AM7" i="23"/>
  <c r="AJ7" i="23"/>
  <c r="Z7" i="23"/>
  <c r="W7" i="23"/>
  <c r="Q7" i="23"/>
  <c r="N7" i="23"/>
  <c r="K7" i="23"/>
  <c r="H7" i="23"/>
  <c r="E7" i="23"/>
  <c r="E6" i="23" s="1"/>
  <c r="HB6" i="23"/>
  <c r="GY6" i="23"/>
  <c r="GV6" i="23"/>
  <c r="GP6" i="23"/>
  <c r="GM6" i="23"/>
  <c r="GJ6" i="23"/>
  <c r="GD6" i="23"/>
  <c r="GA6" i="23"/>
  <c r="FU6" i="23"/>
  <c r="FR6" i="23"/>
  <c r="FL6" i="23"/>
  <c r="FI6" i="23"/>
  <c r="FF6" i="23"/>
  <c r="FC6" i="23"/>
  <c r="EZ6" i="23"/>
  <c r="EW6" i="23"/>
  <c r="EK6" i="23"/>
  <c r="EH6" i="23"/>
  <c r="EE6" i="23"/>
  <c r="DV6" i="23"/>
  <c r="DS6" i="23"/>
  <c r="DJ6" i="23"/>
  <c r="DD6" i="23"/>
  <c r="DA6" i="23"/>
  <c r="CX6" i="23"/>
  <c r="CU6" i="23"/>
  <c r="CR6" i="23"/>
  <c r="CO6" i="23"/>
  <c r="CL6" i="23"/>
  <c r="CI6" i="23"/>
  <c r="BZ6" i="23"/>
  <c r="BW6" i="23"/>
  <c r="AY6" i="23"/>
  <c r="AV6" i="23"/>
  <c r="AP6" i="23"/>
  <c r="Z6" i="23"/>
  <c r="W6" i="23"/>
  <c r="K6" i="23"/>
  <c r="H6" i="23"/>
  <c r="HE5" i="23"/>
  <c r="GV5" i="23"/>
  <c r="GS5" i="23"/>
  <c r="GP5" i="23"/>
  <c r="GM5" i="23"/>
  <c r="GJ5" i="23"/>
  <c r="GG5" i="23"/>
  <c r="GD5" i="23"/>
  <c r="GA5" i="23"/>
  <c r="FX5" i="23"/>
  <c r="FU5" i="23"/>
  <c r="FR5" i="23"/>
  <c r="FO5" i="23"/>
  <c r="FL5" i="23"/>
  <c r="FI5" i="23"/>
  <c r="FF5" i="23"/>
  <c r="EZ5" i="23"/>
  <c r="EW5" i="23"/>
  <c r="EK5" i="23"/>
  <c r="EH5" i="23"/>
  <c r="EE5" i="23"/>
  <c r="EB5" i="23"/>
  <c r="DY5" i="23"/>
  <c r="DV5" i="23"/>
  <c r="DS5" i="23"/>
  <c r="DM5" i="23"/>
  <c r="DD5" i="23"/>
  <c r="DA5" i="23"/>
  <c r="CX5" i="23"/>
  <c r="CU5" i="23"/>
  <c r="CO5" i="23"/>
  <c r="CR5" i="23" s="1"/>
  <c r="CL5" i="23"/>
  <c r="CI5" i="23"/>
  <c r="CF5" i="23"/>
  <c r="CC5" i="23"/>
  <c r="BZ5" i="23"/>
  <c r="BW5" i="23"/>
  <c r="BT5" i="23"/>
  <c r="BQ5" i="23"/>
  <c r="BN5" i="23"/>
  <c r="BK5" i="23"/>
  <c r="BH5" i="23"/>
  <c r="BE5" i="23"/>
  <c r="BB5" i="23"/>
  <c r="AY5" i="23"/>
  <c r="AV5" i="23"/>
  <c r="AS5" i="23"/>
  <c r="AP5" i="23"/>
  <c r="AM5" i="23"/>
  <c r="AJ5" i="23"/>
  <c r="AG5" i="23"/>
  <c r="AF5" i="23"/>
  <c r="AE5" i="23"/>
  <c r="AD5" i="23"/>
  <c r="AC5" i="23"/>
  <c r="Z5" i="23"/>
  <c r="W5" i="23"/>
  <c r="T5" i="23"/>
  <c r="Q5" i="23"/>
  <c r="N5" i="23"/>
  <c r="K5" i="23"/>
  <c r="H5" i="23"/>
  <c r="E5" i="23"/>
  <c r="FX2" i="23"/>
  <c r="H67" i="12"/>
  <c r="H66" i="12"/>
  <c r="H65" i="12"/>
  <c r="H64" i="12"/>
  <c r="H63" i="12"/>
  <c r="H59" i="12" s="1"/>
  <c r="H62" i="12"/>
  <c r="H55" i="12" s="1"/>
  <c r="H51" i="12" s="1"/>
  <c r="H61" i="12"/>
  <c r="H60" i="12"/>
  <c r="H58" i="12"/>
  <c r="H57" i="12"/>
  <c r="H56" i="12"/>
  <c r="H54" i="12"/>
  <c r="K53" i="12"/>
  <c r="K51" i="12" s="1"/>
  <c r="H53" i="12"/>
  <c r="K52" i="12"/>
  <c r="E51" i="12"/>
  <c r="K50" i="12"/>
  <c r="E50" i="12"/>
  <c r="H49" i="12"/>
  <c r="H48" i="12"/>
  <c r="H46" i="12" s="1"/>
  <c r="E48" i="12"/>
  <c r="H47" i="12"/>
  <c r="E47" i="12"/>
  <c r="DA46" i="12"/>
  <c r="E46" i="12"/>
  <c r="K45" i="12"/>
  <c r="E45" i="12"/>
  <c r="DA44" i="12"/>
  <c r="Z44" i="12"/>
  <c r="K44" i="12"/>
  <c r="E44" i="12"/>
  <c r="DA43" i="12"/>
  <c r="CU43" i="12"/>
  <c r="Z43" i="12"/>
  <c r="K43" i="12"/>
  <c r="H43" i="12"/>
  <c r="B43" i="12"/>
  <c r="DA42" i="12"/>
  <c r="CU42" i="12"/>
  <c r="Z42" i="12"/>
  <c r="K42" i="12"/>
  <c r="B42" i="12"/>
  <c r="HE41" i="12"/>
  <c r="DA41" i="12"/>
  <c r="CU41" i="12"/>
  <c r="K41" i="12"/>
  <c r="HE40" i="12"/>
  <c r="DA40" i="12"/>
  <c r="CU40" i="12"/>
  <c r="K40" i="12"/>
  <c r="H40" i="12"/>
  <c r="HE39" i="12"/>
  <c r="DA39" i="12"/>
  <c r="CU39" i="12"/>
  <c r="H39" i="12"/>
  <c r="HE38" i="12"/>
  <c r="DA38" i="12"/>
  <c r="CU38" i="12"/>
  <c r="K38" i="12"/>
  <c r="H38" i="12"/>
  <c r="DA37" i="12"/>
  <c r="CU37" i="12"/>
  <c r="AG37" i="12"/>
  <c r="K37" i="12"/>
  <c r="H37" i="12"/>
  <c r="HE36" i="12"/>
  <c r="DA36" i="12"/>
  <c r="CU36" i="12"/>
  <c r="Z36" i="12"/>
  <c r="W36" i="12"/>
  <c r="K36" i="12"/>
  <c r="K25" i="12" s="1"/>
  <c r="H36" i="12"/>
  <c r="E36" i="12"/>
  <c r="HE35" i="12"/>
  <c r="DA35" i="12"/>
  <c r="CU35" i="12"/>
  <c r="BN35" i="12"/>
  <c r="BK35" i="12"/>
  <c r="BE35" i="12"/>
  <c r="BB35" i="12"/>
  <c r="AV35" i="12"/>
  <c r="AS35" i="12"/>
  <c r="AM35" i="12"/>
  <c r="AJ35" i="12"/>
  <c r="AE35" i="12"/>
  <c r="AD35" i="12"/>
  <c r="AC35" i="12"/>
  <c r="Z35" i="12"/>
  <c r="W35" i="12"/>
  <c r="Q35" i="12"/>
  <c r="N35" i="12"/>
  <c r="K35" i="12"/>
  <c r="H35" i="12"/>
  <c r="E35" i="12"/>
  <c r="E37" i="12" s="1"/>
  <c r="E30" i="12" s="1"/>
  <c r="HE34" i="12"/>
  <c r="DA34" i="12"/>
  <c r="CU34" i="12"/>
  <c r="BN34" i="12"/>
  <c r="BK34" i="12"/>
  <c r="BE34" i="12"/>
  <c r="BB34" i="12"/>
  <c r="AV34" i="12"/>
  <c r="AS34" i="12"/>
  <c r="AM34" i="12"/>
  <c r="AJ34" i="12"/>
  <c r="Q34" i="12"/>
  <c r="N34" i="12"/>
  <c r="K34" i="12"/>
  <c r="K46" i="12" s="1"/>
  <c r="K11" i="12" s="1"/>
  <c r="H34" i="12"/>
  <c r="E34" i="12"/>
  <c r="B34" i="12"/>
  <c r="DA33" i="12"/>
  <c r="CU33" i="12"/>
  <c r="BN33" i="12"/>
  <c r="BK33" i="12"/>
  <c r="BE33" i="12"/>
  <c r="BB33" i="12"/>
  <c r="AV33" i="12"/>
  <c r="AS33" i="12"/>
  <c r="AM33" i="12"/>
  <c r="AJ33" i="12"/>
  <c r="Z33" i="12"/>
  <c r="W33" i="12"/>
  <c r="Q33" i="12"/>
  <c r="N33" i="12"/>
  <c r="K33" i="12"/>
  <c r="H33" i="12"/>
  <c r="E33" i="12"/>
  <c r="B33" i="12"/>
  <c r="AF36" i="12" s="1"/>
  <c r="HE32" i="12"/>
  <c r="DA32" i="12"/>
  <c r="CU32" i="12"/>
  <c r="CU44" i="12" s="1"/>
  <c r="BZ32" i="12"/>
  <c r="BN32" i="12"/>
  <c r="BK32" i="12"/>
  <c r="BE32" i="12"/>
  <c r="BB32" i="12"/>
  <c r="AV32" i="12"/>
  <c r="AS32" i="12"/>
  <c r="AM32" i="12"/>
  <c r="AJ32" i="12"/>
  <c r="Z32" i="12"/>
  <c r="Z40" i="12" s="1"/>
  <c r="Z26" i="12" s="1"/>
  <c r="W32" i="12"/>
  <c r="K32" i="12"/>
  <c r="H32" i="12"/>
  <c r="E32" i="12"/>
  <c r="B32" i="12"/>
  <c r="HE31" i="12"/>
  <c r="DA31" i="12"/>
  <c r="CU31" i="12"/>
  <c r="CF31" i="12"/>
  <c r="CC31" i="12"/>
  <c r="BZ31" i="12"/>
  <c r="BN31" i="12"/>
  <c r="BK31" i="12"/>
  <c r="BE31" i="12"/>
  <c r="BB31" i="12"/>
  <c r="AV31" i="12"/>
  <c r="AS31" i="12"/>
  <c r="AM31" i="12"/>
  <c r="AJ31" i="12"/>
  <c r="Z31" i="12"/>
  <c r="W31" i="12"/>
  <c r="K31" i="12"/>
  <c r="H31" i="12"/>
  <c r="HE30" i="12"/>
  <c r="DA30" i="12"/>
  <c r="CU30" i="12"/>
  <c r="CO30" i="12"/>
  <c r="CF30" i="12"/>
  <c r="CC30" i="12"/>
  <c r="BZ30" i="12"/>
  <c r="BN30" i="12"/>
  <c r="BK30" i="12"/>
  <c r="BE30" i="12"/>
  <c r="BB30" i="12"/>
  <c r="AV30" i="12"/>
  <c r="AS30" i="12"/>
  <c r="AM30" i="12"/>
  <c r="AJ30" i="12"/>
  <c r="Z30" i="12"/>
  <c r="W30" i="12"/>
  <c r="K30" i="12"/>
  <c r="H30" i="12"/>
  <c r="HE29" i="12"/>
  <c r="DA29" i="12"/>
  <c r="CU29" i="12"/>
  <c r="CO29" i="12"/>
  <c r="CF29" i="12"/>
  <c r="CC29" i="12"/>
  <c r="BZ29" i="12"/>
  <c r="BN29" i="12"/>
  <c r="BK29" i="12"/>
  <c r="BE29" i="12"/>
  <c r="BB29" i="12"/>
  <c r="AV29" i="12"/>
  <c r="AS29" i="12"/>
  <c r="AM29" i="12"/>
  <c r="AM25" i="12" s="1"/>
  <c r="AJ29" i="12"/>
  <c r="AJ25" i="12" s="1"/>
  <c r="AJ21" i="12" s="1"/>
  <c r="Z29" i="12"/>
  <c r="Z28" i="12" s="1"/>
  <c r="W29" i="12"/>
  <c r="W28" i="12" s="1"/>
  <c r="Q29" i="12"/>
  <c r="N29" i="12"/>
  <c r="K29" i="12"/>
  <c r="H29" i="12"/>
  <c r="H25" i="12" s="1"/>
  <c r="HE28" i="12"/>
  <c r="HE27" i="12" s="1"/>
  <c r="DA28" i="12"/>
  <c r="CU28" i="12"/>
  <c r="CO28" i="12"/>
  <c r="CF28" i="12"/>
  <c r="CC28" i="12"/>
  <c r="BZ28" i="12"/>
  <c r="BN28" i="12"/>
  <c r="BK28" i="12"/>
  <c r="BE28" i="12"/>
  <c r="BB28" i="12"/>
  <c r="AV28" i="12"/>
  <c r="AS28" i="12"/>
  <c r="AM28" i="12"/>
  <c r="AJ28" i="12"/>
  <c r="AG28" i="12"/>
  <c r="AF28" i="12"/>
  <c r="AE28" i="12"/>
  <c r="AE27" i="12" s="1"/>
  <c r="AD28" i="12"/>
  <c r="AC28" i="12"/>
  <c r="AC27" i="12" s="1"/>
  <c r="Q28" i="12"/>
  <c r="N28" i="12"/>
  <c r="H28" i="12"/>
  <c r="DA27" i="12"/>
  <c r="CU27" i="12"/>
  <c r="CO27" i="12"/>
  <c r="CF27" i="12"/>
  <c r="CC27" i="12"/>
  <c r="BZ27" i="12"/>
  <c r="BW27" i="12"/>
  <c r="BT27" i="12"/>
  <c r="BN27" i="12"/>
  <c r="BN26" i="12" s="1"/>
  <c r="BK27" i="12"/>
  <c r="BK26" i="12" s="1"/>
  <c r="BE27" i="12"/>
  <c r="BE26" i="12" s="1"/>
  <c r="BB27" i="12"/>
  <c r="BB26" i="12" s="1"/>
  <c r="AV27" i="12"/>
  <c r="AS27" i="12"/>
  <c r="AM27" i="12"/>
  <c r="AJ27" i="12"/>
  <c r="AG27" i="12"/>
  <c r="AF27" i="12"/>
  <c r="AD27" i="12"/>
  <c r="Z27" i="12"/>
  <c r="Z41" i="12" s="1"/>
  <c r="W27" i="12"/>
  <c r="Q27" i="12"/>
  <c r="N27" i="12"/>
  <c r="N26" i="12" s="1"/>
  <c r="K27" i="12"/>
  <c r="H27" i="12"/>
  <c r="DA26" i="12"/>
  <c r="CU26" i="12"/>
  <c r="CO26" i="12"/>
  <c r="CO24" i="12" s="1"/>
  <c r="CL26" i="12"/>
  <c r="CF26" i="12"/>
  <c r="CC26" i="12"/>
  <c r="BZ26" i="12"/>
  <c r="BW26" i="12"/>
  <c r="BT26" i="12"/>
  <c r="AV26" i="12"/>
  <c r="AS26" i="12"/>
  <c r="AM26" i="12"/>
  <c r="AJ26" i="12"/>
  <c r="Q26" i="12"/>
  <c r="K26" i="12"/>
  <c r="H26" i="12"/>
  <c r="HE25" i="12"/>
  <c r="CX25" i="12"/>
  <c r="CO25" i="12"/>
  <c r="CL25" i="12"/>
  <c r="CF25" i="12"/>
  <c r="CF24" i="12" s="1"/>
  <c r="CC25" i="12"/>
  <c r="BZ25" i="12"/>
  <c r="BZ33" i="12" s="1"/>
  <c r="BW25" i="12"/>
  <c r="BT25" i="12"/>
  <c r="AG25" i="12"/>
  <c r="AF25" i="12"/>
  <c r="AE25" i="12"/>
  <c r="AD25" i="12"/>
  <c r="AC25" i="12"/>
  <c r="E25" i="12"/>
  <c r="DA24" i="12"/>
  <c r="CX24" i="12"/>
  <c r="CL24" i="12"/>
  <c r="CL19" i="12" s="1"/>
  <c r="CC24" i="12"/>
  <c r="BZ24" i="12"/>
  <c r="BW24" i="12"/>
  <c r="BN24" i="12"/>
  <c r="BK24" i="12"/>
  <c r="BE24" i="12"/>
  <c r="BB24" i="12"/>
  <c r="AV24" i="12"/>
  <c r="AS24" i="12"/>
  <c r="AM24" i="12"/>
  <c r="AJ24" i="12"/>
  <c r="AG24" i="12"/>
  <c r="AF24" i="12"/>
  <c r="AE24" i="12"/>
  <c r="AD24" i="12"/>
  <c r="AC24" i="12"/>
  <c r="Q24" i="12"/>
  <c r="N24" i="12"/>
  <c r="K24" i="12"/>
  <c r="H24" i="12"/>
  <c r="E24" i="12"/>
  <c r="CR23" i="12"/>
  <c r="CO23" i="12"/>
  <c r="CL23" i="12"/>
  <c r="BZ23" i="12"/>
  <c r="BW23" i="12"/>
  <c r="AG23" i="12"/>
  <c r="AF23" i="12"/>
  <c r="AE23" i="12"/>
  <c r="AD23" i="12"/>
  <c r="AC23" i="12"/>
  <c r="K23" i="12"/>
  <c r="H23" i="12"/>
  <c r="CO22" i="12"/>
  <c r="CR22" i="12" s="1"/>
  <c r="CL22" i="12"/>
  <c r="CF22" i="12"/>
  <c r="CC22" i="12"/>
  <c r="BZ22" i="12"/>
  <c r="BW22" i="12"/>
  <c r="K22" i="12"/>
  <c r="H22" i="12"/>
  <c r="BZ21" i="12"/>
  <c r="BW21" i="12"/>
  <c r="AG21" i="12"/>
  <c r="AF21" i="12"/>
  <c r="AE21" i="12"/>
  <c r="AD21" i="12"/>
  <c r="AC21" i="12"/>
  <c r="K21" i="12"/>
  <c r="K19" i="12" s="1"/>
  <c r="BZ20" i="12"/>
  <c r="BW20" i="12"/>
  <c r="BT20" i="12"/>
  <c r="AG20" i="12"/>
  <c r="AF20" i="12"/>
  <c r="AE20" i="12"/>
  <c r="AD20" i="12"/>
  <c r="AC20" i="12"/>
  <c r="H20" i="12"/>
  <c r="CX19" i="12"/>
  <c r="BZ19" i="12"/>
  <c r="BW19" i="12"/>
  <c r="BT19" i="12"/>
  <c r="AG19" i="12"/>
  <c r="AF19" i="12"/>
  <c r="AE19" i="12"/>
  <c r="AD19" i="12"/>
  <c r="AC19" i="12"/>
  <c r="H19" i="12"/>
  <c r="H16" i="12" s="1"/>
  <c r="CX18" i="12"/>
  <c r="BZ18" i="12"/>
  <c r="BW18" i="12"/>
  <c r="BT18" i="12"/>
  <c r="AG18" i="12"/>
  <c r="AF18" i="12"/>
  <c r="AE18" i="12"/>
  <c r="AD18" i="12"/>
  <c r="AC18" i="12"/>
  <c r="H18" i="12"/>
  <c r="E18" i="12"/>
  <c r="CX17" i="12"/>
  <c r="BW17" i="12"/>
  <c r="BT17" i="12"/>
  <c r="BT11" i="12" s="1"/>
  <c r="AG17" i="12"/>
  <c r="AF17" i="12"/>
  <c r="AE17" i="12"/>
  <c r="AD17" i="12"/>
  <c r="AC17" i="12"/>
  <c r="H17" i="12"/>
  <c r="H15" i="12" s="1"/>
  <c r="E17" i="12"/>
  <c r="CX16" i="12"/>
  <c r="BW16" i="12"/>
  <c r="BT16" i="12"/>
  <c r="BQ16" i="12"/>
  <c r="BN16" i="12"/>
  <c r="BK16" i="12"/>
  <c r="BH16" i="12"/>
  <c r="BE16" i="12"/>
  <c r="BB16" i="12"/>
  <c r="AY16" i="12"/>
  <c r="AV16" i="12"/>
  <c r="AS16" i="12"/>
  <c r="AP16" i="12"/>
  <c r="AM16" i="12"/>
  <c r="AJ16" i="12"/>
  <c r="AG16" i="12"/>
  <c r="AF16" i="12"/>
  <c r="AE16" i="12"/>
  <c r="AD16" i="12"/>
  <c r="AC16" i="12"/>
  <c r="T16" i="12"/>
  <c r="Q16" i="12"/>
  <c r="N16" i="12"/>
  <c r="E16" i="12"/>
  <c r="CX15" i="12"/>
  <c r="BT15" i="12"/>
  <c r="BQ15" i="12"/>
  <c r="BN15" i="12"/>
  <c r="BK15" i="12"/>
  <c r="BH15" i="12"/>
  <c r="BE15" i="12"/>
  <c r="BB15" i="12"/>
  <c r="AY15" i="12"/>
  <c r="AV15" i="12"/>
  <c r="AS15" i="12"/>
  <c r="AP15" i="12"/>
  <c r="AM15" i="12"/>
  <c r="AJ15" i="12"/>
  <c r="T15" i="12"/>
  <c r="Q15" i="12"/>
  <c r="N15" i="12"/>
  <c r="E15" i="12"/>
  <c r="E11" i="12" s="1"/>
  <c r="HE14" i="12"/>
  <c r="CX14" i="12"/>
  <c r="CI14" i="12"/>
  <c r="CF14" i="12"/>
  <c r="CC14" i="12"/>
  <c r="BW14" i="12"/>
  <c r="BT14" i="12"/>
  <c r="BQ14" i="12"/>
  <c r="BN14" i="12"/>
  <c r="BK14" i="12"/>
  <c r="BH14" i="12"/>
  <c r="BE14" i="12"/>
  <c r="BB14" i="12"/>
  <c r="AY14" i="12"/>
  <c r="AV14" i="12"/>
  <c r="AS14" i="12"/>
  <c r="AP14" i="12"/>
  <c r="AM14" i="12"/>
  <c r="AJ14" i="12"/>
  <c r="AG14" i="12"/>
  <c r="AF14" i="12"/>
  <c r="AE14" i="12"/>
  <c r="AD14" i="12"/>
  <c r="AC14" i="12"/>
  <c r="Z14" i="12"/>
  <c r="W14" i="12"/>
  <c r="T14" i="12"/>
  <c r="Q14" i="12"/>
  <c r="N14" i="12"/>
  <c r="E14" i="12"/>
  <c r="CX13" i="12"/>
  <c r="CU13" i="12"/>
  <c r="CU12" i="12" s="1"/>
  <c r="CO13" i="12"/>
  <c r="CI13" i="12"/>
  <c r="CF13" i="12"/>
  <c r="CC13" i="12"/>
  <c r="BW13" i="12"/>
  <c r="BT13" i="12"/>
  <c r="BQ13" i="12"/>
  <c r="BN13" i="12"/>
  <c r="BK13" i="12"/>
  <c r="BH13" i="12"/>
  <c r="BE13" i="12"/>
  <c r="BB13" i="12"/>
  <c r="AY13" i="12"/>
  <c r="AV13" i="12"/>
  <c r="AS13" i="12"/>
  <c r="AP13" i="12"/>
  <c r="AM13" i="12"/>
  <c r="AJ13" i="12"/>
  <c r="AG13" i="12"/>
  <c r="AF13" i="12"/>
  <c r="Z13" i="12"/>
  <c r="W13" i="12"/>
  <c r="T13" i="12"/>
  <c r="Q13" i="12"/>
  <c r="K13" i="12"/>
  <c r="K12" i="12" s="1"/>
  <c r="E13" i="12"/>
  <c r="DA12" i="12"/>
  <c r="DA11" i="12" s="1"/>
  <c r="DA10" i="12" s="1"/>
  <c r="CX12" i="12"/>
  <c r="CO12" i="12"/>
  <c r="CI12" i="12"/>
  <c r="CF12" i="12"/>
  <c r="CC12" i="12"/>
  <c r="BZ12" i="12"/>
  <c r="BZ11" i="12" s="1"/>
  <c r="BT12" i="12"/>
  <c r="BQ12" i="12"/>
  <c r="BN12" i="12"/>
  <c r="BK12" i="12"/>
  <c r="BN25" i="12" s="1"/>
  <c r="BH12" i="12"/>
  <c r="BE12" i="12"/>
  <c r="BB12" i="12"/>
  <c r="AY12" i="12"/>
  <c r="AV12" i="12"/>
  <c r="AS12" i="12"/>
  <c r="AP12" i="12"/>
  <c r="AM12" i="12"/>
  <c r="AJ12" i="12"/>
  <c r="AG12" i="12"/>
  <c r="AF12" i="12"/>
  <c r="E12" i="12"/>
  <c r="HE11" i="12"/>
  <c r="CO11" i="12"/>
  <c r="CI11" i="12"/>
  <c r="CF11" i="12"/>
  <c r="CC11" i="12"/>
  <c r="BQ11" i="12"/>
  <c r="BN11" i="12"/>
  <c r="BK11" i="12"/>
  <c r="BH11" i="12"/>
  <c r="BE11" i="12"/>
  <c r="BB11" i="12"/>
  <c r="AY11" i="12"/>
  <c r="AV11" i="12"/>
  <c r="AS11" i="12"/>
  <c r="AP11" i="12"/>
  <c r="AM11" i="12"/>
  <c r="AJ11" i="12"/>
  <c r="AG11" i="12"/>
  <c r="AG26" i="12" s="1"/>
  <c r="AG30" i="12" s="1"/>
  <c r="AF11" i="12"/>
  <c r="AF26" i="12" s="1"/>
  <c r="AF30" i="12" s="1"/>
  <c r="AE11" i="12"/>
  <c r="AE26" i="12" s="1"/>
  <c r="AE30" i="12" s="1"/>
  <c r="AD11" i="12"/>
  <c r="AD26" i="12" s="1"/>
  <c r="AD30" i="12" s="1"/>
  <c r="AC11" i="12"/>
  <c r="AC26" i="12" s="1"/>
  <c r="AC30" i="12" s="1"/>
  <c r="Z11" i="12"/>
  <c r="W11" i="12"/>
  <c r="HE10" i="12"/>
  <c r="CX10" i="12"/>
  <c r="CU10" i="12"/>
  <c r="CO10" i="12"/>
  <c r="CI10" i="12"/>
  <c r="CF10" i="12"/>
  <c r="CC10" i="12"/>
  <c r="CC23" i="12" s="1"/>
  <c r="BT10" i="12"/>
  <c r="BQ10" i="12"/>
  <c r="BN10" i="12"/>
  <c r="BK10" i="12"/>
  <c r="BH10" i="12"/>
  <c r="BE10" i="12"/>
  <c r="BB10" i="12"/>
  <c r="BB6" i="12" s="1"/>
  <c r="AY10" i="12"/>
  <c r="AV10" i="12"/>
  <c r="AS10" i="12"/>
  <c r="AV25" i="12" s="1"/>
  <c r="AP10" i="12"/>
  <c r="AP6" i="12" s="1"/>
  <c r="AM10" i="12"/>
  <c r="AJ10" i="12"/>
  <c r="Z10" i="12"/>
  <c r="W10" i="12"/>
  <c r="T10" i="12"/>
  <c r="Q10" i="12"/>
  <c r="N10" i="12"/>
  <c r="K10" i="12"/>
  <c r="E10" i="12"/>
  <c r="BW7" i="12" s="1"/>
  <c r="HE9" i="12"/>
  <c r="DA9" i="12"/>
  <c r="CX9" i="12"/>
  <c r="CU9" i="12"/>
  <c r="CO9" i="12"/>
  <c r="CO7" i="12" s="1"/>
  <c r="CL9" i="12"/>
  <c r="CI9" i="12"/>
  <c r="CF9" i="12"/>
  <c r="CC9" i="12"/>
  <c r="BZ9" i="12"/>
  <c r="BW9" i="12"/>
  <c r="BT9" i="12"/>
  <c r="BT28" i="12" s="1"/>
  <c r="BQ9" i="12"/>
  <c r="BN9" i="12"/>
  <c r="BK9" i="12"/>
  <c r="BH9" i="12"/>
  <c r="BE9" i="12"/>
  <c r="BB9" i="12"/>
  <c r="AY9" i="12"/>
  <c r="AV9" i="12"/>
  <c r="AS9" i="12"/>
  <c r="AP9" i="12"/>
  <c r="AM9" i="12"/>
  <c r="AJ9" i="12"/>
  <c r="AG9" i="12"/>
  <c r="AF9" i="12"/>
  <c r="AE9" i="12"/>
  <c r="AD9" i="12"/>
  <c r="AC9" i="12"/>
  <c r="Z9" i="12"/>
  <c r="W9" i="12"/>
  <c r="N9" i="12"/>
  <c r="K9" i="12"/>
  <c r="H9" i="12"/>
  <c r="E9" i="12"/>
  <c r="HE8" i="12"/>
  <c r="HE7" i="12" s="1"/>
  <c r="DA8" i="12"/>
  <c r="CX8" i="12"/>
  <c r="CU8" i="12"/>
  <c r="CO8" i="12"/>
  <c r="CL8" i="12"/>
  <c r="CI8" i="12"/>
  <c r="CF8" i="12"/>
  <c r="CC8" i="12"/>
  <c r="BZ8" i="12"/>
  <c r="BW8" i="12"/>
  <c r="BT8" i="12"/>
  <c r="BQ8" i="12"/>
  <c r="BN8" i="12"/>
  <c r="BK8" i="12"/>
  <c r="BH8" i="12"/>
  <c r="BE8" i="12"/>
  <c r="BB8" i="12"/>
  <c r="AY8" i="12"/>
  <c r="AV8" i="12"/>
  <c r="AS8" i="12"/>
  <c r="AP8" i="12"/>
  <c r="AM8" i="12"/>
  <c r="AJ8" i="12"/>
  <c r="AG8" i="12"/>
  <c r="AF8" i="12"/>
  <c r="AE8" i="12"/>
  <c r="AD8" i="12"/>
  <c r="AC8" i="12"/>
  <c r="Z8" i="12"/>
  <c r="W8" i="12"/>
  <c r="T8" i="12"/>
  <c r="T7" i="12" s="1"/>
  <c r="Q8" i="12"/>
  <c r="Q7" i="12" s="1"/>
  <c r="N8" i="12"/>
  <c r="N7" i="12" s="1"/>
  <c r="K8" i="12"/>
  <c r="H8" i="12"/>
  <c r="E8" i="12"/>
  <c r="DA7" i="12"/>
  <c r="CX7" i="12"/>
  <c r="CU7" i="12"/>
  <c r="CL7" i="12"/>
  <c r="CI7" i="12"/>
  <c r="CF7" i="12"/>
  <c r="CC7" i="12"/>
  <c r="BZ7" i="12"/>
  <c r="BT7" i="12"/>
  <c r="BQ7" i="12"/>
  <c r="BN7" i="12"/>
  <c r="BK7" i="12"/>
  <c r="BH7" i="12"/>
  <c r="BE7" i="12"/>
  <c r="BB7" i="12"/>
  <c r="AY7" i="12"/>
  <c r="AV7" i="12"/>
  <c r="AS7" i="12"/>
  <c r="AP7" i="12"/>
  <c r="AM7" i="12"/>
  <c r="AJ7" i="12"/>
  <c r="Z7" i="12"/>
  <c r="W7" i="12"/>
  <c r="W6" i="12" s="1"/>
  <c r="K7" i="12"/>
  <c r="H7" i="12"/>
  <c r="E7" i="12"/>
  <c r="E6" i="12" s="1"/>
  <c r="DA6" i="12"/>
  <c r="CX6" i="12"/>
  <c r="CU6" i="12"/>
  <c r="CR6" i="12"/>
  <c r="CO6" i="12"/>
  <c r="CL6" i="12"/>
  <c r="BZ6" i="12"/>
  <c r="BW6" i="12"/>
  <c r="BT6" i="12"/>
  <c r="BQ6" i="12"/>
  <c r="BN6" i="12"/>
  <c r="BK6" i="12"/>
  <c r="AM6" i="12"/>
  <c r="AJ6" i="12"/>
  <c r="Z6" i="12"/>
  <c r="K6" i="12"/>
  <c r="H6" i="12"/>
  <c r="HE5" i="12"/>
  <c r="DA5" i="12"/>
  <c r="CX5" i="12"/>
  <c r="CU5" i="12"/>
  <c r="CR5" i="12"/>
  <c r="CO5" i="12"/>
  <c r="CL5" i="12"/>
  <c r="CL2" i="12" s="1"/>
  <c r="CI5" i="12"/>
  <c r="CF5" i="12"/>
  <c r="CC5" i="12"/>
  <c r="BZ5" i="12"/>
  <c r="BW5" i="12"/>
  <c r="BT5" i="12"/>
  <c r="BQ5" i="12"/>
  <c r="BQ2" i="12" s="1"/>
  <c r="BN5" i="12"/>
  <c r="BK5" i="12"/>
  <c r="BK2" i="12" s="1"/>
  <c r="BH5" i="12"/>
  <c r="BE5" i="12"/>
  <c r="BB5" i="12"/>
  <c r="AY5" i="12"/>
  <c r="AV5" i="12"/>
  <c r="AS5" i="12"/>
  <c r="AP5" i="12"/>
  <c r="AM5" i="12"/>
  <c r="AM2" i="12" s="1"/>
  <c r="AJ5" i="12"/>
  <c r="AG5" i="12"/>
  <c r="AF5" i="12"/>
  <c r="AE5" i="12"/>
  <c r="AD5" i="12"/>
  <c r="AC5" i="12"/>
  <c r="AC33" i="12" s="1"/>
  <c r="Z5" i="12"/>
  <c r="Z19" i="12" s="1"/>
  <c r="W5" i="12"/>
  <c r="T5" i="12"/>
  <c r="Q5" i="12"/>
  <c r="N5" i="12"/>
  <c r="K5" i="12"/>
  <c r="H5" i="12"/>
  <c r="E5" i="12"/>
  <c r="E22" i="12" s="1"/>
  <c r="H67" i="11"/>
  <c r="H66" i="11"/>
  <c r="H65" i="11"/>
  <c r="H64" i="11"/>
  <c r="H63" i="11"/>
  <c r="H62" i="11"/>
  <c r="H55" i="11" s="1"/>
  <c r="H61" i="11"/>
  <c r="H60" i="11"/>
  <c r="H58" i="11"/>
  <c r="H57" i="11"/>
  <c r="H56" i="11"/>
  <c r="H54" i="11"/>
  <c r="K53" i="11"/>
  <c r="K51" i="11" s="1"/>
  <c r="H53" i="11"/>
  <c r="K52" i="11"/>
  <c r="E51" i="11"/>
  <c r="K50" i="11"/>
  <c r="E50" i="11"/>
  <c r="H49" i="11"/>
  <c r="H48" i="11"/>
  <c r="H46" i="11" s="1"/>
  <c r="E48" i="11"/>
  <c r="H47" i="11"/>
  <c r="E47" i="11"/>
  <c r="DA46" i="11"/>
  <c r="E46" i="11"/>
  <c r="K45" i="11"/>
  <c r="E45" i="11"/>
  <c r="DA44" i="11"/>
  <c r="Z44" i="11"/>
  <c r="K44" i="11"/>
  <c r="E44" i="11"/>
  <c r="DA43" i="11"/>
  <c r="CU43" i="11"/>
  <c r="Z43" i="11"/>
  <c r="K43" i="11"/>
  <c r="H43" i="11"/>
  <c r="B43" i="11"/>
  <c r="CO5" i="11" s="1"/>
  <c r="CR5" i="11" s="1"/>
  <c r="DA42" i="11"/>
  <c r="CU42" i="11"/>
  <c r="Z42" i="11"/>
  <c r="K42" i="11"/>
  <c r="B42" i="11"/>
  <c r="HE41" i="11"/>
  <c r="DA41" i="11"/>
  <c r="CU41" i="11"/>
  <c r="K41" i="11"/>
  <c r="HE40" i="11"/>
  <c r="DA40" i="11"/>
  <c r="CU40" i="11"/>
  <c r="K40" i="11"/>
  <c r="H40" i="11"/>
  <c r="HE39" i="11"/>
  <c r="DA39" i="11"/>
  <c r="CU39" i="11"/>
  <c r="H39" i="11"/>
  <c r="HE38" i="11"/>
  <c r="DA38" i="11"/>
  <c r="CU38" i="11"/>
  <c r="K38" i="11"/>
  <c r="H38" i="11"/>
  <c r="DA37" i="11"/>
  <c r="CU37" i="11"/>
  <c r="AG37" i="11"/>
  <c r="K37" i="11"/>
  <c r="H37" i="11"/>
  <c r="HE36" i="11"/>
  <c r="DA36" i="11"/>
  <c r="CU36" i="11"/>
  <c r="Z36" i="11"/>
  <c r="W36" i="11"/>
  <c r="K36" i="11"/>
  <c r="H36" i="11"/>
  <c r="E36" i="11"/>
  <c r="HE35" i="11"/>
  <c r="DA35" i="11"/>
  <c r="CU35" i="11"/>
  <c r="BN35" i="11"/>
  <c r="BK35" i="11"/>
  <c r="BE35" i="11"/>
  <c r="BB35" i="11"/>
  <c r="AV35" i="11"/>
  <c r="AS35" i="11"/>
  <c r="AM35" i="11"/>
  <c r="AJ35" i="11"/>
  <c r="AE35" i="11"/>
  <c r="AD35" i="11"/>
  <c r="AC35" i="11"/>
  <c r="Z35" i="11"/>
  <c r="W35" i="11"/>
  <c r="Q35" i="11"/>
  <c r="N35" i="11"/>
  <c r="K35" i="11"/>
  <c r="H35" i="11"/>
  <c r="E35" i="11"/>
  <c r="HE34" i="11"/>
  <c r="DA34" i="11"/>
  <c r="DA23" i="11" s="1"/>
  <c r="CU34" i="11"/>
  <c r="BN34" i="11"/>
  <c r="BK34" i="11"/>
  <c r="BE34" i="11"/>
  <c r="BB34" i="11"/>
  <c r="AV34" i="11"/>
  <c r="AS34" i="11"/>
  <c r="AM34" i="11"/>
  <c r="AJ34" i="11"/>
  <c r="Q34" i="11"/>
  <c r="N34" i="11"/>
  <c r="K34" i="11"/>
  <c r="K46" i="11" s="1"/>
  <c r="K11" i="11" s="1"/>
  <c r="H34" i="11"/>
  <c r="E34" i="11"/>
  <c r="B34" i="11"/>
  <c r="DA33" i="11"/>
  <c r="CU33" i="11"/>
  <c r="BN33" i="11"/>
  <c r="BK33" i="11"/>
  <c r="BE33" i="11"/>
  <c r="BB33" i="11"/>
  <c r="AV33" i="11"/>
  <c r="AS33" i="11"/>
  <c r="AM33" i="11"/>
  <c r="AJ33" i="11"/>
  <c r="Z33" i="11"/>
  <c r="W33" i="11"/>
  <c r="Q33" i="11"/>
  <c r="N33" i="11"/>
  <c r="K33" i="11"/>
  <c r="H33" i="11"/>
  <c r="E33" i="11"/>
  <c r="B33" i="11"/>
  <c r="AF36" i="11" s="1"/>
  <c r="HE32" i="11"/>
  <c r="DA32" i="11"/>
  <c r="CU32" i="11"/>
  <c r="CU44" i="11" s="1"/>
  <c r="BZ32" i="11"/>
  <c r="BN32" i="11"/>
  <c r="BK32" i="11"/>
  <c r="BE32" i="11"/>
  <c r="BB32" i="11"/>
  <c r="AV32" i="11"/>
  <c r="AS32" i="11"/>
  <c r="AM32" i="11"/>
  <c r="AJ32" i="11"/>
  <c r="Z32" i="11"/>
  <c r="W32" i="11"/>
  <c r="K32" i="11"/>
  <c r="H32" i="11"/>
  <c r="E32" i="11"/>
  <c r="B32" i="11"/>
  <c r="HE31" i="11"/>
  <c r="DA31" i="11"/>
  <c r="CU31" i="11"/>
  <c r="CF31" i="11"/>
  <c r="CC31" i="11"/>
  <c r="BZ31" i="11"/>
  <c r="BN31" i="11"/>
  <c r="BK31" i="11"/>
  <c r="BE31" i="11"/>
  <c r="BB31" i="11"/>
  <c r="AV31" i="11"/>
  <c r="AS31" i="11"/>
  <c r="AM31" i="11"/>
  <c r="AJ31" i="11"/>
  <c r="Z31" i="11"/>
  <c r="W31" i="11"/>
  <c r="K31" i="11"/>
  <c r="H31" i="11"/>
  <c r="HE30" i="11"/>
  <c r="DA30" i="11"/>
  <c r="CU30" i="11"/>
  <c r="CU24" i="11" s="1"/>
  <c r="CO30" i="11"/>
  <c r="CF30" i="11"/>
  <c r="CC30" i="11"/>
  <c r="BZ30" i="11"/>
  <c r="BN30" i="11"/>
  <c r="BK30" i="11"/>
  <c r="BE30" i="11"/>
  <c r="BB30" i="11"/>
  <c r="AV30" i="11"/>
  <c r="AS30" i="11"/>
  <c r="AM30" i="11"/>
  <c r="AJ30" i="11"/>
  <c r="Z30" i="11"/>
  <c r="W30" i="11"/>
  <c r="W39" i="11" s="1"/>
  <c r="K30" i="11"/>
  <c r="H30" i="11"/>
  <c r="HE29" i="11"/>
  <c r="DA29" i="11"/>
  <c r="CU29" i="11"/>
  <c r="CO29" i="11"/>
  <c r="CF29" i="11"/>
  <c r="CC29" i="11"/>
  <c r="BZ29" i="11"/>
  <c r="BN29" i="11"/>
  <c r="BK29" i="11"/>
  <c r="BE29" i="11"/>
  <c r="BB29" i="11"/>
  <c r="AV29" i="11"/>
  <c r="AS29" i="11"/>
  <c r="AM29" i="11"/>
  <c r="AM25" i="11" s="1"/>
  <c r="AJ29" i="11"/>
  <c r="AJ25" i="11" s="1"/>
  <c r="Z29" i="11"/>
  <c r="Z28" i="11" s="1"/>
  <c r="W29" i="11"/>
  <c r="W28" i="11" s="1"/>
  <c r="Q29" i="11"/>
  <c r="N29" i="11"/>
  <c r="K29" i="11"/>
  <c r="H29" i="11"/>
  <c r="HE28" i="11"/>
  <c r="DA28" i="11"/>
  <c r="CU28" i="11"/>
  <c r="CO28" i="11"/>
  <c r="CF28" i="11"/>
  <c r="CC28" i="11"/>
  <c r="BZ28" i="11"/>
  <c r="BN28" i="11"/>
  <c r="BK28" i="11"/>
  <c r="BE28" i="11"/>
  <c r="BB28" i="11"/>
  <c r="AV28" i="11"/>
  <c r="AS28" i="11"/>
  <c r="AM28" i="11"/>
  <c r="AJ28" i="11"/>
  <c r="AG28" i="11"/>
  <c r="AF28" i="11"/>
  <c r="AE28" i="11"/>
  <c r="AE27" i="11" s="1"/>
  <c r="AD28" i="11"/>
  <c r="AC28" i="11"/>
  <c r="AC27" i="11" s="1"/>
  <c r="Q28" i="11"/>
  <c r="N28" i="11"/>
  <c r="H28" i="11"/>
  <c r="HE27" i="11"/>
  <c r="HB27" i="11"/>
  <c r="GM27" i="11"/>
  <c r="FI27" i="11"/>
  <c r="ET27" i="11"/>
  <c r="EE27" i="11"/>
  <c r="DA27" i="11"/>
  <c r="CU27" i="11"/>
  <c r="CO27" i="11"/>
  <c r="CF27" i="11"/>
  <c r="CC27" i="11"/>
  <c r="BZ27" i="11"/>
  <c r="BW27" i="11"/>
  <c r="BT27" i="11"/>
  <c r="BN27" i="11"/>
  <c r="BN26" i="11" s="1"/>
  <c r="BK27" i="11"/>
  <c r="BK26" i="11" s="1"/>
  <c r="BE27" i="11"/>
  <c r="BE26" i="11" s="1"/>
  <c r="BB27" i="11"/>
  <c r="BB26" i="11" s="1"/>
  <c r="AV27" i="11"/>
  <c r="AS27" i="11"/>
  <c r="AM27" i="11"/>
  <c r="AJ27" i="11"/>
  <c r="AG27" i="11"/>
  <c r="AF27" i="11"/>
  <c r="AD27" i="11"/>
  <c r="Z27" i="11"/>
  <c r="Z41" i="11" s="1"/>
  <c r="W27" i="11"/>
  <c r="Q27" i="11"/>
  <c r="N27" i="11"/>
  <c r="N26" i="11" s="1"/>
  <c r="K27" i="11"/>
  <c r="H27" i="11"/>
  <c r="HB26" i="11"/>
  <c r="GM26" i="11"/>
  <c r="GM24" i="11" s="1"/>
  <c r="FI26" i="11"/>
  <c r="FI24" i="11" s="1"/>
  <c r="ET26" i="11"/>
  <c r="ET24" i="11" s="1"/>
  <c r="EE26" i="11"/>
  <c r="EE24" i="11" s="1"/>
  <c r="DP26" i="11"/>
  <c r="DP24" i="11" s="1"/>
  <c r="DG26" i="11"/>
  <c r="DA26" i="11"/>
  <c r="CU26" i="11"/>
  <c r="CO26" i="11"/>
  <c r="CO24" i="11" s="1"/>
  <c r="CL26" i="11"/>
  <c r="CF26" i="11"/>
  <c r="CC26" i="11"/>
  <c r="BZ26" i="11"/>
  <c r="BW26" i="11"/>
  <c r="BT26" i="11"/>
  <c r="AV26" i="11"/>
  <c r="AS26" i="11"/>
  <c r="AM26" i="11"/>
  <c r="AJ26" i="11"/>
  <c r="Q26" i="11"/>
  <c r="K26" i="11"/>
  <c r="H26" i="11"/>
  <c r="HE25" i="11"/>
  <c r="HB25" i="11"/>
  <c r="HB23" i="11" s="1"/>
  <c r="GM25" i="11"/>
  <c r="GM23" i="11" s="1"/>
  <c r="FI25" i="11"/>
  <c r="FI23" i="11" s="1"/>
  <c r="ET25" i="11"/>
  <c r="ET23" i="11" s="1"/>
  <c r="EE25" i="11"/>
  <c r="DP25" i="11"/>
  <c r="CX25" i="11"/>
  <c r="CO25" i="11"/>
  <c r="CL25" i="11"/>
  <c r="CF25" i="11"/>
  <c r="CF24" i="11" s="1"/>
  <c r="CC25" i="11"/>
  <c r="BZ25" i="11"/>
  <c r="BZ33" i="11" s="1"/>
  <c r="BW25" i="11"/>
  <c r="BT25" i="11"/>
  <c r="AG25" i="11"/>
  <c r="AF25" i="11"/>
  <c r="AE25" i="11"/>
  <c r="AD25" i="11"/>
  <c r="AC25" i="11"/>
  <c r="E25" i="11"/>
  <c r="HB24" i="11"/>
  <c r="CX24" i="11"/>
  <c r="CL24" i="11"/>
  <c r="CC24" i="11"/>
  <c r="BZ24" i="11"/>
  <c r="BW24" i="11"/>
  <c r="BN24" i="11"/>
  <c r="BK24" i="11"/>
  <c r="BE24" i="11"/>
  <c r="BB24" i="11"/>
  <c r="AV24" i="11"/>
  <c r="AS24" i="11"/>
  <c r="AM24" i="11"/>
  <c r="AM21" i="11" s="1"/>
  <c r="AJ24" i="11"/>
  <c r="AG24" i="11"/>
  <c r="AF24" i="11"/>
  <c r="AE24" i="11"/>
  <c r="AD24" i="11"/>
  <c r="AC24" i="11"/>
  <c r="Q24" i="11"/>
  <c r="Q21" i="11" s="1"/>
  <c r="N24" i="11"/>
  <c r="K24" i="11"/>
  <c r="H24" i="11"/>
  <c r="E24" i="11"/>
  <c r="EE23" i="11"/>
  <c r="DP23" i="11"/>
  <c r="DG23" i="11"/>
  <c r="CR23" i="11"/>
  <c r="CO23" i="11"/>
  <c r="CL23" i="11"/>
  <c r="BZ23" i="11"/>
  <c r="BW23" i="11"/>
  <c r="AG23" i="11"/>
  <c r="AF23" i="11"/>
  <c r="AE23" i="11"/>
  <c r="AD23" i="11"/>
  <c r="AC23" i="11"/>
  <c r="K23" i="11"/>
  <c r="H23" i="11"/>
  <c r="HB22" i="11"/>
  <c r="HB16" i="11" s="1"/>
  <c r="GM22" i="11"/>
  <c r="GM16" i="11" s="1"/>
  <c r="FI22" i="11"/>
  <c r="FI16" i="11" s="1"/>
  <c r="ET22" i="11"/>
  <c r="ET16" i="11" s="1"/>
  <c r="EE22" i="11"/>
  <c r="DP22" i="11"/>
  <c r="DD22" i="11"/>
  <c r="CO22" i="11"/>
  <c r="CL22" i="11"/>
  <c r="CF22" i="11"/>
  <c r="CC22" i="11"/>
  <c r="BZ22" i="11"/>
  <c r="BW22" i="11"/>
  <c r="K22" i="11"/>
  <c r="HB21" i="11"/>
  <c r="GM21" i="11"/>
  <c r="FI21" i="11"/>
  <c r="ET21" i="11"/>
  <c r="EE21" i="11"/>
  <c r="DP21" i="11"/>
  <c r="DD21" i="11"/>
  <c r="BZ21" i="11"/>
  <c r="BW21" i="11"/>
  <c r="AG21" i="11"/>
  <c r="AF21" i="11"/>
  <c r="AE21" i="11"/>
  <c r="AD21" i="11"/>
  <c r="AC21" i="11"/>
  <c r="K21" i="11"/>
  <c r="HB20" i="11"/>
  <c r="GM20" i="11"/>
  <c r="FI20" i="11"/>
  <c r="ET20" i="11"/>
  <c r="EE20" i="11"/>
  <c r="EE16" i="11" s="1"/>
  <c r="DP20" i="11"/>
  <c r="DP11" i="11" s="1"/>
  <c r="DG20" i="11"/>
  <c r="DG11" i="11" s="1"/>
  <c r="DD20" i="11"/>
  <c r="BZ20" i="11"/>
  <c r="BW20" i="11"/>
  <c r="BW12" i="11" s="1"/>
  <c r="BW10" i="11" s="1"/>
  <c r="BT20" i="11"/>
  <c r="AG20" i="11"/>
  <c r="AF20" i="11"/>
  <c r="AE20" i="11"/>
  <c r="AD20" i="11"/>
  <c r="AC20" i="11"/>
  <c r="H20" i="11"/>
  <c r="HB19" i="11"/>
  <c r="GM19" i="11"/>
  <c r="GA19" i="11"/>
  <c r="FL19" i="11"/>
  <c r="FI19" i="11"/>
  <c r="EW19" i="11"/>
  <c r="ET19" i="11"/>
  <c r="EH19" i="11"/>
  <c r="EE19" i="11"/>
  <c r="DS19" i="11"/>
  <c r="DP19" i="11"/>
  <c r="CX19" i="11"/>
  <c r="CL19" i="11"/>
  <c r="BZ19" i="11"/>
  <c r="BW19" i="11"/>
  <c r="BT19" i="11"/>
  <c r="AG19" i="11"/>
  <c r="AF19" i="11"/>
  <c r="AE19" i="11"/>
  <c r="AD19" i="11"/>
  <c r="AC19" i="11"/>
  <c r="H19" i="11"/>
  <c r="HB18" i="11"/>
  <c r="GP18" i="11"/>
  <c r="GP17" i="11" s="1"/>
  <c r="GM18" i="11"/>
  <c r="GA18" i="11"/>
  <c r="FL18" i="11"/>
  <c r="FI18" i="11"/>
  <c r="EW18" i="11"/>
  <c r="ET18" i="11"/>
  <c r="EH18" i="11"/>
  <c r="EE18" i="11"/>
  <c r="DS18" i="11"/>
  <c r="DP18" i="11"/>
  <c r="CX18" i="11"/>
  <c r="BZ18" i="11"/>
  <c r="BZ16" i="11" s="1"/>
  <c r="BW18" i="11"/>
  <c r="BT18" i="11"/>
  <c r="AG18" i="11"/>
  <c r="AF18" i="11"/>
  <c r="AE18" i="11"/>
  <c r="AD18" i="11"/>
  <c r="AC18" i="11"/>
  <c r="H18" i="11"/>
  <c r="E18" i="11"/>
  <c r="HB17" i="11"/>
  <c r="GM17" i="11"/>
  <c r="FI17" i="11"/>
  <c r="ET17" i="11"/>
  <c r="EE17" i="11"/>
  <c r="DP17" i="11"/>
  <c r="DD17" i="11"/>
  <c r="DM9" i="11" s="1"/>
  <c r="CX17" i="11"/>
  <c r="BW17" i="11"/>
  <c r="BT17" i="11"/>
  <c r="AG17" i="11"/>
  <c r="AF17" i="11"/>
  <c r="AE17" i="11"/>
  <c r="AD17" i="11"/>
  <c r="AC17" i="11"/>
  <c r="H17" i="11"/>
  <c r="E17" i="11"/>
  <c r="GA16" i="11"/>
  <c r="FL16" i="11"/>
  <c r="EW16" i="11"/>
  <c r="EH16" i="11"/>
  <c r="DD16" i="11"/>
  <c r="CX16" i="11"/>
  <c r="BW16" i="11"/>
  <c r="BT16" i="11"/>
  <c r="BQ16" i="11"/>
  <c r="BN16" i="11"/>
  <c r="BK16" i="11"/>
  <c r="BH16" i="11"/>
  <c r="BE16" i="11"/>
  <c r="BB16" i="11"/>
  <c r="AY16" i="11"/>
  <c r="AV16" i="11"/>
  <c r="AS16" i="11"/>
  <c r="AP16" i="11"/>
  <c r="AM16" i="11"/>
  <c r="AJ16" i="11"/>
  <c r="AG16" i="11"/>
  <c r="AF16" i="11"/>
  <c r="AE16" i="11"/>
  <c r="AD16" i="11"/>
  <c r="AC16" i="11"/>
  <c r="T16" i="11"/>
  <c r="Q16" i="11"/>
  <c r="N16" i="11"/>
  <c r="E16" i="11"/>
  <c r="HB15" i="11"/>
  <c r="GP15" i="11"/>
  <c r="GM15" i="11"/>
  <c r="FI15" i="11"/>
  <c r="ET15" i="11"/>
  <c r="DP15" i="11"/>
  <c r="DD15" i="11"/>
  <c r="CX15" i="11"/>
  <c r="BT15" i="11"/>
  <c r="BQ15" i="11"/>
  <c r="BN15" i="11"/>
  <c r="BK15" i="11"/>
  <c r="BH15" i="11"/>
  <c r="BE15" i="11"/>
  <c r="BB15" i="11"/>
  <c r="AY15" i="11"/>
  <c r="AV15" i="11"/>
  <c r="AS15" i="11"/>
  <c r="AP15" i="11"/>
  <c r="AM15" i="11"/>
  <c r="AJ15" i="11"/>
  <c r="T15" i="11"/>
  <c r="Q15" i="11"/>
  <c r="N15" i="11"/>
  <c r="E15" i="11"/>
  <c r="HE14" i="11"/>
  <c r="HB14" i="11"/>
  <c r="GP14" i="11"/>
  <c r="GY14" i="11" s="1"/>
  <c r="GM14" i="11"/>
  <c r="GA14" i="11"/>
  <c r="GJ14" i="11" s="1"/>
  <c r="FL14" i="11"/>
  <c r="FU7" i="11" s="1"/>
  <c r="FI14" i="11"/>
  <c r="EW14" i="11"/>
  <c r="FF14" i="11" s="1"/>
  <c r="ET14" i="11"/>
  <c r="EH14" i="11"/>
  <c r="EQ14" i="11" s="1"/>
  <c r="EE14" i="11"/>
  <c r="EB14" i="11"/>
  <c r="DY14" i="11"/>
  <c r="DS14" i="11"/>
  <c r="EB15" i="11" s="1"/>
  <c r="DP14" i="11"/>
  <c r="DD14" i="11"/>
  <c r="CX14" i="11"/>
  <c r="CI14" i="11"/>
  <c r="CF14" i="11"/>
  <c r="CC14" i="11"/>
  <c r="BW14" i="11"/>
  <c r="BT14" i="11"/>
  <c r="BQ14" i="11"/>
  <c r="BN14" i="11"/>
  <c r="BK14" i="11"/>
  <c r="BH14" i="11"/>
  <c r="BE14" i="11"/>
  <c r="BB14" i="11"/>
  <c r="AY14" i="11"/>
  <c r="AV14" i="11"/>
  <c r="AS14" i="11"/>
  <c r="AP14" i="11"/>
  <c r="AM14" i="11"/>
  <c r="AJ14" i="11"/>
  <c r="AG14" i="11"/>
  <c r="AF14" i="11"/>
  <c r="AE14" i="11"/>
  <c r="AD14" i="11"/>
  <c r="AC14" i="11"/>
  <c r="Z14" i="11"/>
  <c r="W14" i="11"/>
  <c r="T14" i="11"/>
  <c r="Q14" i="11"/>
  <c r="N14" i="11"/>
  <c r="E14" i="11"/>
  <c r="HB13" i="11"/>
  <c r="GY13" i="11"/>
  <c r="GV13" i="11"/>
  <c r="GP13" i="11"/>
  <c r="GM13" i="11"/>
  <c r="GJ13" i="11"/>
  <c r="GG13" i="11"/>
  <c r="GA13" i="11"/>
  <c r="FL13" i="11"/>
  <c r="FI13" i="11"/>
  <c r="FF13" i="11"/>
  <c r="FC13" i="11"/>
  <c r="EW13" i="11"/>
  <c r="ET13" i="11"/>
  <c r="EQ13" i="11"/>
  <c r="EN13" i="11"/>
  <c r="EH13" i="11"/>
  <c r="EE13" i="11"/>
  <c r="EB13" i="11"/>
  <c r="DY13" i="11"/>
  <c r="DS13" i="11"/>
  <c r="DP13" i="11"/>
  <c r="DD13" i="11"/>
  <c r="CX13" i="11"/>
  <c r="CU13" i="11"/>
  <c r="CU12" i="11" s="1"/>
  <c r="CO13" i="11"/>
  <c r="CI13" i="11"/>
  <c r="CF13" i="11"/>
  <c r="CC13" i="11"/>
  <c r="BW13" i="11"/>
  <c r="BT13" i="11"/>
  <c r="BQ13" i="11"/>
  <c r="BN13" i="11"/>
  <c r="BK13" i="11"/>
  <c r="BH13" i="11"/>
  <c r="BE13" i="11"/>
  <c r="BB13" i="11"/>
  <c r="AY13" i="11"/>
  <c r="AV13" i="11"/>
  <c r="AS13" i="11"/>
  <c r="AP13" i="11"/>
  <c r="AM13" i="11"/>
  <c r="AJ13" i="11"/>
  <c r="AG13" i="11"/>
  <c r="AF13" i="11"/>
  <c r="Z13" i="11"/>
  <c r="W13" i="11"/>
  <c r="T13" i="11"/>
  <c r="Q13" i="11"/>
  <c r="K13" i="11"/>
  <c r="E13" i="11"/>
  <c r="HB12" i="11"/>
  <c r="GY12" i="11"/>
  <c r="GV12" i="11"/>
  <c r="GP12" i="11"/>
  <c r="GM12" i="11"/>
  <c r="GJ12" i="11"/>
  <c r="GG12" i="11"/>
  <c r="GA12" i="11"/>
  <c r="FL12" i="11"/>
  <c r="FI12" i="11"/>
  <c r="FF12" i="11"/>
  <c r="FC12" i="11"/>
  <c r="EW12" i="11"/>
  <c r="EW7" i="11" s="1"/>
  <c r="ET12" i="11"/>
  <c r="EQ12" i="11"/>
  <c r="EN12" i="11"/>
  <c r="EH12" i="11"/>
  <c r="EE12" i="11"/>
  <c r="EB12" i="11"/>
  <c r="DY12" i="11"/>
  <c r="DS12" i="11"/>
  <c r="DS7" i="11" s="1"/>
  <c r="DS2" i="11" s="1"/>
  <c r="DP12" i="11"/>
  <c r="DD12" i="11"/>
  <c r="DA12" i="11"/>
  <c r="DA11" i="11" s="1"/>
  <c r="CX12" i="11"/>
  <c r="CO12" i="11"/>
  <c r="CI12" i="11"/>
  <c r="CF12" i="11"/>
  <c r="CC12" i="11"/>
  <c r="BZ12" i="11"/>
  <c r="BZ11" i="11" s="1"/>
  <c r="BT12" i="11"/>
  <c r="BQ12" i="11"/>
  <c r="BN12" i="11"/>
  <c r="BK12" i="11"/>
  <c r="BN25" i="11" s="1"/>
  <c r="BH12" i="11"/>
  <c r="BE12" i="11"/>
  <c r="BB12" i="11"/>
  <c r="AY12" i="11"/>
  <c r="AV12" i="11"/>
  <c r="AS12" i="11"/>
  <c r="AP12" i="11"/>
  <c r="AM12" i="11"/>
  <c r="AJ12" i="11"/>
  <c r="AG12" i="11"/>
  <c r="AF12" i="11"/>
  <c r="K12" i="11"/>
  <c r="E12" i="11"/>
  <c r="HE11" i="11"/>
  <c r="HB11" i="11"/>
  <c r="GY11" i="11"/>
  <c r="GV11" i="11"/>
  <c r="GP11" i="11"/>
  <c r="GM11" i="11"/>
  <c r="GJ11" i="11"/>
  <c r="GG11" i="11"/>
  <c r="GA11" i="11"/>
  <c r="FL11" i="11"/>
  <c r="FI11" i="11"/>
  <c r="FF11" i="11"/>
  <c r="FC11" i="11"/>
  <c r="EW11" i="11"/>
  <c r="ET11" i="11"/>
  <c r="EQ11" i="11"/>
  <c r="EN11" i="11"/>
  <c r="EH11" i="11"/>
  <c r="EE11" i="11"/>
  <c r="EB11" i="11"/>
  <c r="DY11" i="11"/>
  <c r="DS11" i="11"/>
  <c r="DD11" i="11"/>
  <c r="CO11" i="11"/>
  <c r="CI11" i="11"/>
  <c r="CF11" i="11"/>
  <c r="CC11" i="11"/>
  <c r="BQ11" i="11"/>
  <c r="BN11" i="11"/>
  <c r="BK11" i="11"/>
  <c r="BH11" i="11"/>
  <c r="BE11" i="11"/>
  <c r="BB11" i="11"/>
  <c r="AY11" i="11"/>
  <c r="AV11" i="11"/>
  <c r="AS11" i="11"/>
  <c r="AP11" i="11"/>
  <c r="AM11" i="11"/>
  <c r="AJ11" i="11"/>
  <c r="AG11" i="11"/>
  <c r="AG26" i="11" s="1"/>
  <c r="AG30" i="11" s="1"/>
  <c r="AF11" i="11"/>
  <c r="AF26" i="11" s="1"/>
  <c r="AF30" i="11" s="1"/>
  <c r="AE11" i="11"/>
  <c r="AE26" i="11" s="1"/>
  <c r="AD11" i="11"/>
  <c r="AD26" i="11" s="1"/>
  <c r="AD30" i="11" s="1"/>
  <c r="AC11" i="11"/>
  <c r="AC26" i="11" s="1"/>
  <c r="Z11" i="11"/>
  <c r="W11" i="11"/>
  <c r="HE10" i="11"/>
  <c r="HB10" i="11"/>
  <c r="GY10" i="11"/>
  <c r="GV10" i="11"/>
  <c r="GP10" i="11"/>
  <c r="GM10" i="11"/>
  <c r="GJ10" i="11"/>
  <c r="GG10" i="11"/>
  <c r="GA10" i="11"/>
  <c r="FL10" i="11"/>
  <c r="FI10" i="11"/>
  <c r="FF10" i="11"/>
  <c r="FC10" i="11"/>
  <c r="EW10" i="11"/>
  <c r="ET10" i="11"/>
  <c r="EQ10" i="11"/>
  <c r="EN10" i="11"/>
  <c r="EH10" i="11"/>
  <c r="EH7" i="11" s="1"/>
  <c r="EE10" i="11"/>
  <c r="EB10" i="11"/>
  <c r="DY10" i="11"/>
  <c r="DS10" i="11"/>
  <c r="DP10" i="11"/>
  <c r="DG10" i="11"/>
  <c r="CX10" i="11"/>
  <c r="CU10" i="11"/>
  <c r="CO10" i="11"/>
  <c r="CI10" i="11"/>
  <c r="CF10" i="11"/>
  <c r="CC10" i="11"/>
  <c r="CC23" i="11" s="1"/>
  <c r="BT10" i="11"/>
  <c r="BQ10" i="11"/>
  <c r="BN10" i="11"/>
  <c r="BK10" i="11"/>
  <c r="BH10" i="11"/>
  <c r="BE10" i="11"/>
  <c r="BB10" i="11"/>
  <c r="BB6" i="11" s="1"/>
  <c r="AY10" i="11"/>
  <c r="AV10" i="11"/>
  <c r="AS10" i="11"/>
  <c r="AV25" i="11" s="1"/>
  <c r="AP10" i="11"/>
  <c r="AP6" i="11" s="1"/>
  <c r="AM10" i="11"/>
  <c r="AJ10" i="11"/>
  <c r="Z10" i="11"/>
  <c r="W10" i="11"/>
  <c r="T10" i="11"/>
  <c r="Q10" i="11"/>
  <c r="N10" i="11"/>
  <c r="K10" i="11"/>
  <c r="E10" i="11"/>
  <c r="BW7" i="11" s="1"/>
  <c r="HE9" i="11"/>
  <c r="HB9" i="11"/>
  <c r="GY9" i="11"/>
  <c r="GV9" i="11"/>
  <c r="GP9" i="11"/>
  <c r="GM9" i="11"/>
  <c r="GJ9" i="11"/>
  <c r="GG9" i="11"/>
  <c r="GA9" i="11"/>
  <c r="FL9" i="11"/>
  <c r="FI9" i="11"/>
  <c r="FF9" i="11"/>
  <c r="FC9" i="11"/>
  <c r="EW9" i="11"/>
  <c r="ET9" i="11"/>
  <c r="EQ9" i="11"/>
  <c r="EN9" i="11"/>
  <c r="EH9" i="11"/>
  <c r="EE9" i="11"/>
  <c r="EB9" i="11"/>
  <c r="DY9" i="11"/>
  <c r="DS9" i="11"/>
  <c r="DP9" i="11"/>
  <c r="DD9" i="11"/>
  <c r="DA9" i="11"/>
  <c r="CX9" i="11"/>
  <c r="CU9" i="11"/>
  <c r="CO9" i="11"/>
  <c r="CO7" i="11" s="1"/>
  <c r="CL9" i="11"/>
  <c r="CI9" i="11"/>
  <c r="CF9" i="11"/>
  <c r="CC9" i="11"/>
  <c r="BZ9" i="11"/>
  <c r="BW9" i="11"/>
  <c r="BT9" i="11"/>
  <c r="BT28" i="11" s="1"/>
  <c r="BT24" i="11" s="1"/>
  <c r="BQ9" i="11"/>
  <c r="BN9" i="11"/>
  <c r="BK9" i="11"/>
  <c r="BH9" i="11"/>
  <c r="BE9" i="11"/>
  <c r="BB9" i="11"/>
  <c r="AY9" i="11"/>
  <c r="AV9" i="11"/>
  <c r="AS9" i="11"/>
  <c r="AP9" i="11"/>
  <c r="AM9" i="11"/>
  <c r="AJ9" i="11"/>
  <c r="AG9" i="11"/>
  <c r="AF9" i="11"/>
  <c r="AE9" i="11"/>
  <c r="AD9" i="11"/>
  <c r="AC9" i="11"/>
  <c r="Z9" i="11"/>
  <c r="W9" i="11"/>
  <c r="N9" i="11"/>
  <c r="K9" i="11"/>
  <c r="H9" i="11"/>
  <c r="E9" i="11"/>
  <c r="HE8" i="11"/>
  <c r="HE7" i="11" s="1"/>
  <c r="HE3" i="11" s="1"/>
  <c r="HB8" i="11"/>
  <c r="GY8" i="11"/>
  <c r="GY6" i="11" s="1"/>
  <c r="GV8" i="11"/>
  <c r="GP8" i="11"/>
  <c r="GM8" i="11"/>
  <c r="GJ8" i="11"/>
  <c r="GG8" i="11"/>
  <c r="GA8" i="11"/>
  <c r="FL8" i="11"/>
  <c r="FL7" i="11" s="1"/>
  <c r="FL2" i="11" s="1"/>
  <c r="FI8" i="11"/>
  <c r="FI6" i="11" s="1"/>
  <c r="FF8" i="11"/>
  <c r="FC8" i="11"/>
  <c r="EW8" i="11"/>
  <c r="ET8" i="11"/>
  <c r="ET6" i="11" s="1"/>
  <c r="EQ8" i="11"/>
  <c r="EQ6" i="11" s="1"/>
  <c r="EN8" i="11"/>
  <c r="EN6" i="11" s="1"/>
  <c r="EH8" i="11"/>
  <c r="EE8" i="11"/>
  <c r="EE6" i="11" s="1"/>
  <c r="EB8" i="11"/>
  <c r="DY8" i="11"/>
  <c r="DS8" i="11"/>
  <c r="DP8" i="11"/>
  <c r="DM8" i="11"/>
  <c r="DM6" i="11" s="1"/>
  <c r="DJ8" i="11"/>
  <c r="DJ6" i="11" s="1"/>
  <c r="DD8" i="11"/>
  <c r="DA8" i="11"/>
  <c r="CX8" i="11"/>
  <c r="CU8" i="11"/>
  <c r="CO8" i="11"/>
  <c r="CL8" i="11"/>
  <c r="CI8" i="11"/>
  <c r="CF8" i="11"/>
  <c r="CF7" i="11" s="1"/>
  <c r="CC8" i="11"/>
  <c r="BZ8" i="11"/>
  <c r="BW8" i="11"/>
  <c r="BT8" i="11"/>
  <c r="BQ8" i="11"/>
  <c r="BN8" i="11"/>
  <c r="BK8" i="11"/>
  <c r="BH8" i="11"/>
  <c r="BE8" i="11"/>
  <c r="BB8" i="11"/>
  <c r="AY8" i="11"/>
  <c r="AV8" i="11"/>
  <c r="AS8" i="11"/>
  <c r="AP8" i="11"/>
  <c r="AM8" i="11"/>
  <c r="AJ8" i="11"/>
  <c r="AJ7" i="11" s="1"/>
  <c r="AG8" i="11"/>
  <c r="AF8" i="11"/>
  <c r="AE8" i="11"/>
  <c r="AD8" i="11"/>
  <c r="AC8" i="11"/>
  <c r="Z8" i="11"/>
  <c r="W8" i="11"/>
  <c r="T8" i="11"/>
  <c r="T7" i="11" s="1"/>
  <c r="Q8" i="11"/>
  <c r="Q7" i="11" s="1"/>
  <c r="N8" i="11"/>
  <c r="N7" i="11" s="1"/>
  <c r="K8" i="11"/>
  <c r="H8" i="11"/>
  <c r="E8" i="11"/>
  <c r="HB7" i="11"/>
  <c r="GY7" i="11"/>
  <c r="GY5" i="11" s="1"/>
  <c r="GV7" i="11"/>
  <c r="GP7" i="11"/>
  <c r="GM7" i="11"/>
  <c r="GJ7" i="11"/>
  <c r="GG7" i="11"/>
  <c r="FI7" i="11"/>
  <c r="FI5" i="11" s="1"/>
  <c r="FF7" i="11"/>
  <c r="FF5" i="11" s="1"/>
  <c r="FC7" i="11"/>
  <c r="ET7" i="11"/>
  <c r="ET5" i="11" s="1"/>
  <c r="EQ7" i="11"/>
  <c r="EQ5" i="11" s="1"/>
  <c r="EN7" i="11"/>
  <c r="EN5" i="11" s="1"/>
  <c r="EE7" i="11"/>
  <c r="EB7" i="11"/>
  <c r="DY7" i="11"/>
  <c r="DM7" i="11"/>
  <c r="DJ7" i="11"/>
  <c r="DA7" i="11"/>
  <c r="CX7" i="11"/>
  <c r="CU7" i="11"/>
  <c r="CL7" i="11"/>
  <c r="CI7" i="11"/>
  <c r="CC7" i="11"/>
  <c r="BZ7" i="11"/>
  <c r="BT7" i="11"/>
  <c r="BQ7" i="11"/>
  <c r="BN7" i="11"/>
  <c r="BK7" i="11"/>
  <c r="BH7" i="11"/>
  <c r="BE7" i="11"/>
  <c r="BB7" i="11"/>
  <c r="AY7" i="11"/>
  <c r="AV7" i="11"/>
  <c r="AS7" i="11"/>
  <c r="AP7" i="11"/>
  <c r="AM7" i="11"/>
  <c r="Z7" i="11"/>
  <c r="W7" i="11"/>
  <c r="W6" i="11" s="1"/>
  <c r="K7" i="11"/>
  <c r="H7" i="11"/>
  <c r="E7" i="11"/>
  <c r="E6" i="11" s="1"/>
  <c r="HB6" i="11"/>
  <c r="GV6" i="11"/>
  <c r="GP6" i="11"/>
  <c r="GM6" i="11"/>
  <c r="GJ6" i="11"/>
  <c r="GG6" i="11"/>
  <c r="GD6" i="11"/>
  <c r="GA6" i="11"/>
  <c r="FU6" i="11"/>
  <c r="FR6" i="11"/>
  <c r="FL6" i="11"/>
  <c r="FF6" i="11"/>
  <c r="FC6" i="11"/>
  <c r="EZ6" i="11"/>
  <c r="EW6" i="11"/>
  <c r="EK6" i="11"/>
  <c r="EH6" i="11"/>
  <c r="EB6" i="11"/>
  <c r="DY6" i="11"/>
  <c r="DV6" i="11"/>
  <c r="DS6" i="11"/>
  <c r="DD6" i="11"/>
  <c r="DA6" i="11"/>
  <c r="DA13" i="11" s="1"/>
  <c r="CX6" i="11"/>
  <c r="CU6" i="11"/>
  <c r="CR6" i="11"/>
  <c r="CO6" i="11"/>
  <c r="CL6" i="11"/>
  <c r="CF6" i="11"/>
  <c r="CC6" i="11"/>
  <c r="BZ6" i="11"/>
  <c r="BW6" i="11"/>
  <c r="BT6" i="11"/>
  <c r="BK6" i="11"/>
  <c r="BH6" i="11"/>
  <c r="BE6" i="11"/>
  <c r="AM6" i="11"/>
  <c r="AJ6" i="11"/>
  <c r="Z6" i="11"/>
  <c r="K6" i="11"/>
  <c r="H6" i="11"/>
  <c r="HE5" i="11"/>
  <c r="HB5" i="11"/>
  <c r="GV5" i="11"/>
  <c r="GS5" i="11"/>
  <c r="GP5" i="11"/>
  <c r="GM5" i="11"/>
  <c r="GJ5" i="11"/>
  <c r="GG5" i="11"/>
  <c r="GD5" i="11"/>
  <c r="GA5" i="11"/>
  <c r="FX5" i="11"/>
  <c r="FU5" i="11"/>
  <c r="FR5" i="11"/>
  <c r="FO5" i="11"/>
  <c r="FL5" i="11"/>
  <c r="FC5" i="11"/>
  <c r="EZ5" i="11"/>
  <c r="EW5" i="11"/>
  <c r="EK5" i="11"/>
  <c r="EH5" i="11"/>
  <c r="EE5" i="11"/>
  <c r="EB5" i="11"/>
  <c r="DY5" i="11"/>
  <c r="DV5" i="11"/>
  <c r="DS5" i="11"/>
  <c r="DM5" i="11"/>
  <c r="DJ5" i="11"/>
  <c r="DD5" i="11"/>
  <c r="DA5" i="11"/>
  <c r="CX5" i="11"/>
  <c r="CU5" i="11"/>
  <c r="CL5" i="11"/>
  <c r="CI5" i="11"/>
  <c r="CF5" i="11"/>
  <c r="CF2" i="11" s="1"/>
  <c r="CC5" i="11"/>
  <c r="BZ5" i="11"/>
  <c r="BW5" i="11"/>
  <c r="BT5" i="11"/>
  <c r="BQ5" i="11"/>
  <c r="BN5" i="11"/>
  <c r="BK5" i="11"/>
  <c r="BK2" i="11" s="1"/>
  <c r="BH5" i="11"/>
  <c r="BH2" i="11" s="1"/>
  <c r="BE5" i="11"/>
  <c r="BB5" i="11"/>
  <c r="AY5" i="11"/>
  <c r="AV5" i="11"/>
  <c r="AS5" i="11"/>
  <c r="AP5" i="11"/>
  <c r="AM5" i="11"/>
  <c r="AJ5" i="11"/>
  <c r="AJ2" i="11" s="1"/>
  <c r="AG5" i="11"/>
  <c r="AF5" i="11"/>
  <c r="AF33" i="11" s="1"/>
  <c r="AE5" i="11"/>
  <c r="AD5" i="11"/>
  <c r="AC5" i="11"/>
  <c r="Z5" i="11"/>
  <c r="W5" i="11"/>
  <c r="T5" i="11"/>
  <c r="T2" i="11" s="1"/>
  <c r="Q5" i="11"/>
  <c r="N5" i="11"/>
  <c r="K5" i="11"/>
  <c r="H5" i="11"/>
  <c r="E5" i="11"/>
  <c r="FX2" i="11"/>
  <c r="H67" i="10"/>
  <c r="H66" i="10"/>
  <c r="H65" i="10"/>
  <c r="H64" i="10"/>
  <c r="H63" i="10"/>
  <c r="H62" i="10"/>
  <c r="H55" i="10" s="1"/>
  <c r="H61" i="10"/>
  <c r="H60" i="10"/>
  <c r="H58" i="10"/>
  <c r="H57" i="10"/>
  <c r="H56" i="10"/>
  <c r="H54" i="10"/>
  <c r="K53" i="10"/>
  <c r="K51" i="10" s="1"/>
  <c r="H53" i="10"/>
  <c r="K52" i="10"/>
  <c r="E51" i="10"/>
  <c r="K50" i="10"/>
  <c r="E50" i="10"/>
  <c r="H49" i="10"/>
  <c r="H48" i="10"/>
  <c r="H46" i="10" s="1"/>
  <c r="E48" i="10"/>
  <c r="H47" i="10"/>
  <c r="E47" i="10"/>
  <c r="DA46" i="10"/>
  <c r="E46" i="10"/>
  <c r="K45" i="10"/>
  <c r="E45" i="10"/>
  <c r="DA44" i="10"/>
  <c r="Z44" i="10"/>
  <c r="K44" i="10"/>
  <c r="E44" i="10"/>
  <c r="DA43" i="10"/>
  <c r="CU43" i="10"/>
  <c r="Z43" i="10"/>
  <c r="K43" i="10"/>
  <c r="H43" i="10"/>
  <c r="B43" i="10"/>
  <c r="CO5" i="10" s="1"/>
  <c r="CR5" i="10" s="1"/>
  <c r="DA42" i="10"/>
  <c r="CU42" i="10"/>
  <c r="Z42" i="10"/>
  <c r="K42" i="10"/>
  <c r="B42" i="10"/>
  <c r="HE41" i="10"/>
  <c r="DA41" i="10"/>
  <c r="CU41" i="10"/>
  <c r="K41" i="10"/>
  <c r="HE40" i="10"/>
  <c r="DA40" i="10"/>
  <c r="CU40" i="10"/>
  <c r="K40" i="10"/>
  <c r="H40" i="10"/>
  <c r="HE39" i="10"/>
  <c r="DA39" i="10"/>
  <c r="CU39" i="10"/>
  <c r="H39" i="10"/>
  <c r="HE38" i="10"/>
  <c r="CU38" i="10"/>
  <c r="K38" i="10"/>
  <c r="H38" i="10"/>
  <c r="DA37" i="10"/>
  <c r="CU37" i="10"/>
  <c r="AG37" i="10"/>
  <c r="K37" i="10"/>
  <c r="H37" i="10"/>
  <c r="HE36" i="10"/>
  <c r="CU36" i="10"/>
  <c r="Z36" i="10"/>
  <c r="W36" i="10"/>
  <c r="K36" i="10"/>
  <c r="H36" i="10"/>
  <c r="E36" i="10"/>
  <c r="HE35" i="10"/>
  <c r="DA35" i="10"/>
  <c r="CU35" i="10"/>
  <c r="BN35" i="10"/>
  <c r="BK35" i="10"/>
  <c r="BE35" i="10"/>
  <c r="BB35" i="10"/>
  <c r="AV35" i="10"/>
  <c r="AS35" i="10"/>
  <c r="AM35" i="10"/>
  <c r="AJ35" i="10"/>
  <c r="AE35" i="10"/>
  <c r="AD35" i="10"/>
  <c r="AC35" i="10"/>
  <c r="Z35" i="10"/>
  <c r="W35" i="10"/>
  <c r="Q35" i="10"/>
  <c r="N35" i="10"/>
  <c r="K35" i="10"/>
  <c r="H35" i="10"/>
  <c r="E35" i="10"/>
  <c r="HE34" i="10"/>
  <c r="DA34" i="10"/>
  <c r="CU34" i="10"/>
  <c r="BN34" i="10"/>
  <c r="BK34" i="10"/>
  <c r="BE34" i="10"/>
  <c r="BB34" i="10"/>
  <c r="AV34" i="10"/>
  <c r="AS34" i="10"/>
  <c r="AM34" i="10"/>
  <c r="AJ34" i="10"/>
  <c r="Q34" i="10"/>
  <c r="N34" i="10"/>
  <c r="K34" i="10"/>
  <c r="K46" i="10" s="1"/>
  <c r="K11" i="10" s="1"/>
  <c r="H34" i="10"/>
  <c r="E34" i="10"/>
  <c r="B34" i="10"/>
  <c r="DA33" i="10"/>
  <c r="CU33" i="10"/>
  <c r="BN33" i="10"/>
  <c r="BK33" i="10"/>
  <c r="BE33" i="10"/>
  <c r="BB33" i="10"/>
  <c r="AV33" i="10"/>
  <c r="AS33" i="10"/>
  <c r="AM33" i="10"/>
  <c r="AJ33" i="10"/>
  <c r="Z33" i="10"/>
  <c r="W33" i="10"/>
  <c r="Q33" i="10"/>
  <c r="N33" i="10"/>
  <c r="K33" i="10"/>
  <c r="H33" i="10"/>
  <c r="E33" i="10"/>
  <c r="B33" i="10"/>
  <c r="AF36" i="10" s="1"/>
  <c r="HE32" i="10"/>
  <c r="DA32" i="10"/>
  <c r="CU32" i="10"/>
  <c r="CU44" i="10" s="1"/>
  <c r="BZ32" i="10"/>
  <c r="BN32" i="10"/>
  <c r="BK32" i="10"/>
  <c r="BE32" i="10"/>
  <c r="BB32" i="10"/>
  <c r="AV32" i="10"/>
  <c r="AS32" i="10"/>
  <c r="AM32" i="10"/>
  <c r="AJ32" i="10"/>
  <c r="Z32" i="10"/>
  <c r="W32" i="10"/>
  <c r="K32" i="10"/>
  <c r="H32" i="10"/>
  <c r="E32" i="10"/>
  <c r="B32" i="10"/>
  <c r="HE31" i="10"/>
  <c r="DA31" i="10"/>
  <c r="CU31" i="10"/>
  <c r="CF31" i="10"/>
  <c r="CC31" i="10"/>
  <c r="BZ31" i="10"/>
  <c r="BN31" i="10"/>
  <c r="BK31" i="10"/>
  <c r="BE31" i="10"/>
  <c r="BB31" i="10"/>
  <c r="AV31" i="10"/>
  <c r="AS31" i="10"/>
  <c r="AM31" i="10"/>
  <c r="AJ31" i="10"/>
  <c r="Z31" i="10"/>
  <c r="W31" i="10"/>
  <c r="K31" i="10"/>
  <c r="H31" i="10"/>
  <c r="HE30" i="10"/>
  <c r="DA30" i="10"/>
  <c r="CU30" i="10"/>
  <c r="CO30" i="10"/>
  <c r="CF30" i="10"/>
  <c r="CC30" i="10"/>
  <c r="BZ30" i="10"/>
  <c r="BN30" i="10"/>
  <c r="BK30" i="10"/>
  <c r="BE30" i="10"/>
  <c r="BB30" i="10"/>
  <c r="AV30" i="10"/>
  <c r="AS30" i="10"/>
  <c r="AM30" i="10"/>
  <c r="AJ30" i="10"/>
  <c r="Z30" i="10"/>
  <c r="W30" i="10"/>
  <c r="K30" i="10"/>
  <c r="H30" i="10"/>
  <c r="H22" i="10" s="1"/>
  <c r="HE29" i="10"/>
  <c r="DA29" i="10"/>
  <c r="CU29" i="10"/>
  <c r="CO29" i="10"/>
  <c r="CF29" i="10"/>
  <c r="CC29" i="10"/>
  <c r="BZ29" i="10"/>
  <c r="BN29" i="10"/>
  <c r="BK29" i="10"/>
  <c r="BE29" i="10"/>
  <c r="BB29" i="10"/>
  <c r="AV29" i="10"/>
  <c r="AS29" i="10"/>
  <c r="AM29" i="10"/>
  <c r="AM25" i="10" s="1"/>
  <c r="AJ29" i="10"/>
  <c r="AJ25" i="10" s="1"/>
  <c r="Z29" i="10"/>
  <c r="Z28" i="10" s="1"/>
  <c r="W29" i="10"/>
  <c r="W28" i="10" s="1"/>
  <c r="Q29" i="10"/>
  <c r="N29" i="10"/>
  <c r="K29" i="10"/>
  <c r="H29" i="10"/>
  <c r="HE28" i="10"/>
  <c r="DA28" i="10"/>
  <c r="CU28" i="10"/>
  <c r="CO28" i="10"/>
  <c r="CF28" i="10"/>
  <c r="CC28" i="10"/>
  <c r="BZ28" i="10"/>
  <c r="BN28" i="10"/>
  <c r="BK28" i="10"/>
  <c r="BE28" i="10"/>
  <c r="BB28" i="10"/>
  <c r="AV28" i="10"/>
  <c r="AS28" i="10"/>
  <c r="AM28" i="10"/>
  <c r="AJ28" i="10"/>
  <c r="AG28" i="10"/>
  <c r="AF28" i="10"/>
  <c r="AE28" i="10"/>
  <c r="AD28" i="10"/>
  <c r="AD27" i="10" s="1"/>
  <c r="AC28" i="10"/>
  <c r="AC27" i="10" s="1"/>
  <c r="Q28" i="10"/>
  <c r="N28" i="10"/>
  <c r="H28" i="10"/>
  <c r="HE27" i="10"/>
  <c r="DA27" i="10"/>
  <c r="CU27" i="10"/>
  <c r="CO27" i="10"/>
  <c r="CF27" i="10"/>
  <c r="CC27" i="10"/>
  <c r="BZ27" i="10"/>
  <c r="BW27" i="10"/>
  <c r="BT27" i="10"/>
  <c r="BN27" i="10"/>
  <c r="BN26" i="10" s="1"/>
  <c r="BK27" i="10"/>
  <c r="BK26" i="10" s="1"/>
  <c r="BE27" i="10"/>
  <c r="BE26" i="10" s="1"/>
  <c r="BB27" i="10"/>
  <c r="BB26" i="10" s="1"/>
  <c r="AV27" i="10"/>
  <c r="AS27" i="10"/>
  <c r="AM27" i="10"/>
  <c r="AJ27" i="10"/>
  <c r="AG27" i="10"/>
  <c r="AF27" i="10"/>
  <c r="AE27" i="10"/>
  <c r="Z27" i="10"/>
  <c r="W27" i="10"/>
  <c r="Q27" i="10"/>
  <c r="N27" i="10"/>
  <c r="N26" i="10" s="1"/>
  <c r="K27" i="10"/>
  <c r="H27" i="10"/>
  <c r="DA26" i="10"/>
  <c r="CU26" i="10"/>
  <c r="CU24" i="10" s="1"/>
  <c r="CO26" i="10"/>
  <c r="CO24" i="10" s="1"/>
  <c r="CL26" i="10"/>
  <c r="CF26" i="10"/>
  <c r="CC26" i="10"/>
  <c r="BZ26" i="10"/>
  <c r="BW26" i="10"/>
  <c r="BT26" i="10"/>
  <c r="AV26" i="10"/>
  <c r="AS26" i="10"/>
  <c r="AM26" i="10"/>
  <c r="AJ26" i="10"/>
  <c r="Q26" i="10"/>
  <c r="K26" i="10"/>
  <c r="H26" i="10"/>
  <c r="HE25" i="10"/>
  <c r="CX25" i="10"/>
  <c r="CO25" i="10"/>
  <c r="CL25" i="10"/>
  <c r="CF25" i="10"/>
  <c r="CF24" i="10" s="1"/>
  <c r="CC25" i="10"/>
  <c r="BZ25" i="10"/>
  <c r="BZ33" i="10" s="1"/>
  <c r="BW25" i="10"/>
  <c r="BT25" i="10"/>
  <c r="BK25" i="10"/>
  <c r="BE25" i="10"/>
  <c r="BB25" i="10"/>
  <c r="AG25" i="10"/>
  <c r="AF25" i="10"/>
  <c r="AE25" i="10"/>
  <c r="AD25" i="10"/>
  <c r="AC25" i="10"/>
  <c r="E25" i="10"/>
  <c r="CX24" i="10"/>
  <c r="CL24" i="10"/>
  <c r="CC24" i="10"/>
  <c r="BZ24" i="10"/>
  <c r="BW24" i="10"/>
  <c r="BN24" i="10"/>
  <c r="BK24" i="10"/>
  <c r="BE24" i="10"/>
  <c r="BB24" i="10"/>
  <c r="AV24" i="10"/>
  <c r="AS24" i="10"/>
  <c r="AM24" i="10"/>
  <c r="AJ24" i="10"/>
  <c r="AG24" i="10"/>
  <c r="AF24" i="10"/>
  <c r="AE24" i="10"/>
  <c r="AD24" i="10"/>
  <c r="AC24" i="10"/>
  <c r="Q24" i="10"/>
  <c r="N24" i="10"/>
  <c r="K24" i="10"/>
  <c r="H24" i="10"/>
  <c r="E24" i="10"/>
  <c r="CR23" i="10"/>
  <c r="CO23" i="10"/>
  <c r="CL23" i="10"/>
  <c r="CF23" i="10"/>
  <c r="BZ23" i="10"/>
  <c r="BW23" i="10"/>
  <c r="AG23" i="10"/>
  <c r="AF23" i="10"/>
  <c r="AE23" i="10"/>
  <c r="AD23" i="10"/>
  <c r="AC23" i="10"/>
  <c r="K23" i="10"/>
  <c r="H23" i="10"/>
  <c r="CR22" i="10"/>
  <c r="CO22" i="10"/>
  <c r="CL22" i="10"/>
  <c r="CL19" i="10" s="1"/>
  <c r="CF22" i="10"/>
  <c r="CC22" i="10"/>
  <c r="CC19" i="10" s="1"/>
  <c r="BZ22" i="10"/>
  <c r="BW22" i="10"/>
  <c r="K22" i="10"/>
  <c r="BZ21" i="10"/>
  <c r="BW21" i="10"/>
  <c r="AG21" i="10"/>
  <c r="AF21" i="10"/>
  <c r="AE21" i="10"/>
  <c r="AD21" i="10"/>
  <c r="AC21" i="10"/>
  <c r="K21" i="10"/>
  <c r="BZ20" i="10"/>
  <c r="BW20" i="10"/>
  <c r="BT20" i="10"/>
  <c r="AG20" i="10"/>
  <c r="AF20" i="10"/>
  <c r="AE20" i="10"/>
  <c r="AD20" i="10"/>
  <c r="AC20" i="10"/>
  <c r="H20" i="10"/>
  <c r="CX19" i="10"/>
  <c r="BZ19" i="10"/>
  <c r="BW19" i="10"/>
  <c r="BT19" i="10"/>
  <c r="AG19" i="10"/>
  <c r="AF19" i="10"/>
  <c r="AE19" i="10"/>
  <c r="AD19" i="10"/>
  <c r="AC19" i="10"/>
  <c r="H19" i="10"/>
  <c r="CX18" i="10"/>
  <c r="BZ18" i="10"/>
  <c r="BW18" i="10"/>
  <c r="BT18" i="10"/>
  <c r="AG18" i="10"/>
  <c r="AF18" i="10"/>
  <c r="AE18" i="10"/>
  <c r="AD18" i="10"/>
  <c r="AC18" i="10"/>
  <c r="H18" i="10"/>
  <c r="E18" i="10"/>
  <c r="BW17" i="10"/>
  <c r="BT17" i="10"/>
  <c r="AG17" i="10"/>
  <c r="AF17" i="10"/>
  <c r="AE17" i="10"/>
  <c r="AD17" i="10"/>
  <c r="AC17" i="10"/>
  <c r="H17" i="10"/>
  <c r="E17" i="10"/>
  <c r="BW16" i="10"/>
  <c r="BT16" i="10"/>
  <c r="BQ16" i="10"/>
  <c r="BN16" i="10"/>
  <c r="BK16" i="10"/>
  <c r="BH16" i="10"/>
  <c r="BE16" i="10"/>
  <c r="BB16" i="10"/>
  <c r="AY16" i="10"/>
  <c r="AV16" i="10"/>
  <c r="AS16" i="10"/>
  <c r="AP16" i="10"/>
  <c r="AM16" i="10"/>
  <c r="AJ16" i="10"/>
  <c r="AG16" i="10"/>
  <c r="AF16" i="10"/>
  <c r="AE16" i="10"/>
  <c r="AD16" i="10"/>
  <c r="AC16" i="10"/>
  <c r="T16" i="10"/>
  <c r="Q16" i="10"/>
  <c r="N16" i="10"/>
  <c r="E16" i="10"/>
  <c r="CX15" i="10"/>
  <c r="BT15" i="10"/>
  <c r="BQ15" i="10"/>
  <c r="BN15" i="10"/>
  <c r="BK15" i="10"/>
  <c r="BH15" i="10"/>
  <c r="BE15" i="10"/>
  <c r="BB15" i="10"/>
  <c r="AY15" i="10"/>
  <c r="AV15" i="10"/>
  <c r="AS15" i="10"/>
  <c r="AP15" i="10"/>
  <c r="AM15" i="10"/>
  <c r="AJ15" i="10"/>
  <c r="T15" i="10"/>
  <c r="Q15" i="10"/>
  <c r="N15" i="10"/>
  <c r="E15" i="10"/>
  <c r="HE14" i="10"/>
  <c r="CX14" i="10"/>
  <c r="CI14" i="10"/>
  <c r="CF14" i="10"/>
  <c r="CC14" i="10"/>
  <c r="BW14" i="10"/>
  <c r="BT14" i="10"/>
  <c r="BQ14" i="10"/>
  <c r="BN14" i="10"/>
  <c r="BK14" i="10"/>
  <c r="BH14" i="10"/>
  <c r="BE14" i="10"/>
  <c r="BB14" i="10"/>
  <c r="AY14" i="10"/>
  <c r="AV14" i="10"/>
  <c r="AS14" i="10"/>
  <c r="AP14" i="10"/>
  <c r="AM14" i="10"/>
  <c r="AJ14" i="10"/>
  <c r="AG14" i="10"/>
  <c r="AF14" i="10"/>
  <c r="AE14" i="10"/>
  <c r="AD14" i="10"/>
  <c r="AC14" i="10"/>
  <c r="Z14" i="10"/>
  <c r="W14" i="10"/>
  <c r="T14" i="10"/>
  <c r="Q14" i="10"/>
  <c r="N14" i="10"/>
  <c r="E14" i="10"/>
  <c r="CX13" i="10"/>
  <c r="CU13" i="10"/>
  <c r="CU12" i="10" s="1"/>
  <c r="CO13" i="10"/>
  <c r="CI13" i="10"/>
  <c r="CF13" i="10"/>
  <c r="CC13" i="10"/>
  <c r="BW13" i="10"/>
  <c r="BT13" i="10"/>
  <c r="BQ13" i="10"/>
  <c r="BN13" i="10"/>
  <c r="BK13" i="10"/>
  <c r="BH13" i="10"/>
  <c r="BE13" i="10"/>
  <c r="BB13" i="10"/>
  <c r="AY13" i="10"/>
  <c r="AV13" i="10"/>
  <c r="AS13" i="10"/>
  <c r="AP13" i="10"/>
  <c r="AM13" i="10"/>
  <c r="AJ13" i="10"/>
  <c r="AG13" i="10"/>
  <c r="AF13" i="10"/>
  <c r="Z13" i="10"/>
  <c r="W13" i="10"/>
  <c r="T13" i="10"/>
  <c r="Q13" i="10"/>
  <c r="K13" i="10"/>
  <c r="E13" i="10"/>
  <c r="DA12" i="10"/>
  <c r="DA11" i="10" s="1"/>
  <c r="DA10" i="10" s="1"/>
  <c r="CX12" i="10"/>
  <c r="CO12" i="10"/>
  <c r="CI12" i="10"/>
  <c r="CF12" i="10"/>
  <c r="CC12" i="10"/>
  <c r="BZ12" i="10"/>
  <c r="BZ11" i="10" s="1"/>
  <c r="BT12" i="10"/>
  <c r="BQ12" i="10"/>
  <c r="BN12" i="10"/>
  <c r="BK12" i="10"/>
  <c r="BQ6" i="10" s="1"/>
  <c r="BH12" i="10"/>
  <c r="BE12" i="10"/>
  <c r="BB12" i="10"/>
  <c r="AY12" i="10"/>
  <c r="AV12" i="10"/>
  <c r="AS12" i="10"/>
  <c r="AP12" i="10"/>
  <c r="AM12" i="10"/>
  <c r="AJ12" i="10"/>
  <c r="AG12" i="10"/>
  <c r="AF12" i="10"/>
  <c r="K12" i="10"/>
  <c r="E12" i="10"/>
  <c r="HE11" i="10"/>
  <c r="CO11" i="10"/>
  <c r="CI11" i="10"/>
  <c r="CF11" i="10"/>
  <c r="CC11" i="10"/>
  <c r="BQ11" i="10"/>
  <c r="BN11" i="10"/>
  <c r="BK11" i="10"/>
  <c r="BH11" i="10"/>
  <c r="BE11" i="10"/>
  <c r="BB11" i="10"/>
  <c r="AY11" i="10"/>
  <c r="AV11" i="10"/>
  <c r="AS11" i="10"/>
  <c r="AP11" i="10"/>
  <c r="AM11" i="10"/>
  <c r="AJ11" i="10"/>
  <c r="AG11" i="10"/>
  <c r="AG26" i="10" s="1"/>
  <c r="AG30" i="10" s="1"/>
  <c r="AF11" i="10"/>
  <c r="AF26" i="10" s="1"/>
  <c r="AF30" i="10" s="1"/>
  <c r="AE11" i="10"/>
  <c r="AE26" i="10" s="1"/>
  <c r="AE30" i="10" s="1"/>
  <c r="AD11" i="10"/>
  <c r="AD26" i="10" s="1"/>
  <c r="AC11" i="10"/>
  <c r="AC26" i="10" s="1"/>
  <c r="Z11" i="10"/>
  <c r="W11" i="10"/>
  <c r="HE10" i="10"/>
  <c r="CX10" i="10"/>
  <c r="CU10" i="10"/>
  <c r="CO10" i="10"/>
  <c r="CI10" i="10"/>
  <c r="CF10" i="10"/>
  <c r="CC10" i="10"/>
  <c r="CC23" i="10" s="1"/>
  <c r="BT10" i="10"/>
  <c r="BQ10" i="10"/>
  <c r="BN10" i="10"/>
  <c r="BK10" i="10"/>
  <c r="BH10" i="10"/>
  <c r="BE10" i="10"/>
  <c r="BB10" i="10"/>
  <c r="BB6" i="10" s="1"/>
  <c r="AY10" i="10"/>
  <c r="AV10" i="10"/>
  <c r="AS10" i="10"/>
  <c r="AV25" i="10" s="1"/>
  <c r="AP10" i="10"/>
  <c r="AP6" i="10" s="1"/>
  <c r="AM10" i="10"/>
  <c r="AM6" i="10" s="1"/>
  <c r="AJ10" i="10"/>
  <c r="AJ6" i="10" s="1"/>
  <c r="Z10" i="10"/>
  <c r="W10" i="10"/>
  <c r="T10" i="10"/>
  <c r="Q10" i="10"/>
  <c r="N10" i="10"/>
  <c r="K10" i="10"/>
  <c r="E10" i="10"/>
  <c r="BW7" i="10" s="1"/>
  <c r="HE9" i="10"/>
  <c r="DA9" i="10"/>
  <c r="CX9" i="10"/>
  <c r="CU9" i="10"/>
  <c r="CO9" i="10"/>
  <c r="CO7" i="10" s="1"/>
  <c r="CL9" i="10"/>
  <c r="CI9" i="10"/>
  <c r="CF9" i="10"/>
  <c r="CC9" i="10"/>
  <c r="BZ9" i="10"/>
  <c r="BW9" i="10"/>
  <c r="BT9" i="10"/>
  <c r="BT28" i="10" s="1"/>
  <c r="BQ9" i="10"/>
  <c r="BN9" i="10"/>
  <c r="BK9" i="10"/>
  <c r="BH9" i="10"/>
  <c r="BE9" i="10"/>
  <c r="BB9" i="10"/>
  <c r="AY9" i="10"/>
  <c r="AV9" i="10"/>
  <c r="AS9" i="10"/>
  <c r="AP9" i="10"/>
  <c r="AM9" i="10"/>
  <c r="AJ9" i="10"/>
  <c r="AG9" i="10"/>
  <c r="AF9" i="10"/>
  <c r="AE9" i="10"/>
  <c r="AD9" i="10"/>
  <c r="AC9" i="10"/>
  <c r="Z9" i="10"/>
  <c r="W9" i="10"/>
  <c r="N9" i="10"/>
  <c r="K9" i="10"/>
  <c r="H9" i="10"/>
  <c r="E9" i="10"/>
  <c r="HE8" i="10"/>
  <c r="HE7" i="10" s="1"/>
  <c r="DA8" i="10"/>
  <c r="CX8" i="10"/>
  <c r="CU8" i="10"/>
  <c r="CO8" i="10"/>
  <c r="CL8" i="10"/>
  <c r="CI8" i="10"/>
  <c r="CI7" i="10" s="1"/>
  <c r="CF8" i="10"/>
  <c r="CC8" i="10"/>
  <c r="BZ8" i="10"/>
  <c r="BW8" i="10"/>
  <c r="BT8" i="10"/>
  <c r="BQ8" i="10"/>
  <c r="BN8" i="10"/>
  <c r="BK8" i="10"/>
  <c r="BH8" i="10"/>
  <c r="BE8" i="10"/>
  <c r="BB8" i="10"/>
  <c r="AY8" i="10"/>
  <c r="AV8" i="10"/>
  <c r="AS8" i="10"/>
  <c r="AP8" i="10"/>
  <c r="AP7" i="10" s="1"/>
  <c r="AM8" i="10"/>
  <c r="AJ8" i="10"/>
  <c r="AG8" i="10"/>
  <c r="AF8" i="10"/>
  <c r="AE8" i="10"/>
  <c r="AD8" i="10"/>
  <c r="AC8" i="10"/>
  <c r="Z8" i="10"/>
  <c r="W8" i="10"/>
  <c r="T8" i="10"/>
  <c r="T7" i="10" s="1"/>
  <c r="Q8" i="10"/>
  <c r="Q7" i="10" s="1"/>
  <c r="N8" i="10"/>
  <c r="N7" i="10" s="1"/>
  <c r="K8" i="10"/>
  <c r="H8" i="10"/>
  <c r="E8" i="10"/>
  <c r="DA7" i="10"/>
  <c r="CX7" i="10"/>
  <c r="CU7" i="10"/>
  <c r="CL7" i="10"/>
  <c r="CF7" i="10"/>
  <c r="CC7" i="10"/>
  <c r="BZ7" i="10"/>
  <c r="BT7" i="10"/>
  <c r="BQ7" i="10"/>
  <c r="BN7" i="10"/>
  <c r="BK7" i="10"/>
  <c r="BH7" i="10"/>
  <c r="BE7" i="10"/>
  <c r="BB7" i="10"/>
  <c r="AY7" i="10"/>
  <c r="AV7" i="10"/>
  <c r="AS7" i="10"/>
  <c r="AM7" i="10"/>
  <c r="AJ7" i="10"/>
  <c r="Z7" i="10"/>
  <c r="Z6" i="10" s="1"/>
  <c r="W7" i="10"/>
  <c r="W6" i="10" s="1"/>
  <c r="K7" i="10"/>
  <c r="H7" i="10"/>
  <c r="E7" i="10"/>
  <c r="E6" i="10" s="1"/>
  <c r="DA6" i="10"/>
  <c r="CX6" i="10"/>
  <c r="CU6" i="10"/>
  <c r="CR6" i="10"/>
  <c r="CO6" i="10"/>
  <c r="CL6" i="10"/>
  <c r="CI6" i="10"/>
  <c r="CF6" i="10"/>
  <c r="CC6" i="10"/>
  <c r="BZ6" i="10"/>
  <c r="BW6" i="10"/>
  <c r="BT6" i="10"/>
  <c r="BK6" i="10"/>
  <c r="BH6" i="10"/>
  <c r="BE6" i="10"/>
  <c r="K6" i="10"/>
  <c r="H6" i="10"/>
  <c r="HE5" i="10"/>
  <c r="DA5" i="10"/>
  <c r="CX5" i="10"/>
  <c r="CU5" i="10"/>
  <c r="CL5" i="10"/>
  <c r="CI5" i="10"/>
  <c r="CF5" i="10"/>
  <c r="CF2" i="10" s="1"/>
  <c r="CC5" i="10"/>
  <c r="BZ5" i="10"/>
  <c r="BW5" i="10"/>
  <c r="BT5" i="10"/>
  <c r="BQ5" i="10"/>
  <c r="BN5" i="10"/>
  <c r="BK5" i="10"/>
  <c r="BH5" i="10"/>
  <c r="BH2" i="10" s="1"/>
  <c r="BE5" i="10"/>
  <c r="BB5" i="10"/>
  <c r="AY5" i="10"/>
  <c r="AV5" i="10"/>
  <c r="AS5" i="10"/>
  <c r="AP5" i="10"/>
  <c r="AM5" i="10"/>
  <c r="AJ5" i="10"/>
  <c r="AG5" i="10"/>
  <c r="AF5" i="10"/>
  <c r="AE5" i="10"/>
  <c r="AD5" i="10"/>
  <c r="AC5" i="10"/>
  <c r="Z5" i="10"/>
  <c r="W5" i="10"/>
  <c r="T5" i="10"/>
  <c r="Q5" i="10"/>
  <c r="N5" i="10"/>
  <c r="K5" i="10"/>
  <c r="H5" i="10"/>
  <c r="E5" i="10"/>
  <c r="B108" i="9"/>
  <c r="BW21" i="9" s="1"/>
  <c r="H67" i="9"/>
  <c r="H63" i="9" s="1"/>
  <c r="H66" i="9"/>
  <c r="H65" i="9"/>
  <c r="H64" i="9"/>
  <c r="H62" i="9"/>
  <c r="H61" i="9"/>
  <c r="H60" i="9"/>
  <c r="H58" i="9"/>
  <c r="H57" i="9"/>
  <c r="H56" i="9"/>
  <c r="H54" i="9"/>
  <c r="K53" i="9"/>
  <c r="H53" i="9"/>
  <c r="K52" i="9"/>
  <c r="K50" i="9" s="1"/>
  <c r="K51" i="9"/>
  <c r="E51" i="9"/>
  <c r="E50" i="9"/>
  <c r="H49" i="9"/>
  <c r="H47" i="9" s="1"/>
  <c r="H48" i="9"/>
  <c r="E48" i="9"/>
  <c r="E47" i="9"/>
  <c r="DA46" i="9"/>
  <c r="H46" i="9"/>
  <c r="E46" i="9"/>
  <c r="K45" i="9"/>
  <c r="E45" i="9"/>
  <c r="DA44" i="9"/>
  <c r="Z44" i="9"/>
  <c r="K44" i="9"/>
  <c r="E44" i="9"/>
  <c r="DA43" i="9"/>
  <c r="CU43" i="9"/>
  <c r="CU16" i="9" s="1"/>
  <c r="Z43" i="9"/>
  <c r="K43" i="9"/>
  <c r="H43" i="9"/>
  <c r="DA42" i="9"/>
  <c r="Z42" i="9"/>
  <c r="K42" i="9"/>
  <c r="HE41" i="9"/>
  <c r="DA41" i="9"/>
  <c r="CU41" i="9"/>
  <c r="K41" i="9"/>
  <c r="HE40" i="9"/>
  <c r="DA40" i="9"/>
  <c r="CU40" i="9"/>
  <c r="K40" i="9"/>
  <c r="H40" i="9"/>
  <c r="HE39" i="9"/>
  <c r="DA39" i="9"/>
  <c r="CU39" i="9"/>
  <c r="H39" i="9"/>
  <c r="HE38" i="9"/>
  <c r="CU38" i="9"/>
  <c r="K38" i="9"/>
  <c r="H38" i="9"/>
  <c r="DA37" i="9"/>
  <c r="CU37" i="9"/>
  <c r="K37" i="9"/>
  <c r="H37" i="9"/>
  <c r="HE36" i="9"/>
  <c r="CU36" i="9"/>
  <c r="AF36" i="9"/>
  <c r="Z36" i="9"/>
  <c r="W36" i="9"/>
  <c r="K36" i="9"/>
  <c r="H36" i="9"/>
  <c r="E36" i="9"/>
  <c r="HE35" i="9"/>
  <c r="DA35" i="9"/>
  <c r="CU35" i="9"/>
  <c r="BN35" i="9"/>
  <c r="BK35" i="9"/>
  <c r="BE35" i="9"/>
  <c r="BB35" i="9"/>
  <c r="AV35" i="9"/>
  <c r="AS35" i="9"/>
  <c r="AM35" i="9"/>
  <c r="AJ35" i="9"/>
  <c r="Z35" i="9"/>
  <c r="W35" i="9"/>
  <c r="Q35" i="9"/>
  <c r="N35" i="9"/>
  <c r="K35" i="9"/>
  <c r="H35" i="9"/>
  <c r="E35" i="9"/>
  <c r="HE34" i="9"/>
  <c r="DA34" i="9"/>
  <c r="CU34" i="9"/>
  <c r="BN34" i="9"/>
  <c r="BK34" i="9"/>
  <c r="BE34" i="9"/>
  <c r="BB34" i="9"/>
  <c r="AV34" i="9"/>
  <c r="AS34" i="9"/>
  <c r="AM34" i="9"/>
  <c r="AJ34" i="9"/>
  <c r="Q34" i="9"/>
  <c r="N34" i="9"/>
  <c r="K34" i="9"/>
  <c r="K46" i="9" s="1"/>
  <c r="H34" i="9"/>
  <c r="E34" i="9"/>
  <c r="B34" i="9"/>
  <c r="AG37" i="9" s="1"/>
  <c r="DA33" i="9"/>
  <c r="CU33" i="9"/>
  <c r="BN33" i="9"/>
  <c r="BK33" i="9"/>
  <c r="BE33" i="9"/>
  <c r="BB33" i="9"/>
  <c r="AV33" i="9"/>
  <c r="AS33" i="9"/>
  <c r="AM33" i="9"/>
  <c r="AJ33" i="9"/>
  <c r="Z33" i="9"/>
  <c r="W33" i="9"/>
  <c r="Q33" i="9"/>
  <c r="N33" i="9"/>
  <c r="K33" i="9"/>
  <c r="H33" i="9"/>
  <c r="E33" i="9"/>
  <c r="B33" i="9"/>
  <c r="HE32" i="9"/>
  <c r="DA32" i="9"/>
  <c r="CU32" i="9"/>
  <c r="CU44" i="9" s="1"/>
  <c r="CU11" i="9" s="1"/>
  <c r="BZ32" i="9"/>
  <c r="BN32" i="9"/>
  <c r="BK32" i="9"/>
  <c r="BE32" i="9"/>
  <c r="BB32" i="9"/>
  <c r="AV32" i="9"/>
  <c r="AS32" i="9"/>
  <c r="AM32" i="9"/>
  <c r="AJ32" i="9"/>
  <c r="Z32" i="9"/>
  <c r="W32" i="9"/>
  <c r="K32" i="9"/>
  <c r="H32" i="9"/>
  <c r="H21" i="9" s="1"/>
  <c r="E32" i="9"/>
  <c r="B32" i="9"/>
  <c r="AE35" i="9" s="1"/>
  <c r="HE31" i="9"/>
  <c r="DA31" i="9"/>
  <c r="CU31" i="9"/>
  <c r="CF31" i="9"/>
  <c r="CC31" i="9"/>
  <c r="BZ31" i="9"/>
  <c r="BN31" i="9"/>
  <c r="BK31" i="9"/>
  <c r="BE31" i="9"/>
  <c r="BB31" i="9"/>
  <c r="AV31" i="9"/>
  <c r="AS31" i="9"/>
  <c r="AM31" i="9"/>
  <c r="AJ31" i="9"/>
  <c r="Z31" i="9"/>
  <c r="W31" i="9"/>
  <c r="K31" i="9"/>
  <c r="H31" i="9"/>
  <c r="HE30" i="9"/>
  <c r="DA30" i="9"/>
  <c r="CU30" i="9"/>
  <c r="CO30" i="9"/>
  <c r="CL30" i="9"/>
  <c r="CF30" i="9"/>
  <c r="CC30" i="9"/>
  <c r="BZ30" i="9"/>
  <c r="BN30" i="9"/>
  <c r="BK30" i="9"/>
  <c r="BE30" i="9"/>
  <c r="BB30" i="9"/>
  <c r="AV30" i="9"/>
  <c r="AS30" i="9"/>
  <c r="AM30" i="9"/>
  <c r="AJ30" i="9"/>
  <c r="Z30" i="9"/>
  <c r="W30" i="9"/>
  <c r="K30" i="9"/>
  <c r="H30" i="9"/>
  <c r="HE29" i="9"/>
  <c r="DA29" i="9"/>
  <c r="CU29" i="9"/>
  <c r="CO29" i="9"/>
  <c r="CF29" i="9"/>
  <c r="CC29" i="9"/>
  <c r="BZ29" i="9"/>
  <c r="BN29" i="9"/>
  <c r="BK29" i="9"/>
  <c r="BE29" i="9"/>
  <c r="BB29" i="9"/>
  <c r="AV29" i="9"/>
  <c r="AS29" i="9"/>
  <c r="AM29" i="9"/>
  <c r="AM25" i="9" s="1"/>
  <c r="AJ29" i="9"/>
  <c r="AJ25" i="9" s="1"/>
  <c r="Z29" i="9"/>
  <c r="W29" i="9"/>
  <c r="Q29" i="9"/>
  <c r="N29" i="9"/>
  <c r="K29" i="9"/>
  <c r="H29" i="9"/>
  <c r="HE28" i="9"/>
  <c r="HE27" i="9" s="1"/>
  <c r="DA28" i="9"/>
  <c r="CU28" i="9"/>
  <c r="CO28" i="9"/>
  <c r="CF28" i="9"/>
  <c r="CC28" i="9"/>
  <c r="BZ28" i="9"/>
  <c r="BN28" i="9"/>
  <c r="BK28" i="9"/>
  <c r="BE28" i="9"/>
  <c r="BB28" i="9"/>
  <c r="AV28" i="9"/>
  <c r="AS28" i="9"/>
  <c r="AM28" i="9"/>
  <c r="AJ28" i="9"/>
  <c r="AG28" i="9"/>
  <c r="AG27" i="9" s="1"/>
  <c r="AF28" i="9"/>
  <c r="AF27" i="9" s="1"/>
  <c r="AE28" i="9"/>
  <c r="AD28" i="9"/>
  <c r="AC28" i="9"/>
  <c r="AC27" i="9" s="1"/>
  <c r="Z28" i="9"/>
  <c r="W28" i="9"/>
  <c r="Q28" i="9"/>
  <c r="N28" i="9"/>
  <c r="H28" i="9"/>
  <c r="HB27" i="9"/>
  <c r="GM27" i="9"/>
  <c r="FI27" i="9"/>
  <c r="ET27" i="9"/>
  <c r="EE27" i="9"/>
  <c r="DA27" i="9"/>
  <c r="CU27" i="9"/>
  <c r="CO27" i="9"/>
  <c r="CL27" i="9"/>
  <c r="CL28" i="9" s="1"/>
  <c r="CL29" i="9" s="1"/>
  <c r="CF27" i="9"/>
  <c r="CC27" i="9"/>
  <c r="BZ27" i="9"/>
  <c r="BW27" i="9"/>
  <c r="BT27" i="9"/>
  <c r="BN27" i="9"/>
  <c r="BK27" i="9"/>
  <c r="BE27" i="9"/>
  <c r="BE26" i="9" s="1"/>
  <c r="BB27" i="9"/>
  <c r="BB26" i="9" s="1"/>
  <c r="AV27" i="9"/>
  <c r="AV26" i="9" s="1"/>
  <c r="AS27" i="9"/>
  <c r="AS26" i="9" s="1"/>
  <c r="AM27" i="9"/>
  <c r="AJ27" i="9"/>
  <c r="AE27" i="9"/>
  <c r="AD27" i="9"/>
  <c r="Z27" i="9"/>
  <c r="W27" i="9"/>
  <c r="Q27" i="9"/>
  <c r="N27" i="9"/>
  <c r="K27" i="9"/>
  <c r="H27" i="9"/>
  <c r="HB26" i="9"/>
  <c r="GM26" i="9"/>
  <c r="FI26" i="9"/>
  <c r="ET26" i="9"/>
  <c r="EE26" i="9"/>
  <c r="DP26" i="9"/>
  <c r="DG26" i="9"/>
  <c r="DA26" i="9"/>
  <c r="CU26" i="9"/>
  <c r="CO26" i="9"/>
  <c r="CL26" i="9"/>
  <c r="CF26" i="9"/>
  <c r="CC26" i="9"/>
  <c r="BW26" i="9"/>
  <c r="BT26" i="9"/>
  <c r="BN26" i="9"/>
  <c r="BK26" i="9"/>
  <c r="AM26" i="9"/>
  <c r="AJ26" i="9"/>
  <c r="AG26" i="9"/>
  <c r="AG30" i="9" s="1"/>
  <c r="Q26" i="9"/>
  <c r="Q21" i="9" s="1"/>
  <c r="N26" i="9"/>
  <c r="K26" i="9"/>
  <c r="H26" i="9"/>
  <c r="HE25" i="9"/>
  <c r="HB25" i="9"/>
  <c r="GM25" i="9"/>
  <c r="FI25" i="9"/>
  <c r="FI23" i="9" s="1"/>
  <c r="ET25" i="9"/>
  <c r="ET23" i="9" s="1"/>
  <c r="EE25" i="9"/>
  <c r="DP25" i="9"/>
  <c r="CX25" i="9"/>
  <c r="CO25" i="9"/>
  <c r="CL25" i="9"/>
  <c r="CF25" i="9"/>
  <c r="CF24" i="9" s="1"/>
  <c r="CC25" i="9"/>
  <c r="CC24" i="9" s="1"/>
  <c r="BZ25" i="9"/>
  <c r="BZ33" i="9" s="1"/>
  <c r="BW25" i="9"/>
  <c r="BT25" i="9"/>
  <c r="AG25" i="9"/>
  <c r="AF25" i="9"/>
  <c r="AE25" i="9"/>
  <c r="AD25" i="9"/>
  <c r="AC25" i="9"/>
  <c r="E25" i="9"/>
  <c r="HB24" i="9"/>
  <c r="GM24" i="9"/>
  <c r="FI24" i="9"/>
  <c r="ET24" i="9"/>
  <c r="EE24" i="9"/>
  <c r="DP24" i="9"/>
  <c r="CX24" i="9"/>
  <c r="CO24" i="9"/>
  <c r="CL24" i="9"/>
  <c r="BZ24" i="9"/>
  <c r="BW24" i="9"/>
  <c r="BN24" i="9"/>
  <c r="BK24" i="9"/>
  <c r="BE24" i="9"/>
  <c r="BB24" i="9"/>
  <c r="AV24" i="9"/>
  <c r="AS24" i="9"/>
  <c r="AM24" i="9"/>
  <c r="AJ24" i="9"/>
  <c r="AJ21" i="9" s="1"/>
  <c r="AG24" i="9"/>
  <c r="AF24" i="9"/>
  <c r="AE24" i="9"/>
  <c r="AD24" i="9"/>
  <c r="AC24" i="9"/>
  <c r="Q24" i="9"/>
  <c r="N24" i="9"/>
  <c r="K24" i="9"/>
  <c r="H24" i="9"/>
  <c r="E24" i="9"/>
  <c r="HB23" i="9"/>
  <c r="GM23" i="9"/>
  <c r="EE23" i="9"/>
  <c r="DP23" i="9"/>
  <c r="DG23" i="9"/>
  <c r="CR23" i="9"/>
  <c r="CO23" i="9"/>
  <c r="CL23" i="9"/>
  <c r="BZ23" i="9"/>
  <c r="BW23" i="9"/>
  <c r="AG23" i="9"/>
  <c r="AF23" i="9"/>
  <c r="AE23" i="9"/>
  <c r="AD23" i="9"/>
  <c r="AC23" i="9"/>
  <c r="K23" i="9"/>
  <c r="H23" i="9"/>
  <c r="HB22" i="9"/>
  <c r="GM22" i="9"/>
  <c r="FI22" i="9"/>
  <c r="ET22" i="9"/>
  <c r="EE22" i="9"/>
  <c r="EE16" i="9" s="1"/>
  <c r="DP22" i="9"/>
  <c r="DP16" i="9" s="1"/>
  <c r="DD22" i="9"/>
  <c r="CR22" i="9"/>
  <c r="CO22" i="9"/>
  <c r="CL22" i="9"/>
  <c r="CF22" i="9"/>
  <c r="CC22" i="9"/>
  <c r="BZ22" i="9"/>
  <c r="BW22" i="9"/>
  <c r="K22" i="9"/>
  <c r="HB21" i="9"/>
  <c r="GM21" i="9"/>
  <c r="FI21" i="9"/>
  <c r="ET21" i="9"/>
  <c r="EE21" i="9"/>
  <c r="DP21" i="9"/>
  <c r="DD21" i="9"/>
  <c r="BZ21" i="9"/>
  <c r="AG21" i="9"/>
  <c r="AF21" i="9"/>
  <c r="AE21" i="9"/>
  <c r="AD21" i="9"/>
  <c r="AC21" i="9"/>
  <c r="K21" i="9"/>
  <c r="HB20" i="9"/>
  <c r="HB16" i="9" s="1"/>
  <c r="GM20" i="9"/>
  <c r="GM16" i="9" s="1"/>
  <c r="FI20" i="9"/>
  <c r="FI16" i="9" s="1"/>
  <c r="ET20" i="9"/>
  <c r="EE20" i="9"/>
  <c r="DP20" i="9"/>
  <c r="DG20" i="9"/>
  <c r="DG16" i="9" s="1"/>
  <c r="DG7" i="9" s="1"/>
  <c r="DD20" i="9"/>
  <c r="BZ20" i="9"/>
  <c r="BW20" i="9"/>
  <c r="BT20" i="9"/>
  <c r="AG20" i="9"/>
  <c r="AF20" i="9"/>
  <c r="AE20" i="9"/>
  <c r="AD20" i="9"/>
  <c r="AC20" i="9"/>
  <c r="H20" i="9"/>
  <c r="HB19" i="9"/>
  <c r="GM19" i="9"/>
  <c r="GA19" i="9"/>
  <c r="FL19" i="9"/>
  <c r="FI19" i="9"/>
  <c r="EW19" i="9"/>
  <c r="ET19" i="9"/>
  <c r="EH19" i="9"/>
  <c r="EE19" i="9"/>
  <c r="DS19" i="9"/>
  <c r="DP19" i="9"/>
  <c r="DP11" i="9" s="1"/>
  <c r="DP5" i="9" s="1"/>
  <c r="CX19" i="9"/>
  <c r="CL19" i="9"/>
  <c r="CR19" i="9" s="1"/>
  <c r="BZ19" i="9"/>
  <c r="BW19" i="9"/>
  <c r="AG19" i="9"/>
  <c r="AF19" i="9"/>
  <c r="AE19" i="9"/>
  <c r="AD19" i="9"/>
  <c r="AC19" i="9"/>
  <c r="H19" i="9"/>
  <c r="HB18" i="9"/>
  <c r="GP18" i="9"/>
  <c r="GP17" i="9" s="1"/>
  <c r="GM18" i="9"/>
  <c r="GA18" i="9"/>
  <c r="FL18" i="9"/>
  <c r="FI18" i="9"/>
  <c r="EW18" i="9"/>
  <c r="ET18" i="9"/>
  <c r="EH18" i="9"/>
  <c r="EE18" i="9"/>
  <c r="DS18" i="9"/>
  <c r="DP18" i="9"/>
  <c r="CX18" i="9"/>
  <c r="BZ18" i="9"/>
  <c r="BW18" i="9"/>
  <c r="BT18" i="9"/>
  <c r="AG18" i="9"/>
  <c r="AF18" i="9"/>
  <c r="AE18" i="9"/>
  <c r="AD18" i="9"/>
  <c r="AC18" i="9"/>
  <c r="H18" i="9"/>
  <c r="E18" i="9"/>
  <c r="BT19" i="9" s="1"/>
  <c r="HB17" i="9"/>
  <c r="GM17" i="9"/>
  <c r="FI17" i="9"/>
  <c r="ET17" i="9"/>
  <c r="EE17" i="9"/>
  <c r="DP17" i="9"/>
  <c r="DD17" i="9"/>
  <c r="DM9" i="9" s="1"/>
  <c r="CX17" i="9"/>
  <c r="BW17" i="9"/>
  <c r="BT17" i="9"/>
  <c r="AG17" i="9"/>
  <c r="AF17" i="9"/>
  <c r="AE17" i="9"/>
  <c r="AD17" i="9"/>
  <c r="AC17" i="9"/>
  <c r="H17" i="9"/>
  <c r="E17" i="9"/>
  <c r="GA16" i="9"/>
  <c r="FL16" i="9"/>
  <c r="EW16" i="9"/>
  <c r="ET16" i="9"/>
  <c r="DD16" i="9"/>
  <c r="CX16" i="9"/>
  <c r="BW16" i="9"/>
  <c r="BT16" i="9"/>
  <c r="BQ16" i="9"/>
  <c r="BN16" i="9"/>
  <c r="BK16" i="9"/>
  <c r="BH16" i="9"/>
  <c r="BE16" i="9"/>
  <c r="BB16" i="9"/>
  <c r="AY16" i="9"/>
  <c r="AV16" i="9"/>
  <c r="AS16" i="9"/>
  <c r="AP16" i="9"/>
  <c r="AM16" i="9"/>
  <c r="AJ16" i="9"/>
  <c r="AG16" i="9"/>
  <c r="AF16" i="9"/>
  <c r="AE16" i="9"/>
  <c r="AD16" i="9"/>
  <c r="AC16" i="9"/>
  <c r="T16" i="9"/>
  <c r="Q16" i="9"/>
  <c r="N16" i="9"/>
  <c r="E16" i="9"/>
  <c r="HB15" i="9"/>
  <c r="GP15" i="9"/>
  <c r="GM15" i="9"/>
  <c r="FI15" i="9"/>
  <c r="ET15" i="9"/>
  <c r="EB15" i="9"/>
  <c r="DP15" i="9"/>
  <c r="DD15" i="9"/>
  <c r="CX15" i="9"/>
  <c r="BT15" i="9"/>
  <c r="BQ15" i="9"/>
  <c r="BN15" i="9"/>
  <c r="BK15" i="9"/>
  <c r="BH15" i="9"/>
  <c r="BE15" i="9"/>
  <c r="BB15" i="9"/>
  <c r="AY15" i="9"/>
  <c r="AV15" i="9"/>
  <c r="AS15" i="9"/>
  <c r="AP15" i="9"/>
  <c r="AM15" i="9"/>
  <c r="AJ15" i="9"/>
  <c r="T15" i="9"/>
  <c r="Q15" i="9"/>
  <c r="N15" i="9"/>
  <c r="E15" i="9"/>
  <c r="HE14" i="9"/>
  <c r="HB14" i="9"/>
  <c r="GP14" i="9"/>
  <c r="GY14" i="9" s="1"/>
  <c r="GM14" i="9"/>
  <c r="GJ14" i="9"/>
  <c r="GA14" i="9"/>
  <c r="FL14" i="9"/>
  <c r="FI14" i="9"/>
  <c r="EW14" i="9"/>
  <c r="FF14" i="9" s="1"/>
  <c r="ET14" i="9"/>
  <c r="EQ14" i="9"/>
  <c r="EH14" i="9"/>
  <c r="EE14" i="9"/>
  <c r="EB14" i="9"/>
  <c r="DY14" i="9"/>
  <c r="DS14" i="9"/>
  <c r="DP14" i="9"/>
  <c r="DD14" i="9"/>
  <c r="CX14" i="9"/>
  <c r="CI14" i="9"/>
  <c r="CF14" i="9"/>
  <c r="CC14" i="9"/>
  <c r="BW14" i="9"/>
  <c r="BT14" i="9"/>
  <c r="BQ14" i="9"/>
  <c r="BN14" i="9"/>
  <c r="BK14" i="9"/>
  <c r="BH14" i="9"/>
  <c r="BE14" i="9"/>
  <c r="BB14" i="9"/>
  <c r="AY14" i="9"/>
  <c r="AV14" i="9"/>
  <c r="AS14" i="9"/>
  <c r="AP14" i="9"/>
  <c r="AM14" i="9"/>
  <c r="AJ14" i="9"/>
  <c r="AG14" i="9"/>
  <c r="AF14" i="9"/>
  <c r="AE14" i="9"/>
  <c r="AD14" i="9"/>
  <c r="AC14" i="9"/>
  <c r="Z14" i="9"/>
  <c r="W14" i="9"/>
  <c r="T14" i="9"/>
  <c r="Q14" i="9"/>
  <c r="N14" i="9"/>
  <c r="E14" i="9"/>
  <c r="HB13" i="9"/>
  <c r="GY13" i="9"/>
  <c r="GV13" i="9"/>
  <c r="GP13" i="9"/>
  <c r="GM13" i="9"/>
  <c r="GJ13" i="9"/>
  <c r="GG13" i="9"/>
  <c r="GA13" i="9"/>
  <c r="FL13" i="9"/>
  <c r="FI13" i="9"/>
  <c r="FF13" i="9"/>
  <c r="FC13" i="9"/>
  <c r="EW13" i="9"/>
  <c r="ET13" i="9"/>
  <c r="EQ13" i="9"/>
  <c r="EN13" i="9"/>
  <c r="EH13" i="9"/>
  <c r="EE13" i="9"/>
  <c r="EB13" i="9"/>
  <c r="DY13" i="9"/>
  <c r="DS13" i="9"/>
  <c r="DP13" i="9"/>
  <c r="DD13" i="9"/>
  <c r="CX13" i="9"/>
  <c r="CU13" i="9"/>
  <c r="CO13" i="9"/>
  <c r="CL13" i="9"/>
  <c r="CI13" i="9"/>
  <c r="CF13" i="9"/>
  <c r="CC13" i="9"/>
  <c r="BW13" i="9"/>
  <c r="BT13" i="9"/>
  <c r="BQ13" i="9"/>
  <c r="BN13" i="9"/>
  <c r="BK13" i="9"/>
  <c r="BH13" i="9"/>
  <c r="BE13" i="9"/>
  <c r="BB13" i="9"/>
  <c r="AY13" i="9"/>
  <c r="AV13" i="9"/>
  <c r="AS13" i="9"/>
  <c r="AP13" i="9"/>
  <c r="AM13" i="9"/>
  <c r="AJ13" i="9"/>
  <c r="AG13" i="9"/>
  <c r="AF13" i="9"/>
  <c r="Z13" i="9"/>
  <c r="W13" i="9"/>
  <c r="T13" i="9"/>
  <c r="Q13" i="9"/>
  <c r="K13" i="9"/>
  <c r="K12" i="9" s="1"/>
  <c r="E13" i="9"/>
  <c r="HB12" i="9"/>
  <c r="GY12" i="9"/>
  <c r="GV12" i="9"/>
  <c r="GP12" i="9"/>
  <c r="GM12" i="9"/>
  <c r="GJ12" i="9"/>
  <c r="GG12" i="9"/>
  <c r="GA12" i="9"/>
  <c r="FL12" i="9"/>
  <c r="FI12" i="9"/>
  <c r="FF12" i="9"/>
  <c r="FC12" i="9"/>
  <c r="EW12" i="9"/>
  <c r="ET12" i="9"/>
  <c r="EQ12" i="9"/>
  <c r="EN12" i="9"/>
  <c r="EH12" i="9"/>
  <c r="EE12" i="9"/>
  <c r="EB12" i="9"/>
  <c r="DY12" i="9"/>
  <c r="DS12" i="9"/>
  <c r="DP12" i="9"/>
  <c r="DD12" i="9"/>
  <c r="DA12" i="9"/>
  <c r="DA11" i="9" s="1"/>
  <c r="DA10" i="9" s="1"/>
  <c r="CX12" i="9"/>
  <c r="CU12" i="9"/>
  <c r="CO12" i="9"/>
  <c r="CI12" i="9"/>
  <c r="CF12" i="9"/>
  <c r="CC12" i="9"/>
  <c r="BZ12" i="9"/>
  <c r="BZ11" i="9" s="1"/>
  <c r="BT12" i="9"/>
  <c r="BT11" i="9" s="1"/>
  <c r="BQ12" i="9"/>
  <c r="BN12" i="9"/>
  <c r="BK12" i="9"/>
  <c r="BN25" i="9" s="1"/>
  <c r="BH12" i="9"/>
  <c r="BE12" i="9"/>
  <c r="BB12" i="9"/>
  <c r="AY12" i="9"/>
  <c r="AV12" i="9"/>
  <c r="AS12" i="9"/>
  <c r="AP12" i="9"/>
  <c r="AM12" i="9"/>
  <c r="AJ12" i="9"/>
  <c r="AG12" i="9"/>
  <c r="AF12" i="9"/>
  <c r="E12" i="9"/>
  <c r="HE11" i="9"/>
  <c r="HB11" i="9"/>
  <c r="GY11" i="9"/>
  <c r="GV11" i="9"/>
  <c r="GP11" i="9"/>
  <c r="GM11" i="9"/>
  <c r="GJ11" i="9"/>
  <c r="GG11" i="9"/>
  <c r="GA11" i="9"/>
  <c r="FL11" i="9"/>
  <c r="FI11" i="9"/>
  <c r="FF11" i="9"/>
  <c r="FC11" i="9"/>
  <c r="EW11" i="9"/>
  <c r="ET11" i="9"/>
  <c r="EQ11" i="9"/>
  <c r="EN11" i="9"/>
  <c r="EH11" i="9"/>
  <c r="EE11" i="9"/>
  <c r="EB11" i="9"/>
  <c r="DY11" i="9"/>
  <c r="DS11" i="9"/>
  <c r="DD11" i="9"/>
  <c r="CO11" i="9"/>
  <c r="CL11" i="9"/>
  <c r="CL12" i="9" s="1"/>
  <c r="CI11" i="9"/>
  <c r="CF11" i="9"/>
  <c r="CC11" i="9"/>
  <c r="BQ11" i="9"/>
  <c r="BN11" i="9"/>
  <c r="BK11" i="9"/>
  <c r="BH11" i="9"/>
  <c r="BE11" i="9"/>
  <c r="BB11" i="9"/>
  <c r="AY11" i="9"/>
  <c r="AV11" i="9"/>
  <c r="AS11" i="9"/>
  <c r="AP11" i="9"/>
  <c r="AM11" i="9"/>
  <c r="AJ11" i="9"/>
  <c r="AG11" i="9"/>
  <c r="AF11" i="9"/>
  <c r="AF26" i="9" s="1"/>
  <c r="AF30" i="9" s="1"/>
  <c r="AE11" i="9"/>
  <c r="AE26" i="9" s="1"/>
  <c r="AE30" i="9" s="1"/>
  <c r="AD11" i="9"/>
  <c r="AD26" i="9" s="1"/>
  <c r="AD30" i="9" s="1"/>
  <c r="AC11" i="9"/>
  <c r="AC26" i="9" s="1"/>
  <c r="Z11" i="9"/>
  <c r="W11" i="9"/>
  <c r="HE10" i="9"/>
  <c r="HB10" i="9"/>
  <c r="GY10" i="9"/>
  <c r="GV10" i="9"/>
  <c r="GP10" i="9"/>
  <c r="GM10" i="9"/>
  <c r="GJ10" i="9"/>
  <c r="GG10" i="9"/>
  <c r="GA10" i="9"/>
  <c r="FL10" i="9"/>
  <c r="FI10" i="9"/>
  <c r="FF10" i="9"/>
  <c r="FC10" i="9"/>
  <c r="EW10" i="9"/>
  <c r="ET10" i="9"/>
  <c r="EQ10" i="9"/>
  <c r="EN10" i="9"/>
  <c r="EH10" i="9"/>
  <c r="EE10" i="9"/>
  <c r="EE2" i="9" s="1"/>
  <c r="EB10" i="9"/>
  <c r="DY10" i="9"/>
  <c r="DS10" i="9"/>
  <c r="DP10" i="9"/>
  <c r="DG10" i="9"/>
  <c r="DD10" i="9"/>
  <c r="CX10" i="9"/>
  <c r="CO10" i="9"/>
  <c r="CL10" i="9"/>
  <c r="CI10" i="9"/>
  <c r="CF10" i="9"/>
  <c r="CC10" i="9"/>
  <c r="CF23" i="9" s="1"/>
  <c r="CF19" i="9" s="1"/>
  <c r="BT10" i="9"/>
  <c r="BQ10" i="9"/>
  <c r="BN10" i="9"/>
  <c r="BK10" i="9"/>
  <c r="BH10" i="9"/>
  <c r="BE10" i="9"/>
  <c r="BB10" i="9"/>
  <c r="BB25" i="9" s="1"/>
  <c r="AY10" i="9"/>
  <c r="AV10" i="9"/>
  <c r="AS10" i="9"/>
  <c r="AY6" i="9" s="1"/>
  <c r="AP10" i="9"/>
  <c r="AP6" i="9" s="1"/>
  <c r="AM10" i="9"/>
  <c r="AM6" i="9" s="1"/>
  <c r="AJ10" i="9"/>
  <c r="AJ6" i="9" s="1"/>
  <c r="Z10" i="9"/>
  <c r="W10" i="9"/>
  <c r="T10" i="9"/>
  <c r="Q10" i="9"/>
  <c r="N10" i="9"/>
  <c r="E10" i="9"/>
  <c r="HE9" i="9"/>
  <c r="HB9" i="9"/>
  <c r="GY9" i="9"/>
  <c r="GV9" i="9"/>
  <c r="GP9" i="9"/>
  <c r="GM9" i="9"/>
  <c r="GJ9" i="9"/>
  <c r="GG9" i="9"/>
  <c r="GA9" i="9"/>
  <c r="FL9" i="9"/>
  <c r="FI9" i="9"/>
  <c r="FF9" i="9"/>
  <c r="FC9" i="9"/>
  <c r="EW9" i="9"/>
  <c r="ET9" i="9"/>
  <c r="EQ9" i="9"/>
  <c r="EN9" i="9"/>
  <c r="EH9" i="9"/>
  <c r="EE9" i="9"/>
  <c r="EB9" i="9"/>
  <c r="DY9" i="9"/>
  <c r="DS9" i="9"/>
  <c r="DP9" i="9"/>
  <c r="DD9" i="9"/>
  <c r="DA9" i="9"/>
  <c r="CX9" i="9"/>
  <c r="CX23" i="9" s="1"/>
  <c r="CU9" i="9"/>
  <c r="CO9" i="9"/>
  <c r="CL9" i="9"/>
  <c r="CI9" i="9"/>
  <c r="CF9" i="9"/>
  <c r="CC9" i="9"/>
  <c r="BZ9" i="9"/>
  <c r="BW9" i="9"/>
  <c r="BT9" i="9"/>
  <c r="BT28" i="9" s="1"/>
  <c r="BQ9" i="9"/>
  <c r="BN9" i="9"/>
  <c r="BK9" i="9"/>
  <c r="BH9" i="9"/>
  <c r="BE9" i="9"/>
  <c r="BB9" i="9"/>
  <c r="AY9" i="9"/>
  <c r="AV9" i="9"/>
  <c r="AS9" i="9"/>
  <c r="AP9" i="9"/>
  <c r="AM9" i="9"/>
  <c r="AJ9" i="9"/>
  <c r="AG9" i="9"/>
  <c r="AF9" i="9"/>
  <c r="AE9" i="9"/>
  <c r="AD9" i="9"/>
  <c r="AC9" i="9"/>
  <c r="Z9" i="9"/>
  <c r="W9" i="9"/>
  <c r="N9" i="9"/>
  <c r="K9" i="9"/>
  <c r="H9" i="9"/>
  <c r="E9" i="9"/>
  <c r="HE8" i="9"/>
  <c r="HB8" i="9"/>
  <c r="HB6" i="9" s="1"/>
  <c r="GY8" i="9"/>
  <c r="GY6" i="9" s="1"/>
  <c r="GV8" i="9"/>
  <c r="GP8" i="9"/>
  <c r="GM8" i="9"/>
  <c r="GJ8" i="9"/>
  <c r="GG8" i="9"/>
  <c r="GG6" i="9" s="1"/>
  <c r="GA8" i="9"/>
  <c r="FL8" i="9"/>
  <c r="FI8" i="9"/>
  <c r="FF8" i="9"/>
  <c r="FC8" i="9"/>
  <c r="EW8" i="9"/>
  <c r="ET8" i="9"/>
  <c r="ET6" i="9" s="1"/>
  <c r="EQ8" i="9"/>
  <c r="EQ6" i="9" s="1"/>
  <c r="EN8" i="9"/>
  <c r="EH8" i="9"/>
  <c r="EE8" i="9"/>
  <c r="EB8" i="9"/>
  <c r="DY8" i="9"/>
  <c r="DS8" i="9"/>
  <c r="DP8" i="9"/>
  <c r="DM8" i="9"/>
  <c r="DJ8" i="9"/>
  <c r="DD8" i="9"/>
  <c r="DA8" i="9"/>
  <c r="CX8" i="9"/>
  <c r="CU8" i="9"/>
  <c r="CO8" i="9"/>
  <c r="CL8" i="9"/>
  <c r="CI8" i="9"/>
  <c r="CF8" i="9"/>
  <c r="CC8" i="9"/>
  <c r="BZ8" i="9"/>
  <c r="BW8" i="9"/>
  <c r="BT8" i="9"/>
  <c r="BQ8" i="9"/>
  <c r="BN8" i="9"/>
  <c r="BK8" i="9"/>
  <c r="BH8" i="9"/>
  <c r="BE8" i="9"/>
  <c r="BB8" i="9"/>
  <c r="AY8" i="9"/>
  <c r="AV8" i="9"/>
  <c r="AS8" i="9"/>
  <c r="AP8" i="9"/>
  <c r="AM8" i="9"/>
  <c r="AJ8" i="9"/>
  <c r="AG8" i="9"/>
  <c r="AF8" i="9"/>
  <c r="AE8" i="9"/>
  <c r="AD8" i="9"/>
  <c r="AC8" i="9"/>
  <c r="Z8" i="9"/>
  <c r="W8" i="9"/>
  <c r="T8" i="9"/>
  <c r="T7" i="9" s="1"/>
  <c r="Q8" i="9"/>
  <c r="Q7" i="9" s="1"/>
  <c r="N8" i="9"/>
  <c r="K8" i="9"/>
  <c r="H8" i="9"/>
  <c r="E8" i="9"/>
  <c r="HE7" i="9"/>
  <c r="HB7" i="9"/>
  <c r="HB5" i="9" s="1"/>
  <c r="GY7" i="9"/>
  <c r="GY5" i="9" s="1"/>
  <c r="GV7" i="9"/>
  <c r="GV5" i="9" s="1"/>
  <c r="GM7" i="9"/>
  <c r="GJ7" i="9"/>
  <c r="GG7" i="9"/>
  <c r="GA7" i="9"/>
  <c r="FU7" i="9"/>
  <c r="FI7" i="9"/>
  <c r="FF7" i="9"/>
  <c r="FC7" i="9"/>
  <c r="ET7" i="9"/>
  <c r="ET5" i="9" s="1"/>
  <c r="EQ7" i="9"/>
  <c r="EQ5" i="9" s="1"/>
  <c r="EN7" i="9"/>
  <c r="EE7" i="9"/>
  <c r="EB7" i="9"/>
  <c r="DY7" i="9"/>
  <c r="DM7" i="9"/>
  <c r="DJ7" i="9"/>
  <c r="DJ5" i="9" s="1"/>
  <c r="DA7" i="9"/>
  <c r="CX7" i="9"/>
  <c r="CU7" i="9"/>
  <c r="CO7" i="9"/>
  <c r="CL7" i="9"/>
  <c r="CI7" i="9"/>
  <c r="CF7" i="9"/>
  <c r="CC7" i="9"/>
  <c r="BZ7" i="9"/>
  <c r="BW7" i="9"/>
  <c r="BT7" i="9"/>
  <c r="BQ7" i="9"/>
  <c r="BN7" i="9"/>
  <c r="BK7" i="9"/>
  <c r="BH7" i="9"/>
  <c r="BE7" i="9"/>
  <c r="BB7" i="9"/>
  <c r="AY7" i="9"/>
  <c r="AV7" i="9"/>
  <c r="AS7" i="9"/>
  <c r="AP7" i="9"/>
  <c r="AM7" i="9"/>
  <c r="AJ7" i="9"/>
  <c r="Z7" i="9"/>
  <c r="Z6" i="9" s="1"/>
  <c r="W7" i="9"/>
  <c r="W6" i="9" s="1"/>
  <c r="N7" i="9"/>
  <c r="K7" i="9"/>
  <c r="H7" i="9"/>
  <c r="E7" i="9"/>
  <c r="GV6" i="9"/>
  <c r="GP6" i="9"/>
  <c r="GM6" i="9"/>
  <c r="GM2" i="9" s="1"/>
  <c r="GJ6" i="9"/>
  <c r="GA6" i="9"/>
  <c r="FU6" i="9"/>
  <c r="FR6" i="9"/>
  <c r="FL6" i="9"/>
  <c r="FI6" i="9"/>
  <c r="FF6" i="9"/>
  <c r="FC6" i="9"/>
  <c r="EZ6" i="9"/>
  <c r="EW6" i="9"/>
  <c r="EW2" i="9" s="1"/>
  <c r="EN6" i="9"/>
  <c r="EK6" i="9"/>
  <c r="EH6" i="9"/>
  <c r="EE6" i="9"/>
  <c r="EB6" i="9"/>
  <c r="DY6" i="9"/>
  <c r="DV6" i="9"/>
  <c r="DS6" i="9"/>
  <c r="DM6" i="9"/>
  <c r="DJ6" i="9"/>
  <c r="DD6" i="9"/>
  <c r="DA6" i="9"/>
  <c r="CX6" i="9"/>
  <c r="CU6" i="9"/>
  <c r="CR6" i="9"/>
  <c r="CO6" i="9"/>
  <c r="CL6" i="9"/>
  <c r="BZ6" i="9"/>
  <c r="BW6" i="9"/>
  <c r="BT6" i="9"/>
  <c r="BQ6" i="9"/>
  <c r="BN6" i="9"/>
  <c r="AV6" i="9"/>
  <c r="AS6" i="9"/>
  <c r="K6" i="9"/>
  <c r="H6" i="9"/>
  <c r="E6" i="9"/>
  <c r="HE5" i="9"/>
  <c r="HE3" i="9" s="1"/>
  <c r="GS5" i="9"/>
  <c r="GP5" i="9"/>
  <c r="GM5" i="9"/>
  <c r="GJ5" i="9"/>
  <c r="GG5" i="9"/>
  <c r="GA5" i="9"/>
  <c r="FX5" i="9"/>
  <c r="FU5" i="9"/>
  <c r="FR5" i="9"/>
  <c r="FO5" i="9"/>
  <c r="FL5" i="9"/>
  <c r="FI5" i="9"/>
  <c r="FF5" i="9"/>
  <c r="FC5" i="9"/>
  <c r="EZ5" i="9"/>
  <c r="EW5" i="9"/>
  <c r="EN5" i="9"/>
  <c r="EK5" i="9"/>
  <c r="EH5" i="9"/>
  <c r="EE5" i="9"/>
  <c r="EB5" i="9"/>
  <c r="DY5" i="9"/>
  <c r="DV5" i="9"/>
  <c r="DS5" i="9"/>
  <c r="DM5" i="9"/>
  <c r="DD5" i="9"/>
  <c r="DA5" i="9"/>
  <c r="CX5" i="9"/>
  <c r="CU5" i="9"/>
  <c r="CO5" i="9"/>
  <c r="CR5" i="9" s="1"/>
  <c r="CL5" i="9"/>
  <c r="CI5" i="9"/>
  <c r="CF5" i="9"/>
  <c r="CC5" i="9"/>
  <c r="BZ5" i="9"/>
  <c r="BW5" i="9"/>
  <c r="BT5" i="9"/>
  <c r="BQ5" i="9"/>
  <c r="BN5" i="9"/>
  <c r="BN2" i="9" s="1"/>
  <c r="BK5" i="9"/>
  <c r="BH5" i="9"/>
  <c r="BE5" i="9"/>
  <c r="BB5" i="9"/>
  <c r="AY5" i="9"/>
  <c r="AV5" i="9"/>
  <c r="AV2" i="9" s="1"/>
  <c r="AS5" i="9"/>
  <c r="AP5" i="9"/>
  <c r="AM5" i="9"/>
  <c r="AJ5" i="9"/>
  <c r="AG5" i="9"/>
  <c r="AF5" i="9"/>
  <c r="AE5" i="9"/>
  <c r="AD5" i="9"/>
  <c r="AC5" i="9"/>
  <c r="Z5" i="9"/>
  <c r="W5" i="9"/>
  <c r="T5" i="9"/>
  <c r="Q5" i="9"/>
  <c r="N5" i="9"/>
  <c r="K5" i="9"/>
  <c r="H5" i="9"/>
  <c r="E5" i="9"/>
  <c r="FX2" i="9"/>
  <c r="FI2" i="9"/>
  <c r="HE41" i="21"/>
  <c r="HE40" i="21"/>
  <c r="HE39" i="21"/>
  <c r="HE38" i="21"/>
  <c r="HE36" i="21"/>
  <c r="HE35" i="21"/>
  <c r="HE34" i="21"/>
  <c r="HE32" i="21"/>
  <c r="HE31" i="21"/>
  <c r="HE30" i="21"/>
  <c r="HE29" i="21"/>
  <c r="HE28" i="21"/>
  <c r="HE27" i="21" s="1"/>
  <c r="HE26" i="21"/>
  <c r="HE25" i="21"/>
  <c r="HE15" i="21"/>
  <c r="HE14" i="21"/>
  <c r="HE3" i="21" s="1"/>
  <c r="HE11" i="21"/>
  <c r="HE10" i="21"/>
  <c r="HE4" i="21" s="1"/>
  <c r="HE9" i="21"/>
  <c r="HE8" i="21"/>
  <c r="HE7" i="21"/>
  <c r="HE6" i="21"/>
  <c r="HE5" i="21"/>
  <c r="HE41" i="20"/>
  <c r="HE40" i="20"/>
  <c r="HE39" i="20"/>
  <c r="HE38" i="20"/>
  <c r="HE36" i="20"/>
  <c r="HE35" i="20"/>
  <c r="HE34" i="20"/>
  <c r="HE32" i="20"/>
  <c r="HE31" i="20"/>
  <c r="HE30" i="20"/>
  <c r="HE29" i="20"/>
  <c r="HE28" i="20"/>
  <c r="HE27" i="20"/>
  <c r="HE26" i="20"/>
  <c r="HE25" i="20"/>
  <c r="HE15" i="20"/>
  <c r="HE14" i="20"/>
  <c r="HE11" i="20"/>
  <c r="HE10" i="20"/>
  <c r="HE4" i="20" s="1"/>
  <c r="HE9" i="20"/>
  <c r="HE8" i="20"/>
  <c r="HE7" i="20"/>
  <c r="HE6" i="20"/>
  <c r="HE5" i="20"/>
  <c r="HE41" i="19"/>
  <c r="HE40" i="19"/>
  <c r="HE39" i="19"/>
  <c r="HE38" i="19"/>
  <c r="HE36" i="19"/>
  <c r="HE35" i="19"/>
  <c r="HE34" i="19"/>
  <c r="HE32" i="19"/>
  <c r="HE31" i="19"/>
  <c r="HE30" i="19"/>
  <c r="HE29" i="19"/>
  <c r="HE28" i="19"/>
  <c r="HE27" i="19"/>
  <c r="HE25" i="19"/>
  <c r="HE15" i="19"/>
  <c r="HE14" i="19"/>
  <c r="HE11" i="19"/>
  <c r="HE10" i="19"/>
  <c r="HE9" i="19"/>
  <c r="HE8" i="19"/>
  <c r="HE7" i="19"/>
  <c r="HE5" i="19"/>
  <c r="HE23" i="15"/>
  <c r="GP20" i="15"/>
  <c r="HE15" i="15"/>
  <c r="GP19" i="15"/>
  <c r="DA4" i="21"/>
  <c r="DA3" i="21"/>
  <c r="CU3" i="21"/>
  <c r="CU4" i="21"/>
  <c r="DA51" i="21"/>
  <c r="DA50" i="21"/>
  <c r="CU49" i="21"/>
  <c r="CU48" i="21"/>
  <c r="DA46" i="21"/>
  <c r="DA44" i="21"/>
  <c r="DA43" i="21"/>
  <c r="CU43" i="21"/>
  <c r="DA42" i="21"/>
  <c r="CU42" i="21"/>
  <c r="DA41" i="21"/>
  <c r="CU41" i="21"/>
  <c r="DA40" i="21"/>
  <c r="CU40" i="21"/>
  <c r="DA39" i="21"/>
  <c r="CU39" i="21"/>
  <c r="DA38" i="21"/>
  <c r="CU38" i="21"/>
  <c r="DA37" i="21"/>
  <c r="CU37" i="21"/>
  <c r="DA36" i="21"/>
  <c r="DA24" i="21" s="1"/>
  <c r="CU36" i="21"/>
  <c r="DA35" i="21"/>
  <c r="CU35" i="21"/>
  <c r="DA34" i="21"/>
  <c r="CU34" i="21"/>
  <c r="CU25" i="21" s="1"/>
  <c r="DA33" i="21"/>
  <c r="CU33" i="21"/>
  <c r="DA32" i="21"/>
  <c r="CU32" i="21"/>
  <c r="CU44" i="21" s="1"/>
  <c r="CU11" i="21" s="1"/>
  <c r="DA31" i="21"/>
  <c r="CU31" i="21"/>
  <c r="DA30" i="21"/>
  <c r="CU30" i="21"/>
  <c r="DA29" i="21"/>
  <c r="CU29" i="21"/>
  <c r="DA28" i="21"/>
  <c r="CU28" i="21"/>
  <c r="HB27" i="21"/>
  <c r="GM27" i="21"/>
  <c r="FI27" i="21"/>
  <c r="ET27" i="21"/>
  <c r="EE27" i="21"/>
  <c r="DA27" i="21"/>
  <c r="CX27" i="21"/>
  <c r="CU27" i="21"/>
  <c r="CU24" i="21" s="1"/>
  <c r="HB26" i="21"/>
  <c r="HB24" i="21" s="1"/>
  <c r="GM26" i="21"/>
  <c r="FI26" i="21"/>
  <c r="ET26" i="21"/>
  <c r="EE26" i="21"/>
  <c r="DP26" i="21"/>
  <c r="DG26" i="21"/>
  <c r="DA26" i="21"/>
  <c r="CX26" i="21"/>
  <c r="CU26" i="21"/>
  <c r="HB25" i="21"/>
  <c r="GM25" i="21"/>
  <c r="FI25" i="21"/>
  <c r="ET25" i="21"/>
  <c r="EE25" i="21"/>
  <c r="EE23" i="21" s="1"/>
  <c r="DP25" i="21"/>
  <c r="DP23" i="21" s="1"/>
  <c r="DA25" i="21"/>
  <c r="CX25" i="21"/>
  <c r="GM24" i="21"/>
  <c r="FI24" i="21"/>
  <c r="ET24" i="21"/>
  <c r="EE24" i="21"/>
  <c r="DP24" i="21"/>
  <c r="DD24" i="21"/>
  <c r="CX24" i="21"/>
  <c r="HB23" i="21"/>
  <c r="GM23" i="21"/>
  <c r="FI23" i="21"/>
  <c r="ET23" i="21"/>
  <c r="DG23" i="21"/>
  <c r="DD23" i="21"/>
  <c r="HB22" i="21"/>
  <c r="HB16" i="21" s="1"/>
  <c r="GM22" i="21"/>
  <c r="FI22" i="21"/>
  <c r="ET22" i="21"/>
  <c r="EE22" i="21"/>
  <c r="EE16" i="21" s="1"/>
  <c r="DP22" i="21"/>
  <c r="DP16" i="21" s="1"/>
  <c r="DD22" i="21"/>
  <c r="DD21" i="21" s="1"/>
  <c r="HB21" i="21"/>
  <c r="GM21" i="21"/>
  <c r="GA21" i="21"/>
  <c r="FL21" i="21"/>
  <c r="FI21" i="21"/>
  <c r="EW21" i="21"/>
  <c r="ET21" i="21"/>
  <c r="EH21" i="21"/>
  <c r="EE21" i="21"/>
  <c r="DS21" i="21"/>
  <c r="DP21" i="21"/>
  <c r="HB20" i="21"/>
  <c r="GP20" i="21"/>
  <c r="GM20" i="21"/>
  <c r="GA20" i="21"/>
  <c r="FL20" i="21"/>
  <c r="FI20" i="21"/>
  <c r="EW20" i="21"/>
  <c r="ET20" i="21"/>
  <c r="ET16" i="21" s="1"/>
  <c r="EH20" i="21"/>
  <c r="EE20" i="21"/>
  <c r="DS20" i="21"/>
  <c r="DP20" i="21"/>
  <c r="DG20" i="21"/>
  <c r="DD20" i="21"/>
  <c r="HB19" i="21"/>
  <c r="GP19" i="21"/>
  <c r="GM19" i="21"/>
  <c r="GA19" i="21"/>
  <c r="GA18" i="21" s="1"/>
  <c r="FL19" i="21"/>
  <c r="FL18" i="21" s="1"/>
  <c r="FI19" i="21"/>
  <c r="EW19" i="21"/>
  <c r="ET19" i="21"/>
  <c r="EH19" i="21"/>
  <c r="EH18" i="21" s="1"/>
  <c r="EE19" i="21"/>
  <c r="DS19" i="21"/>
  <c r="DS18" i="21" s="1"/>
  <c r="DP19" i="21"/>
  <c r="DP11" i="21" s="1"/>
  <c r="CX19" i="21"/>
  <c r="CX21" i="21" s="1"/>
  <c r="HB18" i="21"/>
  <c r="GP18" i="21"/>
  <c r="GP17" i="21" s="1"/>
  <c r="GM18" i="21"/>
  <c r="FI18" i="21"/>
  <c r="EW18" i="21"/>
  <c r="ET18" i="21"/>
  <c r="EE18" i="21"/>
  <c r="DP18" i="21"/>
  <c r="CX18" i="21"/>
  <c r="HB17" i="21"/>
  <c r="GM17" i="21"/>
  <c r="FI17" i="21"/>
  <c r="ET17" i="21"/>
  <c r="EE17" i="21"/>
  <c r="DP17" i="21"/>
  <c r="DD17" i="21"/>
  <c r="DM9" i="21" s="1"/>
  <c r="CX17" i="21"/>
  <c r="GM16" i="21"/>
  <c r="GA16" i="21"/>
  <c r="FL16" i="21"/>
  <c r="FI16" i="21"/>
  <c r="EW16" i="21"/>
  <c r="EH16" i="21"/>
  <c r="DG16" i="21"/>
  <c r="DD16" i="21"/>
  <c r="CX16" i="21"/>
  <c r="HB15" i="21"/>
  <c r="GP15" i="21"/>
  <c r="GM15" i="21"/>
  <c r="FI15" i="21"/>
  <c r="ET15" i="21"/>
  <c r="EB15" i="21"/>
  <c r="DP15" i="21"/>
  <c r="DD15" i="21"/>
  <c r="CX15" i="21"/>
  <c r="HB14" i="21"/>
  <c r="GP14" i="21"/>
  <c r="GY14" i="21" s="1"/>
  <c r="GM14" i="21"/>
  <c r="GA14" i="21"/>
  <c r="GJ14" i="21" s="1"/>
  <c r="FL14" i="21"/>
  <c r="FI14" i="21"/>
  <c r="EW14" i="21"/>
  <c r="FF14" i="21" s="1"/>
  <c r="ET14" i="21"/>
  <c r="EQ14" i="21"/>
  <c r="EH14" i="21"/>
  <c r="EE14" i="21"/>
  <c r="EB14" i="21"/>
  <c r="DY14" i="21"/>
  <c r="DS14" i="21"/>
  <c r="DP14" i="21"/>
  <c r="DD14" i="21"/>
  <c r="CX14" i="21"/>
  <c r="HB13" i="21"/>
  <c r="GY13" i="21"/>
  <c r="GV13" i="21"/>
  <c r="GP13" i="21"/>
  <c r="GM13" i="21"/>
  <c r="GJ13" i="21"/>
  <c r="GG13" i="21"/>
  <c r="GA13" i="21"/>
  <c r="FL13" i="21"/>
  <c r="FI13" i="21"/>
  <c r="FF13" i="21"/>
  <c r="FC13" i="21"/>
  <c r="EW13" i="21"/>
  <c r="ET13" i="21"/>
  <c r="EQ13" i="21"/>
  <c r="EN13" i="21"/>
  <c r="EH13" i="21"/>
  <c r="EE13" i="21"/>
  <c r="EB13" i="21"/>
  <c r="DY13" i="21"/>
  <c r="DS13" i="21"/>
  <c r="DP13" i="21"/>
  <c r="DD13" i="21"/>
  <c r="CX13" i="21"/>
  <c r="CU13" i="21"/>
  <c r="HB12" i="21"/>
  <c r="GY12" i="21"/>
  <c r="GV12" i="21"/>
  <c r="GP12" i="21"/>
  <c r="GP7" i="21" s="1"/>
  <c r="GP2" i="21" s="1"/>
  <c r="GM12" i="21"/>
  <c r="GJ12" i="21"/>
  <c r="GG12" i="21"/>
  <c r="GA12" i="21"/>
  <c r="FL12" i="21"/>
  <c r="FI12" i="21"/>
  <c r="FF12" i="21"/>
  <c r="FC12" i="21"/>
  <c r="EW12" i="21"/>
  <c r="ET12" i="21"/>
  <c r="EQ12" i="21"/>
  <c r="EN12" i="21"/>
  <c r="EH12" i="21"/>
  <c r="EE12" i="21"/>
  <c r="EB12" i="21"/>
  <c r="DY12" i="21"/>
  <c r="DS12" i="21"/>
  <c r="DP12" i="21"/>
  <c r="DD12" i="21"/>
  <c r="DA12" i="21"/>
  <c r="CX12" i="21"/>
  <c r="CU12" i="21"/>
  <c r="HB11" i="21"/>
  <c r="GY11" i="21"/>
  <c r="GV11" i="21"/>
  <c r="GP11" i="21"/>
  <c r="GM11" i="21"/>
  <c r="GJ11" i="21"/>
  <c r="GG11" i="21"/>
  <c r="GA11" i="21"/>
  <c r="FL11" i="21"/>
  <c r="FI11" i="21"/>
  <c r="FF11" i="21"/>
  <c r="FC11" i="21"/>
  <c r="EW11" i="21"/>
  <c r="ET11" i="21"/>
  <c r="EQ11" i="21"/>
  <c r="EN11" i="21"/>
  <c r="EH11" i="21"/>
  <c r="EE11" i="21"/>
  <c r="EB11" i="21"/>
  <c r="DY11" i="21"/>
  <c r="DS11" i="21"/>
  <c r="DG11" i="21"/>
  <c r="DD11" i="21"/>
  <c r="DD10" i="21" s="1"/>
  <c r="DA11" i="21"/>
  <c r="DA10" i="21" s="1"/>
  <c r="CX11" i="21"/>
  <c r="CX20" i="21" s="1"/>
  <c r="CX3" i="21" s="1"/>
  <c r="HB10" i="21"/>
  <c r="GY10" i="21"/>
  <c r="GV10" i="21"/>
  <c r="GP10" i="21"/>
  <c r="GM10" i="21"/>
  <c r="GJ10" i="21"/>
  <c r="GG10" i="21"/>
  <c r="GA10" i="21"/>
  <c r="FL10" i="21"/>
  <c r="FI10" i="21"/>
  <c r="FF10" i="21"/>
  <c r="FC10" i="21"/>
  <c r="EW10" i="21"/>
  <c r="EW7" i="21" s="1"/>
  <c r="ET10" i="21"/>
  <c r="EQ10" i="21"/>
  <c r="EN10" i="21"/>
  <c r="EH10" i="21"/>
  <c r="EE10" i="21"/>
  <c r="EE2" i="21" s="1"/>
  <c r="EB10" i="21"/>
  <c r="DY10" i="21"/>
  <c r="DS10" i="21"/>
  <c r="DS7" i="21" s="1"/>
  <c r="DS2" i="21" s="1"/>
  <c r="DP10" i="21"/>
  <c r="DG10" i="21"/>
  <c r="DG5" i="21" s="1"/>
  <c r="CX10" i="21"/>
  <c r="CU10" i="21"/>
  <c r="HB9" i="21"/>
  <c r="GY9" i="21"/>
  <c r="GV9" i="21"/>
  <c r="GP9" i="21"/>
  <c r="GM9" i="21"/>
  <c r="GJ9" i="21"/>
  <c r="GG9" i="21"/>
  <c r="GA9" i="21"/>
  <c r="FL9" i="21"/>
  <c r="FI9" i="21"/>
  <c r="FF9" i="21"/>
  <c r="FC9" i="21"/>
  <c r="EW9" i="21"/>
  <c r="ET9" i="21"/>
  <c r="EQ9" i="21"/>
  <c r="EN9" i="21"/>
  <c r="EH9" i="21"/>
  <c r="EE9" i="21"/>
  <c r="EB9" i="21"/>
  <c r="DY9" i="21"/>
  <c r="DS9" i="21"/>
  <c r="DP9" i="21"/>
  <c r="DD9" i="21"/>
  <c r="DA9" i="21"/>
  <c r="CX9" i="21"/>
  <c r="CU9" i="21"/>
  <c r="HB8" i="21"/>
  <c r="HB6" i="21" s="1"/>
  <c r="GY8" i="21"/>
  <c r="GV8" i="21"/>
  <c r="GP8" i="21"/>
  <c r="GM8" i="21"/>
  <c r="GJ8" i="21"/>
  <c r="GG8" i="21"/>
  <c r="GA8" i="21"/>
  <c r="GA7" i="21" s="1"/>
  <c r="FL8" i="21"/>
  <c r="FL7" i="21" s="1"/>
  <c r="FL2" i="21" s="1"/>
  <c r="FI8" i="21"/>
  <c r="FF8" i="21"/>
  <c r="FC8" i="21"/>
  <c r="EW8" i="21"/>
  <c r="ET8" i="21"/>
  <c r="ET6" i="21" s="1"/>
  <c r="EQ8" i="21"/>
  <c r="EQ6" i="21" s="1"/>
  <c r="EN8" i="21"/>
  <c r="EN6" i="21" s="1"/>
  <c r="EH8" i="21"/>
  <c r="EH7" i="21" s="1"/>
  <c r="EE8" i="21"/>
  <c r="EB8" i="21"/>
  <c r="EB6" i="21" s="1"/>
  <c r="DY8" i="21"/>
  <c r="DY6" i="21" s="1"/>
  <c r="DS8" i="21"/>
  <c r="DP8" i="21"/>
  <c r="DP7" i="21" s="1"/>
  <c r="DM8" i="21"/>
  <c r="DJ8" i="21"/>
  <c r="DD8" i="21"/>
  <c r="DD7" i="21" s="1"/>
  <c r="DA8" i="21"/>
  <c r="CX8" i="21"/>
  <c r="CU8" i="21"/>
  <c r="HB7" i="21"/>
  <c r="GY7" i="21"/>
  <c r="GV7" i="21"/>
  <c r="GM7" i="21"/>
  <c r="GM5" i="21" s="1"/>
  <c r="GJ7" i="21"/>
  <c r="GG7" i="21"/>
  <c r="FU7" i="21"/>
  <c r="FI7" i="21"/>
  <c r="FI5" i="21" s="1"/>
  <c r="FI2" i="21" s="1"/>
  <c r="FF7" i="21"/>
  <c r="FF5" i="21" s="1"/>
  <c r="FC7" i="21"/>
  <c r="FC5" i="21" s="1"/>
  <c r="ET7" i="21"/>
  <c r="ET5" i="21" s="1"/>
  <c r="EQ7" i="21"/>
  <c r="EQ5" i="21" s="1"/>
  <c r="EN7" i="21"/>
  <c r="EN5" i="21" s="1"/>
  <c r="EE7" i="21"/>
  <c r="EB7" i="21"/>
  <c r="DY7" i="21"/>
  <c r="DM7" i="21"/>
  <c r="DJ7" i="21"/>
  <c r="DG7" i="21"/>
  <c r="DA7" i="21"/>
  <c r="CX7" i="21"/>
  <c r="CX6" i="21" s="1"/>
  <c r="CX22" i="21" s="1"/>
  <c r="CU7" i="21"/>
  <c r="GY6" i="21"/>
  <c r="GV6" i="21"/>
  <c r="GP6" i="21"/>
  <c r="GM6" i="21"/>
  <c r="GJ6" i="21"/>
  <c r="GG6" i="21"/>
  <c r="GD6" i="21"/>
  <c r="GA6" i="21"/>
  <c r="FU6" i="21"/>
  <c r="FR6" i="21"/>
  <c r="FL6" i="21"/>
  <c r="FI6" i="21"/>
  <c r="FF6" i="21"/>
  <c r="FC6" i="21"/>
  <c r="EZ6" i="21"/>
  <c r="EW6" i="21"/>
  <c r="EK6" i="21"/>
  <c r="EH6" i="21"/>
  <c r="EE6" i="21"/>
  <c r="DV6" i="21"/>
  <c r="DS6" i="21"/>
  <c r="DM6" i="21"/>
  <c r="DJ6" i="21"/>
  <c r="DG6" i="21"/>
  <c r="DD6" i="21"/>
  <c r="DA6" i="21"/>
  <c r="CU6" i="21"/>
  <c r="HB5" i="21"/>
  <c r="GY5" i="21"/>
  <c r="GV5" i="21"/>
  <c r="GS5" i="21"/>
  <c r="GP5" i="21"/>
  <c r="GJ5" i="21"/>
  <c r="GG5" i="21"/>
  <c r="GD5" i="21"/>
  <c r="GA5" i="21"/>
  <c r="FX5" i="21"/>
  <c r="FX2" i="21" s="1"/>
  <c r="FU5" i="21"/>
  <c r="FR5" i="21"/>
  <c r="FO5" i="21"/>
  <c r="FL5" i="21"/>
  <c r="EZ5" i="21"/>
  <c r="EW5" i="21"/>
  <c r="EK5" i="21"/>
  <c r="EH5" i="21"/>
  <c r="EE5" i="21"/>
  <c r="EB5" i="21"/>
  <c r="DY5" i="21"/>
  <c r="DV5" i="21"/>
  <c r="DS5" i="21"/>
  <c r="DM5" i="21"/>
  <c r="DJ5" i="21"/>
  <c r="DD5" i="21"/>
  <c r="DA5" i="21"/>
  <c r="DA15" i="21" s="1"/>
  <c r="CX5" i="21"/>
  <c r="CU5" i="21"/>
  <c r="CU16" i="21" s="1"/>
  <c r="DA51" i="20"/>
  <c r="DA50" i="20"/>
  <c r="CU49" i="20"/>
  <c r="CU48" i="20"/>
  <c r="DA46" i="20"/>
  <c r="DA44" i="20"/>
  <c r="DA43" i="20"/>
  <c r="CU43" i="20"/>
  <c r="DA42" i="20"/>
  <c r="CU42" i="20"/>
  <c r="DA41" i="20"/>
  <c r="CU41" i="20"/>
  <c r="DA40" i="20"/>
  <c r="CU40" i="20"/>
  <c r="DA39" i="20"/>
  <c r="CU39" i="20"/>
  <c r="DA38" i="20"/>
  <c r="CU38" i="20"/>
  <c r="DA37" i="20"/>
  <c r="CU37" i="20"/>
  <c r="DA36" i="20"/>
  <c r="DA23" i="20" s="1"/>
  <c r="CU36" i="20"/>
  <c r="DA35" i="20"/>
  <c r="CU35" i="20"/>
  <c r="DA34" i="20"/>
  <c r="CU34" i="20"/>
  <c r="CU25" i="20" s="1"/>
  <c r="DA33" i="20"/>
  <c r="CU33" i="20"/>
  <c r="DA32" i="20"/>
  <c r="CU32" i="20"/>
  <c r="CU44" i="20" s="1"/>
  <c r="CU11" i="20" s="1"/>
  <c r="DA31" i="20"/>
  <c r="CU31" i="20"/>
  <c r="DA30" i="20"/>
  <c r="CU30" i="20"/>
  <c r="DA29" i="20"/>
  <c r="CU29" i="20"/>
  <c r="DA28" i="20"/>
  <c r="CU28" i="20"/>
  <c r="HB27" i="20"/>
  <c r="GM27" i="20"/>
  <c r="FI27" i="20"/>
  <c r="ET27" i="20"/>
  <c r="EE27" i="20"/>
  <c r="DA27" i="20"/>
  <c r="CX27" i="20"/>
  <c r="CU27" i="20"/>
  <c r="CU24" i="20" s="1"/>
  <c r="HB26" i="20"/>
  <c r="HB24" i="20" s="1"/>
  <c r="GM26" i="20"/>
  <c r="FI26" i="20"/>
  <c r="ET26" i="20"/>
  <c r="EE26" i="20"/>
  <c r="DP26" i="20"/>
  <c r="DG26" i="20"/>
  <c r="DA26" i="20"/>
  <c r="CX26" i="20"/>
  <c r="CU26" i="20"/>
  <c r="HB25" i="20"/>
  <c r="GM25" i="20"/>
  <c r="FI25" i="20"/>
  <c r="ET25" i="20"/>
  <c r="EE25" i="20"/>
  <c r="EE23" i="20" s="1"/>
  <c r="DP25" i="20"/>
  <c r="DP23" i="20" s="1"/>
  <c r="DA25" i="20"/>
  <c r="CX25" i="20"/>
  <c r="GM24" i="20"/>
  <c r="FI24" i="20"/>
  <c r="ET24" i="20"/>
  <c r="EE24" i="20"/>
  <c r="DP24" i="20"/>
  <c r="DD24" i="20"/>
  <c r="CX24" i="20"/>
  <c r="HB23" i="20"/>
  <c r="GM23" i="20"/>
  <c r="FI23" i="20"/>
  <c r="ET23" i="20"/>
  <c r="DG23" i="20"/>
  <c r="DD23" i="20"/>
  <c r="HB22" i="20"/>
  <c r="HB16" i="20" s="1"/>
  <c r="GM22" i="20"/>
  <c r="FI22" i="20"/>
  <c r="ET22" i="20"/>
  <c r="EE22" i="20"/>
  <c r="EE16" i="20" s="1"/>
  <c r="DP22" i="20"/>
  <c r="DP16" i="20" s="1"/>
  <c r="DD22" i="20"/>
  <c r="DD21" i="20" s="1"/>
  <c r="HB21" i="20"/>
  <c r="GM21" i="20"/>
  <c r="GA21" i="20"/>
  <c r="FL21" i="20"/>
  <c r="FI21" i="20"/>
  <c r="EW21" i="20"/>
  <c r="ET21" i="20"/>
  <c r="EH21" i="20"/>
  <c r="EE21" i="20"/>
  <c r="DS21" i="20"/>
  <c r="DP21" i="20"/>
  <c r="HB20" i="20"/>
  <c r="GP20" i="20"/>
  <c r="GM20" i="20"/>
  <c r="GA20" i="20"/>
  <c r="FL20" i="20"/>
  <c r="FI20" i="20"/>
  <c r="EW20" i="20"/>
  <c r="ET20" i="20"/>
  <c r="ET16" i="20" s="1"/>
  <c r="EH20" i="20"/>
  <c r="EE20" i="20"/>
  <c r="DS20" i="20"/>
  <c r="DP20" i="20"/>
  <c r="DG20" i="20"/>
  <c r="DD20" i="20"/>
  <c r="HB19" i="20"/>
  <c r="GP19" i="20"/>
  <c r="GM19" i="20"/>
  <c r="GA19" i="20"/>
  <c r="GA18" i="20" s="1"/>
  <c r="FL19" i="20"/>
  <c r="FL18" i="20" s="1"/>
  <c r="FI19" i="20"/>
  <c r="EW19" i="20"/>
  <c r="ET19" i="20"/>
  <c r="EH19" i="20"/>
  <c r="EH18" i="20" s="1"/>
  <c r="EE19" i="20"/>
  <c r="DS19" i="20"/>
  <c r="DS18" i="20" s="1"/>
  <c r="DP19" i="20"/>
  <c r="DP11" i="20" s="1"/>
  <c r="CX19" i="20"/>
  <c r="CX21" i="20" s="1"/>
  <c r="HB18" i="20"/>
  <c r="GP18" i="20"/>
  <c r="GP17" i="20" s="1"/>
  <c r="GM18" i="20"/>
  <c r="FI18" i="20"/>
  <c r="EW18" i="20"/>
  <c r="ET18" i="20"/>
  <c r="EE18" i="20"/>
  <c r="DP18" i="20"/>
  <c r="CX18" i="20"/>
  <c r="HB17" i="20"/>
  <c r="GM17" i="20"/>
  <c r="FI17" i="20"/>
  <c r="ET17" i="20"/>
  <c r="EE17" i="20"/>
  <c r="DP17" i="20"/>
  <c r="DD17" i="20"/>
  <c r="DM9" i="20" s="1"/>
  <c r="CX17" i="20"/>
  <c r="GM16" i="20"/>
  <c r="GA16" i="20"/>
  <c r="FL16" i="20"/>
  <c r="FI16" i="20"/>
  <c r="EW16" i="20"/>
  <c r="EH16" i="20"/>
  <c r="DG16" i="20"/>
  <c r="DD16" i="20"/>
  <c r="CX16" i="20"/>
  <c r="HB15" i="20"/>
  <c r="GP15" i="20"/>
  <c r="GM15" i="20"/>
  <c r="FI15" i="20"/>
  <c r="ET15" i="20"/>
  <c r="EB15" i="20"/>
  <c r="DP15" i="20"/>
  <c r="DD15" i="20"/>
  <c r="CX15" i="20"/>
  <c r="HB14" i="20"/>
  <c r="GP14" i="20"/>
  <c r="GY14" i="20" s="1"/>
  <c r="GM14" i="20"/>
  <c r="GA14" i="20"/>
  <c r="GJ14" i="20" s="1"/>
  <c r="FL14" i="20"/>
  <c r="FI14" i="20"/>
  <c r="EW14" i="20"/>
  <c r="FF14" i="20" s="1"/>
  <c r="ET14" i="20"/>
  <c r="EQ14" i="20"/>
  <c r="EH14" i="20"/>
  <c r="EE14" i="20"/>
  <c r="EB14" i="20"/>
  <c r="DY14" i="20"/>
  <c r="DS14" i="20"/>
  <c r="DP14" i="20"/>
  <c r="DP6" i="20" s="1"/>
  <c r="DD14" i="20"/>
  <c r="CX14" i="20"/>
  <c r="HB13" i="20"/>
  <c r="GY13" i="20"/>
  <c r="GV13" i="20"/>
  <c r="GP13" i="20"/>
  <c r="GM13" i="20"/>
  <c r="GJ13" i="20"/>
  <c r="GG13" i="20"/>
  <c r="GA13" i="20"/>
  <c r="FL13" i="20"/>
  <c r="FI13" i="20"/>
  <c r="FF13" i="20"/>
  <c r="FC13" i="20"/>
  <c r="EW13" i="20"/>
  <c r="ET13" i="20"/>
  <c r="EQ13" i="20"/>
  <c r="EN13" i="20"/>
  <c r="EH13" i="20"/>
  <c r="EE13" i="20"/>
  <c r="EB13" i="20"/>
  <c r="DY13" i="20"/>
  <c r="DS13" i="20"/>
  <c r="DP13" i="20"/>
  <c r="DD13" i="20"/>
  <c r="CX13" i="20"/>
  <c r="CU13" i="20"/>
  <c r="HB12" i="20"/>
  <c r="GY12" i="20"/>
  <c r="GV12" i="20"/>
  <c r="GP12" i="20"/>
  <c r="GP7" i="20" s="1"/>
  <c r="GP2" i="20" s="1"/>
  <c r="GM12" i="20"/>
  <c r="GJ12" i="20"/>
  <c r="GG12" i="20"/>
  <c r="GA12" i="20"/>
  <c r="FL12" i="20"/>
  <c r="FI12" i="20"/>
  <c r="FF12" i="20"/>
  <c r="FC12" i="20"/>
  <c r="EW12" i="20"/>
  <c r="ET12" i="20"/>
  <c r="EQ12" i="20"/>
  <c r="EN12" i="20"/>
  <c r="EH12" i="20"/>
  <c r="EE12" i="20"/>
  <c r="EB12" i="20"/>
  <c r="DY12" i="20"/>
  <c r="DS12" i="20"/>
  <c r="DP12" i="20"/>
  <c r="DD12" i="20"/>
  <c r="DA12" i="20"/>
  <c r="CX12" i="20"/>
  <c r="CU12" i="20"/>
  <c r="HB11" i="20"/>
  <c r="GY11" i="20"/>
  <c r="GV11" i="20"/>
  <c r="GP11" i="20"/>
  <c r="GM11" i="20"/>
  <c r="GJ11" i="20"/>
  <c r="GG11" i="20"/>
  <c r="GA11" i="20"/>
  <c r="FL11" i="20"/>
  <c r="FI11" i="20"/>
  <c r="FF11" i="20"/>
  <c r="FC11" i="20"/>
  <c r="EW11" i="20"/>
  <c r="ET11" i="20"/>
  <c r="EQ11" i="20"/>
  <c r="EN11" i="20"/>
  <c r="EH11" i="20"/>
  <c r="EE11" i="20"/>
  <c r="EB11" i="20"/>
  <c r="DY11" i="20"/>
  <c r="DS11" i="20"/>
  <c r="DG11" i="20"/>
  <c r="DD11" i="20"/>
  <c r="DD10" i="20" s="1"/>
  <c r="DA11" i="20"/>
  <c r="DA10" i="20" s="1"/>
  <c r="CX11" i="20"/>
  <c r="CX20" i="20" s="1"/>
  <c r="CX3" i="20" s="1"/>
  <c r="HB10" i="20"/>
  <c r="GY10" i="20"/>
  <c r="GV10" i="20"/>
  <c r="GP10" i="20"/>
  <c r="GM10" i="20"/>
  <c r="GJ10" i="20"/>
  <c r="GG10" i="20"/>
  <c r="GA10" i="20"/>
  <c r="FL10" i="20"/>
  <c r="FI10" i="20"/>
  <c r="FF10" i="20"/>
  <c r="FC10" i="20"/>
  <c r="EW10" i="20"/>
  <c r="EW7" i="20" s="1"/>
  <c r="ET10" i="20"/>
  <c r="EQ10" i="20"/>
  <c r="EN10" i="20"/>
  <c r="EH10" i="20"/>
  <c r="EE10" i="20"/>
  <c r="EE2" i="20" s="1"/>
  <c r="EB10" i="20"/>
  <c r="DY10" i="20"/>
  <c r="DS10" i="20"/>
  <c r="DS7" i="20" s="1"/>
  <c r="DS2" i="20" s="1"/>
  <c r="DP10" i="20"/>
  <c r="DG10" i="20"/>
  <c r="DG5" i="20" s="1"/>
  <c r="CX10" i="20"/>
  <c r="CU10" i="20"/>
  <c r="HB9" i="20"/>
  <c r="GY9" i="20"/>
  <c r="GV9" i="20"/>
  <c r="GP9" i="20"/>
  <c r="GM9" i="20"/>
  <c r="GJ9" i="20"/>
  <c r="GG9" i="20"/>
  <c r="GA9" i="20"/>
  <c r="FL9" i="20"/>
  <c r="FI9" i="20"/>
  <c r="FF9" i="20"/>
  <c r="FC9" i="20"/>
  <c r="EW9" i="20"/>
  <c r="ET9" i="20"/>
  <c r="EQ9" i="20"/>
  <c r="EN9" i="20"/>
  <c r="EH9" i="20"/>
  <c r="EE9" i="20"/>
  <c r="EB9" i="20"/>
  <c r="DY9" i="20"/>
  <c r="DS9" i="20"/>
  <c r="DP9" i="20"/>
  <c r="DD9" i="20"/>
  <c r="DA9" i="20"/>
  <c r="CX9" i="20"/>
  <c r="CU9" i="20"/>
  <c r="HB8" i="20"/>
  <c r="HB6" i="20" s="1"/>
  <c r="GY8" i="20"/>
  <c r="GV8" i="20"/>
  <c r="GP8" i="20"/>
  <c r="GM8" i="20"/>
  <c r="GJ8" i="20"/>
  <c r="GG8" i="20"/>
  <c r="GA8" i="20"/>
  <c r="GA7" i="20" s="1"/>
  <c r="FL8" i="20"/>
  <c r="FL7" i="20" s="1"/>
  <c r="FL2" i="20" s="1"/>
  <c r="FI8" i="20"/>
  <c r="FF8" i="20"/>
  <c r="FC8" i="20"/>
  <c r="EW8" i="20"/>
  <c r="ET8" i="20"/>
  <c r="ET6" i="20" s="1"/>
  <c r="EQ8" i="20"/>
  <c r="EQ6" i="20" s="1"/>
  <c r="EN8" i="20"/>
  <c r="EN6" i="20" s="1"/>
  <c r="EH8" i="20"/>
  <c r="EH7" i="20" s="1"/>
  <c r="EE8" i="20"/>
  <c r="EB8" i="20"/>
  <c r="EB6" i="20" s="1"/>
  <c r="DY8" i="20"/>
  <c r="DY6" i="20" s="1"/>
  <c r="DS8" i="20"/>
  <c r="DP8" i="20"/>
  <c r="DP5" i="20" s="1"/>
  <c r="DM8" i="20"/>
  <c r="DJ8" i="20"/>
  <c r="DD8" i="20"/>
  <c r="DD7" i="20" s="1"/>
  <c r="DA8" i="20"/>
  <c r="CX8" i="20"/>
  <c r="CU8" i="20"/>
  <c r="HB7" i="20"/>
  <c r="GY7" i="20"/>
  <c r="GV7" i="20"/>
  <c r="GM7" i="20"/>
  <c r="GM5" i="20" s="1"/>
  <c r="GJ7" i="20"/>
  <c r="GG7" i="20"/>
  <c r="FU7" i="20"/>
  <c r="FI7" i="20"/>
  <c r="FI5" i="20" s="1"/>
  <c r="FI2" i="20" s="1"/>
  <c r="FF7" i="20"/>
  <c r="FF5" i="20" s="1"/>
  <c r="FC7" i="20"/>
  <c r="FC5" i="20" s="1"/>
  <c r="ET7" i="20"/>
  <c r="ET5" i="20" s="1"/>
  <c r="EQ7" i="20"/>
  <c r="EQ5" i="20" s="1"/>
  <c r="EN7" i="20"/>
  <c r="EN5" i="20" s="1"/>
  <c r="EE7" i="20"/>
  <c r="EB7" i="20"/>
  <c r="DY7" i="20"/>
  <c r="DY5" i="20" s="1"/>
  <c r="DM7" i="20"/>
  <c r="DJ7" i="20"/>
  <c r="DG7" i="20"/>
  <c r="DA7" i="20"/>
  <c r="CX7" i="20"/>
  <c r="CX6" i="20" s="1"/>
  <c r="CX22" i="20" s="1"/>
  <c r="CU7" i="20"/>
  <c r="GY6" i="20"/>
  <c r="GV6" i="20"/>
  <c r="GP6" i="20"/>
  <c r="GM6" i="20"/>
  <c r="GJ6" i="20"/>
  <c r="GG6" i="20"/>
  <c r="GD6" i="20"/>
  <c r="GA6" i="20"/>
  <c r="FU6" i="20"/>
  <c r="FR6" i="20"/>
  <c r="FL6" i="20"/>
  <c r="FI6" i="20"/>
  <c r="FF6" i="20"/>
  <c r="FC6" i="20"/>
  <c r="EZ6" i="20"/>
  <c r="EW6" i="20"/>
  <c r="EK6" i="20"/>
  <c r="EH6" i="20"/>
  <c r="EE6" i="20"/>
  <c r="DV6" i="20"/>
  <c r="DS6" i="20"/>
  <c r="DM6" i="20"/>
  <c r="DJ6" i="20"/>
  <c r="DG6" i="20"/>
  <c r="DD6" i="20"/>
  <c r="DA6" i="20"/>
  <c r="CU6" i="20"/>
  <c r="HB5" i="20"/>
  <c r="GY5" i="20"/>
  <c r="GV5" i="20"/>
  <c r="GS5" i="20"/>
  <c r="GP5" i="20"/>
  <c r="GJ5" i="20"/>
  <c r="GG5" i="20"/>
  <c r="GD5" i="20"/>
  <c r="GA5" i="20"/>
  <c r="FX5" i="20"/>
  <c r="FX2" i="20" s="1"/>
  <c r="FU5" i="20"/>
  <c r="FR5" i="20"/>
  <c r="FO5" i="20"/>
  <c r="FL5" i="20"/>
  <c r="EZ5" i="20"/>
  <c r="EW5" i="20"/>
  <c r="EK5" i="20"/>
  <c r="EH5" i="20"/>
  <c r="EE5" i="20"/>
  <c r="EB5" i="20"/>
  <c r="DV5" i="20"/>
  <c r="DS5" i="20"/>
  <c r="DM5" i="20"/>
  <c r="DJ5" i="20"/>
  <c r="DD5" i="20"/>
  <c r="DA5" i="20"/>
  <c r="DA15" i="20" s="1"/>
  <c r="CX5" i="20"/>
  <c r="CU5" i="20"/>
  <c r="DA51" i="19"/>
  <c r="DA50" i="19"/>
  <c r="CU49" i="19"/>
  <c r="CU48" i="19"/>
  <c r="DA46" i="19"/>
  <c r="DA44" i="19"/>
  <c r="DA43" i="19"/>
  <c r="CU43" i="19"/>
  <c r="DA42" i="19"/>
  <c r="CU42" i="19"/>
  <c r="DA41" i="19"/>
  <c r="CU41" i="19"/>
  <c r="DA40" i="19"/>
  <c r="CU40" i="19"/>
  <c r="DA39" i="19"/>
  <c r="CU39" i="19"/>
  <c r="DA38" i="19"/>
  <c r="CU38" i="19"/>
  <c r="DA37" i="19"/>
  <c r="CU37" i="19"/>
  <c r="DA36" i="19"/>
  <c r="DA23" i="19" s="1"/>
  <c r="CU36" i="19"/>
  <c r="DA35" i="19"/>
  <c r="CU35" i="19"/>
  <c r="DA34" i="19"/>
  <c r="CU34" i="19"/>
  <c r="CU25" i="19" s="1"/>
  <c r="DA33" i="19"/>
  <c r="CU33" i="19"/>
  <c r="DA32" i="19"/>
  <c r="CU32" i="19"/>
  <c r="CU44" i="19" s="1"/>
  <c r="CU11" i="19" s="1"/>
  <c r="DA31" i="19"/>
  <c r="CU31" i="19"/>
  <c r="DA30" i="19"/>
  <c r="CU30" i="19"/>
  <c r="DA29" i="19"/>
  <c r="CU29" i="19"/>
  <c r="DA28" i="19"/>
  <c r="CU28" i="19"/>
  <c r="HB27" i="19"/>
  <c r="GM27" i="19"/>
  <c r="FI27" i="19"/>
  <c r="ET27" i="19"/>
  <c r="EE27" i="19"/>
  <c r="DA27" i="19"/>
  <c r="CX27" i="19"/>
  <c r="CU27" i="19"/>
  <c r="CU24" i="19" s="1"/>
  <c r="HB26" i="19"/>
  <c r="HB24" i="19" s="1"/>
  <c r="GM26" i="19"/>
  <c r="FI26" i="19"/>
  <c r="ET26" i="19"/>
  <c r="EE26" i="19"/>
  <c r="DP26" i="19"/>
  <c r="DG26" i="19"/>
  <c r="DA26" i="19"/>
  <c r="CX26" i="19"/>
  <c r="CU26" i="19"/>
  <c r="HB25" i="19"/>
  <c r="GM25" i="19"/>
  <c r="FI25" i="19"/>
  <c r="ET25" i="19"/>
  <c r="EE25" i="19"/>
  <c r="EE23" i="19" s="1"/>
  <c r="DP25" i="19"/>
  <c r="DP23" i="19" s="1"/>
  <c r="DA25" i="19"/>
  <c r="CX25" i="19"/>
  <c r="GM24" i="19"/>
  <c r="FI24" i="19"/>
  <c r="ET24" i="19"/>
  <c r="EE24" i="19"/>
  <c r="DP24" i="19"/>
  <c r="DD24" i="19"/>
  <c r="CX24" i="19"/>
  <c r="HB23" i="19"/>
  <c r="GM23" i="19"/>
  <c r="FI23" i="19"/>
  <c r="ET23" i="19"/>
  <c r="DG23" i="19"/>
  <c r="DD23" i="19"/>
  <c r="HB22" i="19"/>
  <c r="HB16" i="19" s="1"/>
  <c r="GM22" i="19"/>
  <c r="FI22" i="19"/>
  <c r="ET22" i="19"/>
  <c r="EE22" i="19"/>
  <c r="EE16" i="19" s="1"/>
  <c r="DP22" i="19"/>
  <c r="DP16" i="19" s="1"/>
  <c r="DD22" i="19"/>
  <c r="DD21" i="19" s="1"/>
  <c r="HB21" i="19"/>
  <c r="GM21" i="19"/>
  <c r="GA21" i="19"/>
  <c r="FL21" i="19"/>
  <c r="FI21" i="19"/>
  <c r="EW21" i="19"/>
  <c r="ET21" i="19"/>
  <c r="EH21" i="19"/>
  <c r="EE21" i="19"/>
  <c r="DS21" i="19"/>
  <c r="DP21" i="19"/>
  <c r="HB20" i="19"/>
  <c r="GP20" i="19"/>
  <c r="GM20" i="19"/>
  <c r="GA20" i="19"/>
  <c r="FL20" i="19"/>
  <c r="FI20" i="19"/>
  <c r="EW20" i="19"/>
  <c r="ET20" i="19"/>
  <c r="ET16" i="19" s="1"/>
  <c r="EH20" i="19"/>
  <c r="EE20" i="19"/>
  <c r="DS20" i="19"/>
  <c r="DP20" i="19"/>
  <c r="DG20" i="19"/>
  <c r="DD20" i="19"/>
  <c r="HB19" i="19"/>
  <c r="GP19" i="19"/>
  <c r="GM19" i="19"/>
  <c r="GA19" i="19"/>
  <c r="GA18" i="19" s="1"/>
  <c r="FL19" i="19"/>
  <c r="FL18" i="19" s="1"/>
  <c r="FI19" i="19"/>
  <c r="EW19" i="19"/>
  <c r="EW18" i="19" s="1"/>
  <c r="ET19" i="19"/>
  <c r="EH19" i="19"/>
  <c r="EH18" i="19" s="1"/>
  <c r="EE19" i="19"/>
  <c r="DS19" i="19"/>
  <c r="DS18" i="19" s="1"/>
  <c r="DP19" i="19"/>
  <c r="DP11" i="19" s="1"/>
  <c r="CX19" i="19"/>
  <c r="CX21" i="19" s="1"/>
  <c r="HB18" i="19"/>
  <c r="GP18" i="19"/>
  <c r="GP17" i="19" s="1"/>
  <c r="GM18" i="19"/>
  <c r="FI18" i="19"/>
  <c r="ET18" i="19"/>
  <c r="EE18" i="19"/>
  <c r="DP18" i="19"/>
  <c r="CX18" i="19"/>
  <c r="HB17" i="19"/>
  <c r="GM17" i="19"/>
  <c r="FI17" i="19"/>
  <c r="ET17" i="19"/>
  <c r="EE17" i="19"/>
  <c r="DP17" i="19"/>
  <c r="DD17" i="19"/>
  <c r="DM9" i="19" s="1"/>
  <c r="CX17" i="19"/>
  <c r="GM16" i="19"/>
  <c r="GA16" i="19"/>
  <c r="FL16" i="19"/>
  <c r="FI16" i="19"/>
  <c r="EW16" i="19"/>
  <c r="EH16" i="19"/>
  <c r="DG16" i="19"/>
  <c r="DD16" i="19"/>
  <c r="CX16" i="19"/>
  <c r="HB15" i="19"/>
  <c r="GP15" i="19"/>
  <c r="GM15" i="19"/>
  <c r="FI15" i="19"/>
  <c r="ET15" i="19"/>
  <c r="ET2" i="19" s="1"/>
  <c r="EB15" i="19"/>
  <c r="DP15" i="19"/>
  <c r="DD15" i="19"/>
  <c r="CX15" i="19"/>
  <c r="HB14" i="19"/>
  <c r="GP14" i="19"/>
  <c r="GY14" i="19" s="1"/>
  <c r="GM14" i="19"/>
  <c r="GA14" i="19"/>
  <c r="GJ14" i="19" s="1"/>
  <c r="FL14" i="19"/>
  <c r="FI14" i="19"/>
  <c r="EW14" i="19"/>
  <c r="FF14" i="19" s="1"/>
  <c r="ET14" i="19"/>
  <c r="EQ14" i="19"/>
  <c r="EH14" i="19"/>
  <c r="EE14" i="19"/>
  <c r="EB14" i="19"/>
  <c r="DY14" i="19"/>
  <c r="DS14" i="19"/>
  <c r="DP14" i="19"/>
  <c r="DP6" i="19" s="1"/>
  <c r="DD14" i="19"/>
  <c r="CX14" i="19"/>
  <c r="HB13" i="19"/>
  <c r="GY13" i="19"/>
  <c r="GV13" i="19"/>
  <c r="GP13" i="19"/>
  <c r="GM13" i="19"/>
  <c r="GJ13" i="19"/>
  <c r="GG13" i="19"/>
  <c r="GA13" i="19"/>
  <c r="FL13" i="19"/>
  <c r="FI13" i="19"/>
  <c r="FF13" i="19"/>
  <c r="FC13" i="19"/>
  <c r="EW13" i="19"/>
  <c r="ET13" i="19"/>
  <c r="EQ13" i="19"/>
  <c r="EN13" i="19"/>
  <c r="EH13" i="19"/>
  <c r="EE13" i="19"/>
  <c r="EB13" i="19"/>
  <c r="DY13" i="19"/>
  <c r="DS13" i="19"/>
  <c r="DP13" i="19"/>
  <c r="DD13" i="19"/>
  <c r="CX13" i="19"/>
  <c r="CU13" i="19"/>
  <c r="HB12" i="19"/>
  <c r="GY12" i="19"/>
  <c r="GV12" i="19"/>
  <c r="GP12" i="19"/>
  <c r="GP7" i="19" s="1"/>
  <c r="GM12" i="19"/>
  <c r="GJ12" i="19"/>
  <c r="GG12" i="19"/>
  <c r="GA12" i="19"/>
  <c r="FL12" i="19"/>
  <c r="FI12" i="19"/>
  <c r="FF12" i="19"/>
  <c r="FC12" i="19"/>
  <c r="EW12" i="19"/>
  <c r="ET12" i="19"/>
  <c r="EQ12" i="19"/>
  <c r="EN12" i="19"/>
  <c r="EH12" i="19"/>
  <c r="EE12" i="19"/>
  <c r="EB12" i="19"/>
  <c r="DY12" i="19"/>
  <c r="DS12" i="19"/>
  <c r="DP12" i="19"/>
  <c r="DD12" i="19"/>
  <c r="DA12" i="19"/>
  <c r="CX12" i="19"/>
  <c r="CU12" i="19"/>
  <c r="HB11" i="19"/>
  <c r="GY11" i="19"/>
  <c r="GV11" i="19"/>
  <c r="GP11" i="19"/>
  <c r="GM11" i="19"/>
  <c r="GJ11" i="19"/>
  <c r="GG11" i="19"/>
  <c r="GA11" i="19"/>
  <c r="FL11" i="19"/>
  <c r="FI11" i="19"/>
  <c r="FF11" i="19"/>
  <c r="FC11" i="19"/>
  <c r="EW11" i="19"/>
  <c r="ET11" i="19"/>
  <c r="EQ11" i="19"/>
  <c r="EN11" i="19"/>
  <c r="EH11" i="19"/>
  <c r="EE11" i="19"/>
  <c r="EB11" i="19"/>
  <c r="DY11" i="19"/>
  <c r="DS11" i="19"/>
  <c r="DG11" i="19"/>
  <c r="DD11" i="19"/>
  <c r="DD10" i="19" s="1"/>
  <c r="DA11" i="19"/>
  <c r="DA10" i="19" s="1"/>
  <c r="CX11" i="19"/>
  <c r="CX20" i="19" s="1"/>
  <c r="HB10" i="19"/>
  <c r="GY10" i="19"/>
  <c r="GV10" i="19"/>
  <c r="GP10" i="19"/>
  <c r="GM10" i="19"/>
  <c r="GJ10" i="19"/>
  <c r="GG10" i="19"/>
  <c r="GA10" i="19"/>
  <c r="FL10" i="19"/>
  <c r="FI10" i="19"/>
  <c r="FF10" i="19"/>
  <c r="FC10" i="19"/>
  <c r="EW10" i="19"/>
  <c r="EW7" i="19" s="1"/>
  <c r="ET10" i="19"/>
  <c r="EQ10" i="19"/>
  <c r="EN10" i="19"/>
  <c r="EH10" i="19"/>
  <c r="EE10" i="19"/>
  <c r="EE2" i="19" s="1"/>
  <c r="EB10" i="19"/>
  <c r="DY10" i="19"/>
  <c r="DS10" i="19"/>
  <c r="DS7" i="19" s="1"/>
  <c r="DS2" i="19" s="1"/>
  <c r="DP10" i="19"/>
  <c r="DG10" i="19"/>
  <c r="DG5" i="19" s="1"/>
  <c r="CX10" i="19"/>
  <c r="CU10" i="19"/>
  <c r="HB9" i="19"/>
  <c r="GY9" i="19"/>
  <c r="GV9" i="19"/>
  <c r="GP9" i="19"/>
  <c r="GM9" i="19"/>
  <c r="GJ9" i="19"/>
  <c r="GG9" i="19"/>
  <c r="GA9" i="19"/>
  <c r="FL9" i="19"/>
  <c r="FI9" i="19"/>
  <c r="FF9" i="19"/>
  <c r="FC9" i="19"/>
  <c r="EW9" i="19"/>
  <c r="ET9" i="19"/>
  <c r="EQ9" i="19"/>
  <c r="EN9" i="19"/>
  <c r="EH9" i="19"/>
  <c r="EE9" i="19"/>
  <c r="EB9" i="19"/>
  <c r="DY9" i="19"/>
  <c r="DS9" i="19"/>
  <c r="DP9" i="19"/>
  <c r="DD9" i="19"/>
  <c r="DA9" i="19"/>
  <c r="CX9" i="19"/>
  <c r="CU9" i="19"/>
  <c r="HB8" i="19"/>
  <c r="HB6" i="19" s="1"/>
  <c r="GY8" i="19"/>
  <c r="GV8" i="19"/>
  <c r="GP8" i="19"/>
  <c r="GM8" i="19"/>
  <c r="GJ8" i="19"/>
  <c r="GG8" i="19"/>
  <c r="GA8" i="19"/>
  <c r="GA7" i="19" s="1"/>
  <c r="FL8" i="19"/>
  <c r="FL7" i="19" s="1"/>
  <c r="FL2" i="19" s="1"/>
  <c r="FI8" i="19"/>
  <c r="FF8" i="19"/>
  <c r="FC8" i="19"/>
  <c r="EW8" i="19"/>
  <c r="ET8" i="19"/>
  <c r="ET6" i="19" s="1"/>
  <c r="EQ8" i="19"/>
  <c r="EQ6" i="19" s="1"/>
  <c r="EN8" i="19"/>
  <c r="EN6" i="19" s="1"/>
  <c r="EH8" i="19"/>
  <c r="EH7" i="19" s="1"/>
  <c r="EE8" i="19"/>
  <c r="EB8" i="19"/>
  <c r="EB6" i="19" s="1"/>
  <c r="DY8" i="19"/>
  <c r="DY6" i="19" s="1"/>
  <c r="DS8" i="19"/>
  <c r="DP8" i="19"/>
  <c r="DP5" i="19" s="1"/>
  <c r="DM8" i="19"/>
  <c r="DJ8" i="19"/>
  <c r="DD8" i="19"/>
  <c r="DD7" i="19" s="1"/>
  <c r="DA8" i="19"/>
  <c r="CX8" i="19"/>
  <c r="CU8" i="19"/>
  <c r="HB7" i="19"/>
  <c r="GY7" i="19"/>
  <c r="GV7" i="19"/>
  <c r="GM7" i="19"/>
  <c r="GM5" i="19" s="1"/>
  <c r="GJ7" i="19"/>
  <c r="GG7" i="19"/>
  <c r="FU7" i="19"/>
  <c r="FI7" i="19"/>
  <c r="FI5" i="19" s="1"/>
  <c r="FI2" i="19" s="1"/>
  <c r="FF7" i="19"/>
  <c r="FF5" i="19" s="1"/>
  <c r="FC7" i="19"/>
  <c r="FC5" i="19" s="1"/>
  <c r="ET7" i="19"/>
  <c r="ET5" i="19" s="1"/>
  <c r="EQ7" i="19"/>
  <c r="EQ5" i="19" s="1"/>
  <c r="EN7" i="19"/>
  <c r="EN5" i="19" s="1"/>
  <c r="EE7" i="19"/>
  <c r="EB7" i="19"/>
  <c r="DY7" i="19"/>
  <c r="DM7" i="19"/>
  <c r="DJ7" i="19"/>
  <c r="DG7" i="19"/>
  <c r="DA7" i="19"/>
  <c r="CX7" i="19"/>
  <c r="CX6" i="19" s="1"/>
  <c r="CX22" i="19" s="1"/>
  <c r="CU7" i="19"/>
  <c r="GY6" i="19"/>
  <c r="GV6" i="19"/>
  <c r="GP6" i="19"/>
  <c r="GM6" i="19"/>
  <c r="GJ6" i="19"/>
  <c r="GG6" i="19"/>
  <c r="GD6" i="19"/>
  <c r="GA6" i="19"/>
  <c r="FU6" i="19"/>
  <c r="FR6" i="19"/>
  <c r="FL6" i="19"/>
  <c r="FI6" i="19"/>
  <c r="FF6" i="19"/>
  <c r="FC6" i="19"/>
  <c r="EZ6" i="19"/>
  <c r="EW6" i="19"/>
  <c r="EK6" i="19"/>
  <c r="EH6" i="19"/>
  <c r="EE6" i="19"/>
  <c r="DV6" i="19"/>
  <c r="DS6" i="19"/>
  <c r="DM6" i="19"/>
  <c r="DJ6" i="19"/>
  <c r="DG6" i="19"/>
  <c r="DD6" i="19"/>
  <c r="DA6" i="19"/>
  <c r="CU6" i="19"/>
  <c r="HB5" i="19"/>
  <c r="GY5" i="19"/>
  <c r="GV5" i="19"/>
  <c r="GS5" i="19"/>
  <c r="GP5" i="19"/>
  <c r="GJ5" i="19"/>
  <c r="GG5" i="19"/>
  <c r="GD5" i="19"/>
  <c r="GA5" i="19"/>
  <c r="FX5" i="19"/>
  <c r="FX2" i="19" s="1"/>
  <c r="FU5" i="19"/>
  <c r="FR5" i="19"/>
  <c r="FO5" i="19"/>
  <c r="FL5" i="19"/>
  <c r="EZ5" i="19"/>
  <c r="EW5" i="19"/>
  <c r="EK5" i="19"/>
  <c r="EH5" i="19"/>
  <c r="EE5" i="19"/>
  <c r="EB5" i="19"/>
  <c r="DY5" i="19"/>
  <c r="DV5" i="19"/>
  <c r="DS5" i="19"/>
  <c r="DM5" i="19"/>
  <c r="DJ5" i="19"/>
  <c r="DD5" i="19"/>
  <c r="DA5" i="19"/>
  <c r="DA15" i="19" s="1"/>
  <c r="CX5" i="19"/>
  <c r="CU5" i="19"/>
  <c r="CU16" i="19" s="1"/>
  <c r="CX23" i="15"/>
  <c r="CX22" i="15"/>
  <c r="CX21" i="15"/>
  <c r="CX20" i="15"/>
  <c r="DA51" i="15"/>
  <c r="CU17" i="1"/>
  <c r="DG2" i="15"/>
  <c r="DJ2" i="15"/>
  <c r="DM2" i="15"/>
  <c r="DP2" i="15"/>
  <c r="DD22" i="15"/>
  <c r="DD23" i="15"/>
  <c r="DD24" i="15"/>
  <c r="DD2" i="15"/>
  <c r="DA15" i="15"/>
  <c r="DA14" i="15"/>
  <c r="DA13" i="15"/>
  <c r="GS2" i="15"/>
  <c r="GP2" i="15"/>
  <c r="GA2" i="15"/>
  <c r="FL2" i="15"/>
  <c r="EW2" i="15"/>
  <c r="EH2" i="15"/>
  <c r="DS2" i="15"/>
  <c r="CU16" i="15"/>
  <c r="CU15" i="15"/>
  <c r="CU14" i="15"/>
  <c r="CU16" i="18"/>
  <c r="CU15" i="18"/>
  <c r="CU14" i="18"/>
  <c r="CU48" i="17"/>
  <c r="CU43" i="17"/>
  <c r="CU42" i="17"/>
  <c r="CU41" i="17"/>
  <c r="CU40" i="17"/>
  <c r="CU39" i="17"/>
  <c r="CU38" i="17"/>
  <c r="CU37" i="17"/>
  <c r="CU36" i="17"/>
  <c r="CU35" i="17"/>
  <c r="CU34" i="17"/>
  <c r="CU33" i="17"/>
  <c r="CU32" i="17"/>
  <c r="CU44" i="17" s="1"/>
  <c r="CU31" i="17"/>
  <c r="CU30" i="17"/>
  <c r="CU25" i="17" s="1"/>
  <c r="CU29" i="17"/>
  <c r="CU28" i="17"/>
  <c r="CU27" i="17"/>
  <c r="CU26" i="17"/>
  <c r="CU13" i="17"/>
  <c r="CU12" i="17"/>
  <c r="CU10" i="17"/>
  <c r="CU9" i="17"/>
  <c r="CU8" i="17"/>
  <c r="CU7" i="17"/>
  <c r="CU6" i="17"/>
  <c r="CU5" i="17"/>
  <c r="CU48" i="16"/>
  <c r="CU43" i="16"/>
  <c r="CU42" i="16"/>
  <c r="CU41" i="16"/>
  <c r="CU40" i="16"/>
  <c r="CU39" i="16"/>
  <c r="CU38" i="16"/>
  <c r="CU37" i="16"/>
  <c r="CU36" i="16"/>
  <c r="CU35" i="16"/>
  <c r="CU34" i="16"/>
  <c r="CU33" i="16"/>
  <c r="CU32" i="16"/>
  <c r="CU44" i="16" s="1"/>
  <c r="CU31" i="16"/>
  <c r="CU30" i="16"/>
  <c r="CU25" i="16" s="1"/>
  <c r="CU29" i="16"/>
  <c r="CU28" i="16"/>
  <c r="CU27" i="16"/>
  <c r="CU26" i="16"/>
  <c r="CU13" i="16"/>
  <c r="CU12" i="16"/>
  <c r="CU10" i="16"/>
  <c r="CU9" i="16"/>
  <c r="CU8" i="16"/>
  <c r="CU7" i="16"/>
  <c r="CU6" i="16"/>
  <c r="CU5" i="16"/>
  <c r="CU16" i="14"/>
  <c r="CU15" i="14"/>
  <c r="CU14" i="14"/>
  <c r="BW2" i="21"/>
  <c r="BZ2" i="21"/>
  <c r="BZ38" i="21"/>
  <c r="BZ37" i="21"/>
  <c r="BW34" i="21"/>
  <c r="CF33" i="21"/>
  <c r="CC33" i="21"/>
  <c r="BZ33" i="21"/>
  <c r="BZ10" i="21" s="1"/>
  <c r="BW33" i="21"/>
  <c r="CL32" i="21"/>
  <c r="CL19" i="21" s="1"/>
  <c r="CF32" i="21"/>
  <c r="CC32" i="21"/>
  <c r="BZ32" i="21"/>
  <c r="BW32" i="21"/>
  <c r="CL31" i="21"/>
  <c r="CL30" i="21" s="1"/>
  <c r="CF31" i="21"/>
  <c r="CC31" i="21"/>
  <c r="BZ31" i="21"/>
  <c r="CO30" i="21"/>
  <c r="CF30" i="21"/>
  <c r="CC30" i="21"/>
  <c r="BZ30" i="21"/>
  <c r="BT30" i="21"/>
  <c r="CO29" i="21"/>
  <c r="CL29" i="21"/>
  <c r="CF29" i="21"/>
  <c r="CC29" i="21"/>
  <c r="BZ29" i="21"/>
  <c r="BT29" i="21"/>
  <c r="CO28" i="21"/>
  <c r="CL28" i="21"/>
  <c r="CF28" i="21"/>
  <c r="CC28" i="21"/>
  <c r="BZ28" i="21"/>
  <c r="CO27" i="21"/>
  <c r="CL27" i="21"/>
  <c r="CF27" i="21"/>
  <c r="CC27" i="21"/>
  <c r="BZ27" i="21"/>
  <c r="BZ16" i="21" s="1"/>
  <c r="BW27" i="21"/>
  <c r="BT27" i="21"/>
  <c r="CO26" i="21"/>
  <c r="CL26" i="21"/>
  <c r="CF26" i="21"/>
  <c r="CC26" i="21"/>
  <c r="BZ26" i="21"/>
  <c r="BW26" i="21"/>
  <c r="BT26" i="21"/>
  <c r="CO25" i="21"/>
  <c r="CL25" i="21"/>
  <c r="CF25" i="21"/>
  <c r="CF24" i="21" s="1"/>
  <c r="CC25" i="21"/>
  <c r="CC24" i="21" s="1"/>
  <c r="BZ25" i="21"/>
  <c r="BW25" i="21"/>
  <c r="BW12" i="21" s="1"/>
  <c r="BT25" i="21"/>
  <c r="BT11" i="21" s="1"/>
  <c r="CO24" i="21"/>
  <c r="CL24" i="21"/>
  <c r="BZ24" i="21"/>
  <c r="BW24" i="21"/>
  <c r="CR23" i="21"/>
  <c r="CO23" i="21"/>
  <c r="CL23" i="21"/>
  <c r="BZ23" i="21"/>
  <c r="BW23" i="21"/>
  <c r="CO22" i="21"/>
  <c r="CR22" i="21" s="1"/>
  <c r="CL22" i="21"/>
  <c r="CF22" i="21"/>
  <c r="CC22" i="21"/>
  <c r="CC19" i="21" s="1"/>
  <c r="BZ22" i="21"/>
  <c r="BW22" i="21"/>
  <c r="BZ21" i="21"/>
  <c r="BW21" i="21"/>
  <c r="BW15" i="21" s="1"/>
  <c r="BZ20" i="21"/>
  <c r="BW20" i="21"/>
  <c r="BT20" i="21"/>
  <c r="BZ19" i="21"/>
  <c r="BW19" i="21"/>
  <c r="BT19" i="21"/>
  <c r="BZ18" i="21"/>
  <c r="BW18" i="21"/>
  <c r="BT18" i="21"/>
  <c r="BZ17" i="21"/>
  <c r="BW17" i="21"/>
  <c r="BT17" i="21"/>
  <c r="CI16" i="21"/>
  <c r="CF16" i="21"/>
  <c r="CC16" i="21"/>
  <c r="BW16" i="21"/>
  <c r="BT16" i="21"/>
  <c r="CL15" i="21"/>
  <c r="CI15" i="21"/>
  <c r="CF15" i="21"/>
  <c r="CC15" i="21"/>
  <c r="BT15" i="21"/>
  <c r="CL14" i="21"/>
  <c r="CI14" i="21"/>
  <c r="CF14" i="21"/>
  <c r="CC14" i="21"/>
  <c r="BW14" i="21"/>
  <c r="BT14" i="21"/>
  <c r="CO13" i="21"/>
  <c r="CI13" i="21"/>
  <c r="CF13" i="21"/>
  <c r="CC13" i="21"/>
  <c r="BW13" i="21"/>
  <c r="BT13" i="21"/>
  <c r="CO12" i="21"/>
  <c r="CI12" i="21"/>
  <c r="CF12" i="21"/>
  <c r="CC12" i="21"/>
  <c r="BZ12" i="21"/>
  <c r="BT12" i="21"/>
  <c r="CO11" i="21"/>
  <c r="CL11" i="21"/>
  <c r="CL12" i="21" s="1"/>
  <c r="CL13" i="21" s="1"/>
  <c r="CI11" i="21"/>
  <c r="CF11" i="21"/>
  <c r="CC11" i="21"/>
  <c r="BZ11" i="21"/>
  <c r="CO10" i="21"/>
  <c r="CL10" i="21"/>
  <c r="CI10" i="21"/>
  <c r="CF10" i="21"/>
  <c r="CC10" i="21"/>
  <c r="CC23" i="21" s="1"/>
  <c r="BT10" i="21"/>
  <c r="CO9" i="21"/>
  <c r="CL9" i="21"/>
  <c r="CI9" i="21"/>
  <c r="CF9" i="21"/>
  <c r="CC9" i="21"/>
  <c r="BZ9" i="21"/>
  <c r="BW9" i="21"/>
  <c r="BT9" i="21"/>
  <c r="BT28" i="21" s="1"/>
  <c r="CO8" i="21"/>
  <c r="CL8" i="21"/>
  <c r="CI8" i="21"/>
  <c r="CF8" i="21"/>
  <c r="CC8" i="21"/>
  <c r="BZ8" i="21"/>
  <c r="BW8" i="21"/>
  <c r="BT8" i="21"/>
  <c r="CO7" i="21"/>
  <c r="CL7" i="21"/>
  <c r="CL2" i="21" s="1"/>
  <c r="CI7" i="21"/>
  <c r="CF7" i="21"/>
  <c r="CC7" i="21"/>
  <c r="BZ7" i="21"/>
  <c r="BW7" i="21"/>
  <c r="BT7" i="21"/>
  <c r="CR6" i="21"/>
  <c r="CO6" i="21"/>
  <c r="CL6" i="21"/>
  <c r="CF6" i="21"/>
  <c r="CC6" i="21"/>
  <c r="BZ6" i="21"/>
  <c r="BW6" i="21"/>
  <c r="BT6" i="21"/>
  <c r="CR5" i="21"/>
  <c r="CO5" i="21"/>
  <c r="CL5" i="21"/>
  <c r="CI5" i="21"/>
  <c r="CF5" i="21"/>
  <c r="CC5" i="21"/>
  <c r="BZ5" i="21"/>
  <c r="BW5" i="21"/>
  <c r="BT5" i="21"/>
  <c r="CF2" i="21"/>
  <c r="CC2" i="21"/>
  <c r="BZ38" i="20"/>
  <c r="BZ37" i="20"/>
  <c r="BW34" i="20"/>
  <c r="CF33" i="20"/>
  <c r="CC33" i="20"/>
  <c r="BZ33" i="20"/>
  <c r="BZ10" i="20" s="1"/>
  <c r="BW33" i="20"/>
  <c r="CL32" i="20"/>
  <c r="CL19" i="20" s="1"/>
  <c r="CF32" i="20"/>
  <c r="CC32" i="20"/>
  <c r="BZ32" i="20"/>
  <c r="BW32" i="20"/>
  <c r="CL31" i="20"/>
  <c r="CL30" i="20" s="1"/>
  <c r="CF31" i="20"/>
  <c r="CC31" i="20"/>
  <c r="BZ31" i="20"/>
  <c r="CO30" i="20"/>
  <c r="CF30" i="20"/>
  <c r="CC30" i="20"/>
  <c r="BZ30" i="20"/>
  <c r="BT30" i="20"/>
  <c r="CO29" i="20"/>
  <c r="CL29" i="20"/>
  <c r="CF29" i="20"/>
  <c r="CC29" i="20"/>
  <c r="BZ29" i="20"/>
  <c r="BT29" i="20"/>
  <c r="CO28" i="20"/>
  <c r="CL28" i="20"/>
  <c r="CF28" i="20"/>
  <c r="CC28" i="20"/>
  <c r="BZ28" i="20"/>
  <c r="CO27" i="20"/>
  <c r="CL27" i="20"/>
  <c r="CF27" i="20"/>
  <c r="CC27" i="20"/>
  <c r="BZ27" i="20"/>
  <c r="BZ16" i="20" s="1"/>
  <c r="BW27" i="20"/>
  <c r="BT27" i="20"/>
  <c r="CO26" i="20"/>
  <c r="CL26" i="20"/>
  <c r="CF26" i="20"/>
  <c r="CC26" i="20"/>
  <c r="BZ26" i="20"/>
  <c r="BW26" i="20"/>
  <c r="BT26" i="20"/>
  <c r="CO25" i="20"/>
  <c r="CL25" i="20"/>
  <c r="CF25" i="20"/>
  <c r="CF24" i="20" s="1"/>
  <c r="CC25" i="20"/>
  <c r="CC24" i="20" s="1"/>
  <c r="BZ25" i="20"/>
  <c r="BW25" i="20"/>
  <c r="BW12" i="20" s="1"/>
  <c r="BT25" i="20"/>
  <c r="BT11" i="20" s="1"/>
  <c r="CO24" i="20"/>
  <c r="CL24" i="20"/>
  <c r="BZ24" i="20"/>
  <c r="BW24" i="20"/>
  <c r="CR23" i="20"/>
  <c r="CO23" i="20"/>
  <c r="CL23" i="20"/>
  <c r="BZ23" i="20"/>
  <c r="BW23" i="20"/>
  <c r="CO22" i="20"/>
  <c r="CR22" i="20" s="1"/>
  <c r="CL22" i="20"/>
  <c r="CF22" i="20"/>
  <c r="CC22" i="20"/>
  <c r="CC19" i="20" s="1"/>
  <c r="BZ22" i="20"/>
  <c r="BW22" i="20"/>
  <c r="BZ21" i="20"/>
  <c r="BW21" i="20"/>
  <c r="BW15" i="20" s="1"/>
  <c r="BZ20" i="20"/>
  <c r="BW20" i="20"/>
  <c r="BT20" i="20"/>
  <c r="BZ19" i="20"/>
  <c r="BW19" i="20"/>
  <c r="BT19" i="20"/>
  <c r="BZ18" i="20"/>
  <c r="BW18" i="20"/>
  <c r="BT18" i="20"/>
  <c r="BZ17" i="20"/>
  <c r="BW17" i="20"/>
  <c r="BT17" i="20"/>
  <c r="CI16" i="20"/>
  <c r="CF16" i="20"/>
  <c r="CC16" i="20"/>
  <c r="BW16" i="20"/>
  <c r="BT16" i="20"/>
  <c r="CL15" i="20"/>
  <c r="CI15" i="20"/>
  <c r="CF15" i="20"/>
  <c r="CC15" i="20"/>
  <c r="BT15" i="20"/>
  <c r="CL14" i="20"/>
  <c r="CI14" i="20"/>
  <c r="CF14" i="20"/>
  <c r="CC14" i="20"/>
  <c r="BW14" i="20"/>
  <c r="BT14" i="20"/>
  <c r="CO13" i="20"/>
  <c r="CI13" i="20"/>
  <c r="CF13" i="20"/>
  <c r="CC13" i="20"/>
  <c r="BW13" i="20"/>
  <c r="BT13" i="20"/>
  <c r="CO12" i="20"/>
  <c r="CI12" i="20"/>
  <c r="CF12" i="20"/>
  <c r="CC12" i="20"/>
  <c r="BZ12" i="20"/>
  <c r="BT12" i="20"/>
  <c r="CO11" i="20"/>
  <c r="CL11" i="20"/>
  <c r="CL12" i="20" s="1"/>
  <c r="CL13" i="20" s="1"/>
  <c r="CI11" i="20"/>
  <c r="CF11" i="20"/>
  <c r="CC11" i="20"/>
  <c r="BZ11" i="20"/>
  <c r="CO10" i="20"/>
  <c r="CL10" i="20"/>
  <c r="CI10" i="20"/>
  <c r="CF10" i="20"/>
  <c r="CC10" i="20"/>
  <c r="CC23" i="20" s="1"/>
  <c r="BT10" i="20"/>
  <c r="CO9" i="20"/>
  <c r="CL9" i="20"/>
  <c r="CI9" i="20"/>
  <c r="CF9" i="20"/>
  <c r="CC9" i="20"/>
  <c r="BZ9" i="20"/>
  <c r="BW9" i="20"/>
  <c r="BT9" i="20"/>
  <c r="BT28" i="20" s="1"/>
  <c r="CO8" i="20"/>
  <c r="CL8" i="20"/>
  <c r="CI8" i="20"/>
  <c r="CF8" i="20"/>
  <c r="CC8" i="20"/>
  <c r="BZ8" i="20"/>
  <c r="BW8" i="20"/>
  <c r="BT8" i="20"/>
  <c r="CO7" i="20"/>
  <c r="CL7" i="20"/>
  <c r="CL2" i="20" s="1"/>
  <c r="CI7" i="20"/>
  <c r="CF7" i="20"/>
  <c r="CC7" i="20"/>
  <c r="BZ7" i="20"/>
  <c r="BW7" i="20"/>
  <c r="BT7" i="20"/>
  <c r="CR6" i="20"/>
  <c r="CO6" i="20"/>
  <c r="CL6" i="20"/>
  <c r="CF6" i="20"/>
  <c r="CC6" i="20"/>
  <c r="BZ6" i="20"/>
  <c r="BW6" i="20"/>
  <c r="BT6" i="20"/>
  <c r="CR5" i="20"/>
  <c r="CO5" i="20"/>
  <c r="CL5" i="20"/>
  <c r="CI5" i="20"/>
  <c r="CF5" i="20"/>
  <c r="CC5" i="20"/>
  <c r="BZ5" i="20"/>
  <c r="BW5" i="20"/>
  <c r="BT5" i="20"/>
  <c r="CF2" i="20"/>
  <c r="CC2" i="20"/>
  <c r="BZ38" i="19"/>
  <c r="BZ37" i="19"/>
  <c r="BW34" i="19"/>
  <c r="CF33" i="19"/>
  <c r="CC33" i="19"/>
  <c r="BW33" i="19"/>
  <c r="CL32" i="19"/>
  <c r="CF32" i="19"/>
  <c r="CC32" i="19"/>
  <c r="BZ32" i="19"/>
  <c r="BW32" i="19"/>
  <c r="CL31" i="19"/>
  <c r="CF31" i="19"/>
  <c r="CC31" i="19"/>
  <c r="BZ31" i="19"/>
  <c r="CO30" i="19"/>
  <c r="CF30" i="19"/>
  <c r="CC30" i="19"/>
  <c r="BZ30" i="19"/>
  <c r="BT30" i="19"/>
  <c r="CO29" i="19"/>
  <c r="CF29" i="19"/>
  <c r="CC29" i="19"/>
  <c r="BZ29" i="19"/>
  <c r="BT29" i="19"/>
  <c r="CO28" i="19"/>
  <c r="CL28" i="19"/>
  <c r="CL29" i="19" s="1"/>
  <c r="CF28" i="19"/>
  <c r="CC28" i="19"/>
  <c r="BZ28" i="19"/>
  <c r="CO27" i="19"/>
  <c r="CL27" i="19"/>
  <c r="CF27" i="19"/>
  <c r="CC27" i="19"/>
  <c r="BZ27" i="19"/>
  <c r="BZ17" i="19" s="1"/>
  <c r="BW27" i="19"/>
  <c r="BT27" i="19"/>
  <c r="CO26" i="19"/>
  <c r="CL26" i="19"/>
  <c r="CF26" i="19"/>
  <c r="CC26" i="19"/>
  <c r="BZ26" i="19"/>
  <c r="BW26" i="19"/>
  <c r="BT26" i="19"/>
  <c r="CO25" i="19"/>
  <c r="CL25" i="19"/>
  <c r="CF25" i="19"/>
  <c r="CC25" i="19"/>
  <c r="CC24" i="19" s="1"/>
  <c r="BZ25" i="19"/>
  <c r="BZ33" i="19" s="1"/>
  <c r="BZ10" i="19" s="1"/>
  <c r="BW25" i="19"/>
  <c r="BT25" i="19"/>
  <c r="CO24" i="19"/>
  <c r="CL24" i="19"/>
  <c r="CF24" i="19"/>
  <c r="BZ24" i="19"/>
  <c r="BW24" i="19"/>
  <c r="CR23" i="19"/>
  <c r="CO23" i="19"/>
  <c r="CL23" i="19"/>
  <c r="BZ23" i="19"/>
  <c r="BW23" i="19"/>
  <c r="CR22" i="19"/>
  <c r="CO22" i="19"/>
  <c r="CL22" i="19"/>
  <c r="CF22" i="19"/>
  <c r="CC22" i="19"/>
  <c r="BZ22" i="19"/>
  <c r="BW22" i="19"/>
  <c r="BZ21" i="19"/>
  <c r="BW21" i="19"/>
  <c r="BZ20" i="19"/>
  <c r="BW20" i="19"/>
  <c r="BT20" i="19"/>
  <c r="CL19" i="19"/>
  <c r="CR19" i="19" s="1"/>
  <c r="BZ19" i="19"/>
  <c r="BW19" i="19"/>
  <c r="BT19" i="19"/>
  <c r="BZ18" i="19"/>
  <c r="BW18" i="19"/>
  <c r="BT18" i="19"/>
  <c r="BW17" i="19"/>
  <c r="BT17" i="19"/>
  <c r="CI16" i="19"/>
  <c r="CF16" i="19"/>
  <c r="CC16" i="19"/>
  <c r="BZ16" i="19"/>
  <c r="BW16" i="19"/>
  <c r="BT16" i="19"/>
  <c r="CL15" i="19"/>
  <c r="CI15" i="19"/>
  <c r="CF15" i="19"/>
  <c r="CC15" i="19"/>
  <c r="BW15" i="19"/>
  <c r="BT15" i="19"/>
  <c r="CL14" i="19"/>
  <c r="CI14" i="19"/>
  <c r="CF14" i="19"/>
  <c r="CC14" i="19"/>
  <c r="BW14" i="19"/>
  <c r="BT14" i="19"/>
  <c r="CO13" i="19"/>
  <c r="CI13" i="19"/>
  <c r="CF13" i="19"/>
  <c r="CC13" i="19"/>
  <c r="BW13" i="19"/>
  <c r="BT13" i="19"/>
  <c r="CO12" i="19"/>
  <c r="CI12" i="19"/>
  <c r="CF12" i="19"/>
  <c r="CC12" i="19"/>
  <c r="BZ12" i="19"/>
  <c r="BW12" i="19"/>
  <c r="BT12" i="19"/>
  <c r="CO11" i="19"/>
  <c r="CL11" i="19"/>
  <c r="CL12" i="19" s="1"/>
  <c r="CL13" i="19" s="1"/>
  <c r="CI11" i="19"/>
  <c r="CF11" i="19"/>
  <c r="CC11" i="19"/>
  <c r="BZ11" i="19"/>
  <c r="BT11" i="19"/>
  <c r="CO10" i="19"/>
  <c r="CL10" i="19"/>
  <c r="CI10" i="19"/>
  <c r="CF10" i="19"/>
  <c r="CC10" i="19"/>
  <c r="CF23" i="19" s="1"/>
  <c r="CF19" i="19" s="1"/>
  <c r="BT10" i="19"/>
  <c r="CO9" i="19"/>
  <c r="CL9" i="19"/>
  <c r="CI9" i="19"/>
  <c r="CF9" i="19"/>
  <c r="CC9" i="19"/>
  <c r="BZ9" i="19"/>
  <c r="BW9" i="19"/>
  <c r="BT9" i="19"/>
  <c r="BT28" i="19" s="1"/>
  <c r="CO8" i="19"/>
  <c r="CO6" i="19" s="1"/>
  <c r="CL8" i="19"/>
  <c r="CI8" i="19"/>
  <c r="CF8" i="19"/>
  <c r="CC8" i="19"/>
  <c r="BZ8" i="19"/>
  <c r="BW8" i="19"/>
  <c r="BT8" i="19"/>
  <c r="CO7" i="19"/>
  <c r="CL7" i="19"/>
  <c r="CI7" i="19"/>
  <c r="CF7" i="19"/>
  <c r="CC7" i="19"/>
  <c r="BZ7" i="19"/>
  <c r="BW7" i="19"/>
  <c r="BT7" i="19"/>
  <c r="CR6" i="19"/>
  <c r="CL6" i="19"/>
  <c r="CI6" i="19"/>
  <c r="CF6" i="19"/>
  <c r="CC6" i="19"/>
  <c r="BZ6" i="19"/>
  <c r="BW6" i="19"/>
  <c r="BT6" i="19"/>
  <c r="CR5" i="19"/>
  <c r="CO5" i="19"/>
  <c r="CL5" i="19"/>
  <c r="CI5" i="19"/>
  <c r="CF5" i="19"/>
  <c r="CC5" i="19"/>
  <c r="CC2" i="19" s="1"/>
  <c r="BZ5" i="19"/>
  <c r="BZ14" i="19" s="1"/>
  <c r="BW5" i="19"/>
  <c r="BW11" i="19" s="1"/>
  <c r="BT5" i="19"/>
  <c r="BT21" i="19" s="1"/>
  <c r="CL2" i="19"/>
  <c r="CR2" i="19" s="1"/>
  <c r="CI2" i="19"/>
  <c r="CF2" i="19"/>
  <c r="CL19" i="15"/>
  <c r="CL2" i="15"/>
  <c r="CF19" i="15"/>
  <c r="CC19" i="15"/>
  <c r="CI2" i="15"/>
  <c r="CF2" i="15"/>
  <c r="CC2" i="15"/>
  <c r="BT24" i="15"/>
  <c r="BT23" i="15"/>
  <c r="BT22" i="15"/>
  <c r="BT21" i="15"/>
  <c r="BW11" i="15"/>
  <c r="BW10" i="15"/>
  <c r="BZ15" i="15"/>
  <c r="BZ14" i="15"/>
  <c r="BZ13" i="15"/>
  <c r="AG2" i="21"/>
  <c r="AF2" i="21"/>
  <c r="AE2" i="21"/>
  <c r="AD2" i="21"/>
  <c r="AC2" i="21"/>
  <c r="Z47" i="21"/>
  <c r="Z46" i="21"/>
  <c r="Z44" i="21"/>
  <c r="Z43" i="21"/>
  <c r="W43" i="21"/>
  <c r="Z42" i="21"/>
  <c r="W42" i="21"/>
  <c r="AG39" i="21"/>
  <c r="AF39" i="21"/>
  <c r="AE39" i="21"/>
  <c r="AD39" i="21"/>
  <c r="AC39" i="21"/>
  <c r="AG38" i="21"/>
  <c r="AF38" i="21"/>
  <c r="AE38" i="21"/>
  <c r="AD38" i="21"/>
  <c r="AC38" i="21"/>
  <c r="BN37" i="21"/>
  <c r="BK37" i="21"/>
  <c r="BE37" i="21"/>
  <c r="BB37" i="21"/>
  <c r="AV37" i="21"/>
  <c r="AS37" i="21"/>
  <c r="AM37" i="21"/>
  <c r="AJ37" i="21"/>
  <c r="AG37" i="21"/>
  <c r="BN36" i="21"/>
  <c r="BK36" i="21"/>
  <c r="BE36" i="21"/>
  <c r="BB36" i="21"/>
  <c r="AV36" i="21"/>
  <c r="AS36" i="21"/>
  <c r="AM36" i="21"/>
  <c r="AJ36" i="21"/>
  <c r="AF36" i="21"/>
  <c r="Z36" i="21"/>
  <c r="W36" i="21"/>
  <c r="BN35" i="21"/>
  <c r="BK35" i="21"/>
  <c r="BE35" i="21"/>
  <c r="BB35" i="21"/>
  <c r="AV35" i="21"/>
  <c r="AS35" i="21"/>
  <c r="AM35" i="21"/>
  <c r="AJ35" i="21"/>
  <c r="AE35" i="21"/>
  <c r="AD35" i="21"/>
  <c r="AC35" i="21"/>
  <c r="Z35" i="21"/>
  <c r="W35" i="21"/>
  <c r="BN34" i="21"/>
  <c r="BK34" i="21"/>
  <c r="BE34" i="21"/>
  <c r="BB34" i="21"/>
  <c r="AV34" i="21"/>
  <c r="AS34" i="21"/>
  <c r="AM34" i="21"/>
  <c r="AJ34" i="21"/>
  <c r="BN33" i="21"/>
  <c r="BK33" i="21"/>
  <c r="BE33" i="21"/>
  <c r="BB33" i="21"/>
  <c r="AV33" i="21"/>
  <c r="AS33" i="21"/>
  <c r="AM33" i="21"/>
  <c r="AJ33" i="21"/>
  <c r="Z33" i="21"/>
  <c r="W33" i="21"/>
  <c r="BN32" i="21"/>
  <c r="BK32" i="21"/>
  <c r="BE32" i="21"/>
  <c r="BB32" i="21"/>
  <c r="AV32" i="21"/>
  <c r="AS32" i="21"/>
  <c r="AM32" i="21"/>
  <c r="AJ32" i="21"/>
  <c r="Z32" i="21"/>
  <c r="W32" i="21"/>
  <c r="BN31" i="21"/>
  <c r="BK31" i="21"/>
  <c r="BE31" i="21"/>
  <c r="BB31" i="21"/>
  <c r="AV31" i="21"/>
  <c r="AS31" i="21"/>
  <c r="AM31" i="21"/>
  <c r="AJ31" i="21"/>
  <c r="Z31" i="21"/>
  <c r="W31" i="21"/>
  <c r="BN30" i="21"/>
  <c r="BK30" i="21"/>
  <c r="BE30" i="21"/>
  <c r="BB30" i="21"/>
  <c r="AV30" i="21"/>
  <c r="AS30" i="21"/>
  <c r="AM30" i="21"/>
  <c r="AJ30" i="21"/>
  <c r="Z30" i="21"/>
  <c r="W30" i="21"/>
  <c r="BN29" i="21"/>
  <c r="BK29" i="21"/>
  <c r="BE29" i="21"/>
  <c r="BB29" i="21"/>
  <c r="AV29" i="21"/>
  <c r="AS29" i="21"/>
  <c r="AM29" i="21"/>
  <c r="AM25" i="21" s="1"/>
  <c r="AJ29" i="21"/>
  <c r="AJ25" i="21" s="1"/>
  <c r="AJ21" i="21" s="1"/>
  <c r="Z29" i="21"/>
  <c r="W29" i="21"/>
  <c r="W28" i="21" s="1"/>
  <c r="BN28" i="21"/>
  <c r="BK28" i="21"/>
  <c r="BE28" i="21"/>
  <c r="BB28" i="21"/>
  <c r="AV28" i="21"/>
  <c r="AS28" i="21"/>
  <c r="AM28" i="21"/>
  <c r="AJ28" i="21"/>
  <c r="AG28" i="21"/>
  <c r="AF28" i="21"/>
  <c r="AF27" i="21" s="1"/>
  <c r="AE28" i="21"/>
  <c r="AE27" i="21" s="1"/>
  <c r="AD28" i="21"/>
  <c r="AD27" i="21" s="1"/>
  <c r="AD30" i="21" s="1"/>
  <c r="AD34" i="21" s="1"/>
  <c r="AC28" i="21"/>
  <c r="AC27" i="21" s="1"/>
  <c r="AC30" i="21" s="1"/>
  <c r="Z28" i="21"/>
  <c r="BN27" i="21"/>
  <c r="BN26" i="21" s="1"/>
  <c r="BK27" i="21"/>
  <c r="BE27" i="21"/>
  <c r="BE26" i="21" s="1"/>
  <c r="BB27" i="21"/>
  <c r="BB26" i="21" s="1"/>
  <c r="AV27" i="21"/>
  <c r="AV26" i="21" s="1"/>
  <c r="AS27" i="21"/>
  <c r="AS26" i="21" s="1"/>
  <c r="AM27" i="21"/>
  <c r="AM26" i="21" s="1"/>
  <c r="AJ27" i="21"/>
  <c r="AG27" i="21"/>
  <c r="Z27" i="21"/>
  <c r="Z39" i="21" s="1"/>
  <c r="W27" i="21"/>
  <c r="W41" i="21" s="1"/>
  <c r="BK26" i="21"/>
  <c r="AJ26" i="21"/>
  <c r="AF26" i="21"/>
  <c r="AF30" i="21" s="1"/>
  <c r="AD26" i="21"/>
  <c r="AC26" i="21"/>
  <c r="BE25" i="21"/>
  <c r="AG25" i="21"/>
  <c r="AF25" i="21"/>
  <c r="AE25" i="21"/>
  <c r="AD25" i="21"/>
  <c r="AC25" i="21"/>
  <c r="BN24" i="21"/>
  <c r="BK24" i="21"/>
  <c r="BE24" i="21"/>
  <c r="BB24" i="21"/>
  <c r="AV24" i="21"/>
  <c r="AS24" i="21"/>
  <c r="AM24" i="21"/>
  <c r="AJ24" i="21"/>
  <c r="AG24" i="21"/>
  <c r="AF24" i="21"/>
  <c r="AE24" i="21"/>
  <c r="AD24" i="21"/>
  <c r="AC24" i="21"/>
  <c r="AG23" i="21"/>
  <c r="AF23" i="21"/>
  <c r="AE23" i="21"/>
  <c r="AD23" i="21"/>
  <c r="AC23" i="21"/>
  <c r="AG21" i="21"/>
  <c r="AF21" i="21"/>
  <c r="AE21" i="21"/>
  <c r="AD21" i="21"/>
  <c r="AC21" i="21"/>
  <c r="Z21" i="21"/>
  <c r="W21" i="21"/>
  <c r="AG20" i="21"/>
  <c r="AF20" i="21"/>
  <c r="AE20" i="21"/>
  <c r="AD20" i="21"/>
  <c r="AC20" i="21"/>
  <c r="Z20" i="21"/>
  <c r="W20" i="21"/>
  <c r="AG19" i="21"/>
  <c r="AF19" i="21"/>
  <c r="AE19" i="21"/>
  <c r="AD19" i="21"/>
  <c r="AC19" i="21"/>
  <c r="BQ18" i="21"/>
  <c r="BN18" i="21"/>
  <c r="BK18" i="21"/>
  <c r="BH18" i="21"/>
  <c r="BE18" i="21"/>
  <c r="BB18" i="21"/>
  <c r="AY18" i="21"/>
  <c r="AV18" i="21"/>
  <c r="AS18" i="21"/>
  <c r="AP18" i="21"/>
  <c r="AM18" i="21"/>
  <c r="AJ18" i="21"/>
  <c r="AG18" i="21"/>
  <c r="AF18" i="21"/>
  <c r="AE18" i="21"/>
  <c r="AD18" i="21"/>
  <c r="AC18" i="21"/>
  <c r="BQ17" i="21"/>
  <c r="BN17" i="21"/>
  <c r="BK17" i="21"/>
  <c r="BH17" i="21"/>
  <c r="BE17" i="21"/>
  <c r="BB17" i="21"/>
  <c r="AY17" i="21"/>
  <c r="AV17" i="21"/>
  <c r="AS17" i="21"/>
  <c r="AP17" i="21"/>
  <c r="AM17" i="21"/>
  <c r="AJ17" i="21"/>
  <c r="AG17" i="21"/>
  <c r="AF17" i="21"/>
  <c r="AE17" i="21"/>
  <c r="AD17" i="21"/>
  <c r="AC17" i="21"/>
  <c r="BQ16" i="21"/>
  <c r="BN16" i="21"/>
  <c r="BK16" i="21"/>
  <c r="BH16" i="21"/>
  <c r="BE16" i="21"/>
  <c r="BB16" i="21"/>
  <c r="AY16" i="21"/>
  <c r="AV16" i="21"/>
  <c r="AS16" i="21"/>
  <c r="AP16" i="21"/>
  <c r="AM16" i="21"/>
  <c r="AJ16" i="21"/>
  <c r="AG16" i="21"/>
  <c r="AF16" i="21"/>
  <c r="AE16" i="21"/>
  <c r="AD16" i="21"/>
  <c r="AC16" i="21"/>
  <c r="BQ15" i="21"/>
  <c r="BN15" i="21"/>
  <c r="BK15" i="21"/>
  <c r="BH15" i="21"/>
  <c r="BE15" i="21"/>
  <c r="BB15" i="21"/>
  <c r="AY15" i="21"/>
  <c r="AV15" i="21"/>
  <c r="AS15" i="21"/>
  <c r="AP15" i="21"/>
  <c r="AM15" i="21"/>
  <c r="AJ15" i="21"/>
  <c r="BQ14" i="21"/>
  <c r="BN14" i="21"/>
  <c r="BK14" i="21"/>
  <c r="BH14" i="21"/>
  <c r="BE14" i="21"/>
  <c r="BB14" i="21"/>
  <c r="AY14" i="21"/>
  <c r="AV14" i="21"/>
  <c r="AS14" i="21"/>
  <c r="AP14" i="21"/>
  <c r="AM14" i="21"/>
  <c r="AJ14" i="21"/>
  <c r="AG14" i="21"/>
  <c r="AF14" i="21"/>
  <c r="AE14" i="21"/>
  <c r="AD14" i="21"/>
  <c r="AC14" i="21"/>
  <c r="Z14" i="21"/>
  <c r="W14" i="21"/>
  <c r="BQ13" i="21"/>
  <c r="BN13" i="21"/>
  <c r="BK13" i="21"/>
  <c r="BH13" i="21"/>
  <c r="BE13" i="21"/>
  <c r="BB13" i="21"/>
  <c r="AY13" i="21"/>
  <c r="AV13" i="21"/>
  <c r="AS13" i="21"/>
  <c r="AP13" i="21"/>
  <c r="AM13" i="21"/>
  <c r="AJ13" i="21"/>
  <c r="AG13" i="21"/>
  <c r="AF13" i="21"/>
  <c r="Z13" i="21"/>
  <c r="W13" i="21"/>
  <c r="BQ12" i="21"/>
  <c r="BQ6" i="21" s="1"/>
  <c r="BN12" i="21"/>
  <c r="BK12" i="21"/>
  <c r="BK6" i="21" s="1"/>
  <c r="BH12" i="21"/>
  <c r="BE12" i="21"/>
  <c r="BB12" i="21"/>
  <c r="AY12" i="21"/>
  <c r="AV12" i="21"/>
  <c r="AS12" i="21"/>
  <c r="AP12" i="21"/>
  <c r="AM12" i="21"/>
  <c r="AJ12" i="21"/>
  <c r="AG12" i="21"/>
  <c r="AF12" i="21"/>
  <c r="BQ11" i="21"/>
  <c r="BN11" i="21"/>
  <c r="BK11" i="21"/>
  <c r="BH11" i="21"/>
  <c r="BE11" i="21"/>
  <c r="BB11" i="21"/>
  <c r="AY11" i="21"/>
  <c r="AV11" i="21"/>
  <c r="AS11" i="21"/>
  <c r="AP11" i="21"/>
  <c r="AM11" i="21"/>
  <c r="AJ11" i="21"/>
  <c r="AG11" i="21"/>
  <c r="AG26" i="21" s="1"/>
  <c r="AG30" i="21" s="1"/>
  <c r="AF11" i="21"/>
  <c r="AE11" i="21"/>
  <c r="AE26" i="21" s="1"/>
  <c r="AD11" i="21"/>
  <c r="AC11" i="21"/>
  <c r="Z11" i="21"/>
  <c r="W11" i="21"/>
  <c r="W16" i="21" s="1"/>
  <c r="W4" i="21" s="1"/>
  <c r="BQ10" i="21"/>
  <c r="BN10" i="21"/>
  <c r="BK10" i="21"/>
  <c r="BH10" i="21"/>
  <c r="BE10" i="21"/>
  <c r="BB10" i="21"/>
  <c r="BB25" i="21" s="1"/>
  <c r="AY10" i="21"/>
  <c r="AV10" i="21"/>
  <c r="AS10" i="21"/>
  <c r="AV25" i="21" s="1"/>
  <c r="AP10" i="21"/>
  <c r="AP6" i="21" s="1"/>
  <c r="AM10" i="21"/>
  <c r="AM6" i="21" s="1"/>
  <c r="AJ10" i="21"/>
  <c r="AJ6" i="21" s="1"/>
  <c r="Z10" i="21"/>
  <c r="W10" i="21"/>
  <c r="BQ9" i="21"/>
  <c r="BN9" i="21"/>
  <c r="BK9" i="21"/>
  <c r="BH9" i="21"/>
  <c r="BE9" i="21"/>
  <c r="BB9" i="21"/>
  <c r="AY9" i="21"/>
  <c r="AV9" i="21"/>
  <c r="AS9" i="21"/>
  <c r="AP9" i="21"/>
  <c r="AM9" i="21"/>
  <c r="AJ9" i="21"/>
  <c r="AG9" i="21"/>
  <c r="AG32" i="21" s="1"/>
  <c r="AF9" i="21"/>
  <c r="AE9" i="21"/>
  <c r="AD9" i="21"/>
  <c r="AC9" i="21"/>
  <c r="Z9" i="21"/>
  <c r="W9" i="21"/>
  <c r="BQ8" i="21"/>
  <c r="BQ7" i="21" s="1"/>
  <c r="BN8" i="21"/>
  <c r="BN7" i="21" s="1"/>
  <c r="BK8" i="21"/>
  <c r="BK7" i="21" s="1"/>
  <c r="BH8" i="21"/>
  <c r="BE8" i="21"/>
  <c r="BB8" i="21"/>
  <c r="AY8" i="21"/>
  <c r="AY7" i="21" s="1"/>
  <c r="AV8" i="21"/>
  <c r="AV7" i="21" s="1"/>
  <c r="AS8" i="21"/>
  <c r="AS7" i="21" s="1"/>
  <c r="AP8" i="21"/>
  <c r="AP7" i="21" s="1"/>
  <c r="AM8" i="21"/>
  <c r="AM7" i="21" s="1"/>
  <c r="AJ8" i="21"/>
  <c r="AG8" i="21"/>
  <c r="AF8" i="21"/>
  <c r="AE8" i="21"/>
  <c r="AD8" i="21"/>
  <c r="AC8" i="21"/>
  <c r="Z8" i="21"/>
  <c r="W8" i="21"/>
  <c r="BH7" i="21"/>
  <c r="BE7" i="21"/>
  <c r="BE2" i="21" s="1"/>
  <c r="BB7" i="21"/>
  <c r="AJ7" i="21"/>
  <c r="Z7" i="21"/>
  <c r="Z6" i="21" s="1"/>
  <c r="W7" i="21"/>
  <c r="W6" i="21" s="1"/>
  <c r="BH6" i="21"/>
  <c r="BE6" i="21"/>
  <c r="BB6" i="21"/>
  <c r="AY6" i="21"/>
  <c r="AV6" i="21"/>
  <c r="BQ5" i="21"/>
  <c r="BQ2" i="21" s="1"/>
  <c r="BN5" i="21"/>
  <c r="BK5" i="21"/>
  <c r="BH5" i="21"/>
  <c r="BH2" i="21" s="1"/>
  <c r="BE5" i="21"/>
  <c r="BB5" i="21"/>
  <c r="BB2" i="21" s="1"/>
  <c r="AY5" i="21"/>
  <c r="AV5" i="21"/>
  <c r="AV2" i="21" s="1"/>
  <c r="AS5" i="21"/>
  <c r="AP5" i="21"/>
  <c r="AM5" i="21"/>
  <c r="AJ5" i="21"/>
  <c r="AG5" i="21"/>
  <c r="AF5" i="21"/>
  <c r="AE5" i="21"/>
  <c r="AD5" i="21"/>
  <c r="AC5" i="21"/>
  <c r="AC33" i="21" s="1"/>
  <c r="Z5" i="21"/>
  <c r="Z18" i="21" s="1"/>
  <c r="W5" i="21"/>
  <c r="W17" i="21" s="1"/>
  <c r="Z47" i="20"/>
  <c r="Z46" i="20"/>
  <c r="Z44" i="20"/>
  <c r="Z43" i="20"/>
  <c r="W43" i="20"/>
  <c r="Z42" i="20"/>
  <c r="W42" i="20"/>
  <c r="Z41" i="20"/>
  <c r="AG39" i="20"/>
  <c r="AF39" i="20"/>
  <c r="AE39" i="20"/>
  <c r="AD39" i="20"/>
  <c r="AC39" i="20"/>
  <c r="AG38" i="20"/>
  <c r="AF38" i="20"/>
  <c r="AE38" i="20"/>
  <c r="AD38" i="20"/>
  <c r="AC38" i="20"/>
  <c r="BN37" i="20"/>
  <c r="BK37" i="20"/>
  <c r="BE37" i="20"/>
  <c r="BB37" i="20"/>
  <c r="AV37" i="20"/>
  <c r="AS37" i="20"/>
  <c r="AM37" i="20"/>
  <c r="AJ37" i="20"/>
  <c r="AG37" i="20"/>
  <c r="BN36" i="20"/>
  <c r="BK36" i="20"/>
  <c r="BE36" i="20"/>
  <c r="BB36" i="20"/>
  <c r="AV36" i="20"/>
  <c r="AS36" i="20"/>
  <c r="AM36" i="20"/>
  <c r="AJ36" i="20"/>
  <c r="AF36" i="20"/>
  <c r="Z36" i="20"/>
  <c r="W36" i="20"/>
  <c r="BN35" i="20"/>
  <c r="BK35" i="20"/>
  <c r="BE35" i="20"/>
  <c r="BB35" i="20"/>
  <c r="AV35" i="20"/>
  <c r="AS35" i="20"/>
  <c r="AM35" i="20"/>
  <c r="AJ35" i="20"/>
  <c r="AE35" i="20"/>
  <c r="AD35" i="20"/>
  <c r="AC35" i="20"/>
  <c r="Z35" i="20"/>
  <c r="W35" i="20"/>
  <c r="BN34" i="20"/>
  <c r="BK34" i="20"/>
  <c r="BE34" i="20"/>
  <c r="BB34" i="20"/>
  <c r="AV34" i="20"/>
  <c r="AS34" i="20"/>
  <c r="AM34" i="20"/>
  <c r="AJ34" i="20"/>
  <c r="BN33" i="20"/>
  <c r="BK33" i="20"/>
  <c r="BE33" i="20"/>
  <c r="BB33" i="20"/>
  <c r="AV33" i="20"/>
  <c r="AS33" i="20"/>
  <c r="AM33" i="20"/>
  <c r="AJ33" i="20"/>
  <c r="Z33" i="20"/>
  <c r="W33" i="20"/>
  <c r="BN32" i="20"/>
  <c r="BK32" i="20"/>
  <c r="BE32" i="20"/>
  <c r="BB32" i="20"/>
  <c r="AV32" i="20"/>
  <c r="AS32" i="20"/>
  <c r="AM32" i="20"/>
  <c r="AJ32" i="20"/>
  <c r="Z32" i="20"/>
  <c r="W32" i="20"/>
  <c r="BN31" i="20"/>
  <c r="BK31" i="20"/>
  <c r="BE31" i="20"/>
  <c r="BB31" i="20"/>
  <c r="AV31" i="20"/>
  <c r="AS31" i="20"/>
  <c r="AM31" i="20"/>
  <c r="AJ31" i="20"/>
  <c r="Z31" i="20"/>
  <c r="W31" i="20"/>
  <c r="BN30" i="20"/>
  <c r="BK30" i="20"/>
  <c r="BE30" i="20"/>
  <c r="BB30" i="20"/>
  <c r="AV30" i="20"/>
  <c r="AS30" i="20"/>
  <c r="AM30" i="20"/>
  <c r="AJ30" i="20"/>
  <c r="Z30" i="20"/>
  <c r="W30" i="20"/>
  <c r="BN29" i="20"/>
  <c r="BK29" i="20"/>
  <c r="BE29" i="20"/>
  <c r="BB29" i="20"/>
  <c r="AV29" i="20"/>
  <c r="AS29" i="20"/>
  <c r="AM29" i="20"/>
  <c r="AM25" i="20" s="1"/>
  <c r="AJ29" i="20"/>
  <c r="AJ25" i="20" s="1"/>
  <c r="AJ21" i="20" s="1"/>
  <c r="Z29" i="20"/>
  <c r="Z28" i="20" s="1"/>
  <c r="Z38" i="20" s="1"/>
  <c r="W29" i="20"/>
  <c r="W28" i="20" s="1"/>
  <c r="BN28" i="20"/>
  <c r="BK28" i="20"/>
  <c r="BE28" i="20"/>
  <c r="BB28" i="20"/>
  <c r="AV28" i="20"/>
  <c r="AS28" i="20"/>
  <c r="AM28" i="20"/>
  <c r="AJ28" i="20"/>
  <c r="AG28" i="20"/>
  <c r="AF28" i="20"/>
  <c r="AF27" i="20" s="1"/>
  <c r="AE28" i="20"/>
  <c r="AE27" i="20" s="1"/>
  <c r="AD28" i="20"/>
  <c r="AD27" i="20" s="1"/>
  <c r="AD30" i="20" s="1"/>
  <c r="AC28" i="20"/>
  <c r="AC27" i="20" s="1"/>
  <c r="AC30" i="20" s="1"/>
  <c r="AC34" i="20" s="1"/>
  <c r="BN27" i="20"/>
  <c r="BN26" i="20" s="1"/>
  <c r="BK27" i="20"/>
  <c r="BE27" i="20"/>
  <c r="BE26" i="20" s="1"/>
  <c r="BB27" i="20"/>
  <c r="BB26" i="20" s="1"/>
  <c r="AV27" i="20"/>
  <c r="AV26" i="20" s="1"/>
  <c r="AS27" i="20"/>
  <c r="AS26" i="20" s="1"/>
  <c r="AM27" i="20"/>
  <c r="AM26" i="20" s="1"/>
  <c r="AJ27" i="20"/>
  <c r="AJ26" i="20" s="1"/>
  <c r="AG27" i="20"/>
  <c r="AG30" i="20" s="1"/>
  <c r="AG33" i="20" s="1"/>
  <c r="Z27" i="20"/>
  <c r="Z39" i="20" s="1"/>
  <c r="W27" i="20"/>
  <c r="W41" i="20" s="1"/>
  <c r="BK26" i="20"/>
  <c r="AG26" i="20"/>
  <c r="AF26" i="20"/>
  <c r="AF30" i="20" s="1"/>
  <c r="AF32" i="20" s="1"/>
  <c r="AD26" i="20"/>
  <c r="AC26" i="20"/>
  <c r="BK25" i="20"/>
  <c r="BE25" i="20"/>
  <c r="AG25" i="20"/>
  <c r="AF25" i="20"/>
  <c r="AE25" i="20"/>
  <c r="AD25" i="20"/>
  <c r="AC25" i="20"/>
  <c r="BN24" i="20"/>
  <c r="BK24" i="20"/>
  <c r="BE24" i="20"/>
  <c r="BB24" i="20"/>
  <c r="AV24" i="20"/>
  <c r="AS24" i="20"/>
  <c r="AM24" i="20"/>
  <c r="AJ24" i="20"/>
  <c r="AG24" i="20"/>
  <c r="AF24" i="20"/>
  <c r="AE24" i="20"/>
  <c r="AD24" i="20"/>
  <c r="AD34" i="20" s="1"/>
  <c r="AC24" i="20"/>
  <c r="AG23" i="20"/>
  <c r="AF23" i="20"/>
  <c r="AE23" i="20"/>
  <c r="AD23" i="20"/>
  <c r="AC23" i="20"/>
  <c r="BK21" i="20"/>
  <c r="AG21" i="20"/>
  <c r="AF21" i="20"/>
  <c r="AE21" i="20"/>
  <c r="AD21" i="20"/>
  <c r="AC21" i="20"/>
  <c r="Z21" i="20"/>
  <c r="W21" i="20"/>
  <c r="AG20" i="20"/>
  <c r="AG34" i="20" s="1"/>
  <c r="AF20" i="20"/>
  <c r="AE20" i="20"/>
  <c r="AD20" i="20"/>
  <c r="AC20" i="20"/>
  <c r="Z20" i="20"/>
  <c r="W20" i="20"/>
  <c r="AG19" i="20"/>
  <c r="AF19" i="20"/>
  <c r="AE19" i="20"/>
  <c r="AD19" i="20"/>
  <c r="AC19" i="20"/>
  <c r="BQ18" i="20"/>
  <c r="BN18" i="20"/>
  <c r="BK18" i="20"/>
  <c r="BH18" i="20"/>
  <c r="BE18" i="20"/>
  <c r="BB18" i="20"/>
  <c r="AY18" i="20"/>
  <c r="AV18" i="20"/>
  <c r="AS18" i="20"/>
  <c r="AP18" i="20"/>
  <c r="AM18" i="20"/>
  <c r="AJ18" i="20"/>
  <c r="AG18" i="20"/>
  <c r="AF18" i="20"/>
  <c r="AE18" i="20"/>
  <c r="AD18" i="20"/>
  <c r="AC18" i="20"/>
  <c r="BQ17" i="20"/>
  <c r="BN17" i="20"/>
  <c r="BK17" i="20"/>
  <c r="BH17" i="20"/>
  <c r="BE17" i="20"/>
  <c r="BB17" i="20"/>
  <c r="AY17" i="20"/>
  <c r="AV17" i="20"/>
  <c r="AS17" i="20"/>
  <c r="AP17" i="20"/>
  <c r="AM17" i="20"/>
  <c r="AJ17" i="20"/>
  <c r="AG17" i="20"/>
  <c r="AF17" i="20"/>
  <c r="AE17" i="20"/>
  <c r="AD17" i="20"/>
  <c r="AC17" i="20"/>
  <c r="Z17" i="20"/>
  <c r="BQ16" i="20"/>
  <c r="BN16" i="20"/>
  <c r="BK16" i="20"/>
  <c r="BH16" i="20"/>
  <c r="BE16" i="20"/>
  <c r="BB16" i="20"/>
  <c r="AY16" i="20"/>
  <c r="AV16" i="20"/>
  <c r="AS16" i="20"/>
  <c r="AP16" i="20"/>
  <c r="AM16" i="20"/>
  <c r="AJ16" i="20"/>
  <c r="AG16" i="20"/>
  <c r="AF16" i="20"/>
  <c r="AE16" i="20"/>
  <c r="AD16" i="20"/>
  <c r="AC16" i="20"/>
  <c r="BQ15" i="20"/>
  <c r="BN15" i="20"/>
  <c r="BK15" i="20"/>
  <c r="BH15" i="20"/>
  <c r="BE15" i="20"/>
  <c r="BB15" i="20"/>
  <c r="AY15" i="20"/>
  <c r="AV15" i="20"/>
  <c r="AS15" i="20"/>
  <c r="AP15" i="20"/>
  <c r="AM15" i="20"/>
  <c r="AJ15" i="20"/>
  <c r="BQ14" i="20"/>
  <c r="BN14" i="20"/>
  <c r="BK14" i="20"/>
  <c r="BH14" i="20"/>
  <c r="BE14" i="20"/>
  <c r="BB14" i="20"/>
  <c r="AY14" i="20"/>
  <c r="AV14" i="20"/>
  <c r="AS14" i="20"/>
  <c r="AP14" i="20"/>
  <c r="AM14" i="20"/>
  <c r="AJ14" i="20"/>
  <c r="AG14" i="20"/>
  <c r="AF14" i="20"/>
  <c r="AE14" i="20"/>
  <c r="AD14" i="20"/>
  <c r="AC14" i="20"/>
  <c r="Z14" i="20"/>
  <c r="W14" i="20"/>
  <c r="BQ13" i="20"/>
  <c r="BN13" i="20"/>
  <c r="BK13" i="20"/>
  <c r="BH13" i="20"/>
  <c r="BE13" i="20"/>
  <c r="BB13" i="20"/>
  <c r="AY13" i="20"/>
  <c r="AV13" i="20"/>
  <c r="AS13" i="20"/>
  <c r="AP13" i="20"/>
  <c r="AM13" i="20"/>
  <c r="AJ13" i="20"/>
  <c r="AG13" i="20"/>
  <c r="AF13" i="20"/>
  <c r="Z13" i="20"/>
  <c r="W13" i="20"/>
  <c r="BQ12" i="20"/>
  <c r="BN12" i="20"/>
  <c r="BK12" i="20"/>
  <c r="BK6" i="20" s="1"/>
  <c r="BH12" i="20"/>
  <c r="BE12" i="20"/>
  <c r="BB12" i="20"/>
  <c r="AY12" i="20"/>
  <c r="AV12" i="20"/>
  <c r="AS12" i="20"/>
  <c r="AP12" i="20"/>
  <c r="AM12" i="20"/>
  <c r="AJ12" i="20"/>
  <c r="AG12" i="20"/>
  <c r="AF12" i="20"/>
  <c r="BQ11" i="20"/>
  <c r="BN11" i="20"/>
  <c r="BK11" i="20"/>
  <c r="BH11" i="20"/>
  <c r="BE11" i="20"/>
  <c r="BB11" i="20"/>
  <c r="AY11" i="20"/>
  <c r="AV11" i="20"/>
  <c r="AS11" i="20"/>
  <c r="AP11" i="20"/>
  <c r="AM11" i="20"/>
  <c r="AJ11" i="20"/>
  <c r="AG11" i="20"/>
  <c r="AF11" i="20"/>
  <c r="AE11" i="20"/>
  <c r="AE26" i="20" s="1"/>
  <c r="AD11" i="20"/>
  <c r="AC11" i="20"/>
  <c r="Z11" i="20"/>
  <c r="W11" i="20"/>
  <c r="BQ10" i="20"/>
  <c r="BN10" i="20"/>
  <c r="BK10" i="20"/>
  <c r="BH10" i="20"/>
  <c r="BE10" i="20"/>
  <c r="BB10" i="20"/>
  <c r="BB25" i="20" s="1"/>
  <c r="AY10" i="20"/>
  <c r="AV10" i="20"/>
  <c r="AS10" i="20"/>
  <c r="AV25" i="20" s="1"/>
  <c r="AP10" i="20"/>
  <c r="AM10" i="20"/>
  <c r="AM6" i="20" s="1"/>
  <c r="AJ10" i="20"/>
  <c r="AJ6" i="20" s="1"/>
  <c r="Z10" i="20"/>
  <c r="W10" i="20"/>
  <c r="BQ9" i="20"/>
  <c r="BN9" i="20"/>
  <c r="BK9" i="20"/>
  <c r="BH9" i="20"/>
  <c r="BE9" i="20"/>
  <c r="BB9" i="20"/>
  <c r="AY9" i="20"/>
  <c r="AV9" i="20"/>
  <c r="AS9" i="20"/>
  <c r="AP9" i="20"/>
  <c r="AM9" i="20"/>
  <c r="AJ9" i="20"/>
  <c r="AG9" i="20"/>
  <c r="AG32" i="20" s="1"/>
  <c r="AG2" i="20" s="1"/>
  <c r="AF9" i="20"/>
  <c r="AE9" i="20"/>
  <c r="AD9" i="20"/>
  <c r="AC9" i="20"/>
  <c r="Z9" i="20"/>
  <c r="W9" i="20"/>
  <c r="BQ8" i="20"/>
  <c r="BQ7" i="20" s="1"/>
  <c r="BN8" i="20"/>
  <c r="BN7" i="20" s="1"/>
  <c r="BK8" i="20"/>
  <c r="BK7" i="20" s="1"/>
  <c r="BH8" i="20"/>
  <c r="BE8" i="20"/>
  <c r="BB8" i="20"/>
  <c r="AY8" i="20"/>
  <c r="AV8" i="20"/>
  <c r="AS8" i="20"/>
  <c r="AS7" i="20" s="1"/>
  <c r="AP8" i="20"/>
  <c r="AP7" i="20" s="1"/>
  <c r="AM8" i="20"/>
  <c r="AM7" i="20" s="1"/>
  <c r="AJ8" i="20"/>
  <c r="AG8" i="20"/>
  <c r="AF8" i="20"/>
  <c r="AE8" i="20"/>
  <c r="AD8" i="20"/>
  <c r="AC8" i="20"/>
  <c r="Z8" i="20"/>
  <c r="W8" i="20"/>
  <c r="BH7" i="20"/>
  <c r="BE7" i="20"/>
  <c r="BB7" i="20"/>
  <c r="AY7" i="20"/>
  <c r="AV7" i="20"/>
  <c r="AJ7" i="20"/>
  <c r="Z7" i="20"/>
  <c r="Z6" i="20" s="1"/>
  <c r="W7" i="20"/>
  <c r="W6" i="20" s="1"/>
  <c r="BQ6" i="20"/>
  <c r="BN6" i="20"/>
  <c r="BH6" i="20"/>
  <c r="BE6" i="20"/>
  <c r="BB6" i="20"/>
  <c r="AY6" i="20"/>
  <c r="AV6" i="20"/>
  <c r="AS6" i="20"/>
  <c r="AP6" i="20"/>
  <c r="BQ5" i="20"/>
  <c r="BN5" i="20"/>
  <c r="BK5" i="20"/>
  <c r="BH5" i="20"/>
  <c r="BH2" i="20" s="1"/>
  <c r="BE5" i="20"/>
  <c r="BB5" i="20"/>
  <c r="BB2" i="20" s="1"/>
  <c r="AY5" i="20"/>
  <c r="AY2" i="20" s="1"/>
  <c r="AV5" i="20"/>
  <c r="AV2" i="20" s="1"/>
  <c r="AS5" i="20"/>
  <c r="AP5" i="20"/>
  <c r="AM5" i="20"/>
  <c r="AJ5" i="20"/>
  <c r="AG5" i="20"/>
  <c r="AF5" i="20"/>
  <c r="AE5" i="20"/>
  <c r="AD5" i="20"/>
  <c r="AD33" i="20" s="1"/>
  <c r="AC5" i="20"/>
  <c r="AC33" i="20" s="1"/>
  <c r="Z5" i="20"/>
  <c r="Z16" i="20" s="1"/>
  <c r="Z4" i="20" s="1"/>
  <c r="W5" i="20"/>
  <c r="W17" i="20" s="1"/>
  <c r="BE2" i="20"/>
  <c r="Z47" i="19"/>
  <c r="Z46" i="19"/>
  <c r="Z44" i="19"/>
  <c r="Z43" i="19"/>
  <c r="W43" i="19"/>
  <c r="Z42" i="19"/>
  <c r="W42" i="19"/>
  <c r="Z41" i="19"/>
  <c r="AG39" i="19"/>
  <c r="AF39" i="19"/>
  <c r="AE39" i="19"/>
  <c r="AD39" i="19"/>
  <c r="AC39" i="19"/>
  <c r="AG38" i="19"/>
  <c r="AF38" i="19"/>
  <c r="AE38" i="19"/>
  <c r="AD38" i="19"/>
  <c r="AC38" i="19"/>
  <c r="BN37" i="19"/>
  <c r="BK37" i="19"/>
  <c r="BE37" i="19"/>
  <c r="BB37" i="19"/>
  <c r="AV37" i="19"/>
  <c r="AS37" i="19"/>
  <c r="AM37" i="19"/>
  <c r="AJ37" i="19"/>
  <c r="AG37" i="19"/>
  <c r="BN36" i="19"/>
  <c r="BK36" i="19"/>
  <c r="BE36" i="19"/>
  <c r="BB36" i="19"/>
  <c r="AV36" i="19"/>
  <c r="AS36" i="19"/>
  <c r="AM36" i="19"/>
  <c r="AJ36" i="19"/>
  <c r="AF36" i="19"/>
  <c r="Z36" i="19"/>
  <c r="W36" i="19"/>
  <c r="BN35" i="19"/>
  <c r="BK35" i="19"/>
  <c r="BE35" i="19"/>
  <c r="BB35" i="19"/>
  <c r="AV35" i="19"/>
  <c r="AS35" i="19"/>
  <c r="AM35" i="19"/>
  <c r="AJ35" i="19"/>
  <c r="AE35" i="19"/>
  <c r="AD35" i="19"/>
  <c r="AC35" i="19"/>
  <c r="Z35" i="19"/>
  <c r="W35" i="19"/>
  <c r="BN34" i="19"/>
  <c r="BK34" i="19"/>
  <c r="BE34" i="19"/>
  <c r="BB34" i="19"/>
  <c r="AV34" i="19"/>
  <c r="AS34" i="19"/>
  <c r="AM34" i="19"/>
  <c r="AJ34" i="19"/>
  <c r="BN33" i="19"/>
  <c r="BK33" i="19"/>
  <c r="BE33" i="19"/>
  <c r="BB33" i="19"/>
  <c r="AV33" i="19"/>
  <c r="AS33" i="19"/>
  <c r="AM33" i="19"/>
  <c r="AJ33" i="19"/>
  <c r="Z33" i="19"/>
  <c r="W33" i="19"/>
  <c r="BN32" i="19"/>
  <c r="BK32" i="19"/>
  <c r="BK21" i="19" s="1"/>
  <c r="BE32" i="19"/>
  <c r="BB32" i="19"/>
  <c r="AV32" i="19"/>
  <c r="AS32" i="19"/>
  <c r="AM32" i="19"/>
  <c r="AJ32" i="19"/>
  <c r="Z32" i="19"/>
  <c r="W32" i="19"/>
  <c r="BN31" i="19"/>
  <c r="BK31" i="19"/>
  <c r="BE31" i="19"/>
  <c r="BB31" i="19"/>
  <c r="AV31" i="19"/>
  <c r="AS31" i="19"/>
  <c r="AM31" i="19"/>
  <c r="AJ31" i="19"/>
  <c r="Z31" i="19"/>
  <c r="W31" i="19"/>
  <c r="BN30" i="19"/>
  <c r="BK30" i="19"/>
  <c r="BE30" i="19"/>
  <c r="BB30" i="19"/>
  <c r="AV30" i="19"/>
  <c r="AS30" i="19"/>
  <c r="AM30" i="19"/>
  <c r="AJ30" i="19"/>
  <c r="Z30" i="19"/>
  <c r="W30" i="19"/>
  <c r="BN29" i="19"/>
  <c r="BK29" i="19"/>
  <c r="BE29" i="19"/>
  <c r="BB29" i="19"/>
  <c r="AV29" i="19"/>
  <c r="AS29" i="19"/>
  <c r="AM29" i="19"/>
  <c r="AM25" i="19" s="1"/>
  <c r="AJ29" i="19"/>
  <c r="AJ25" i="19" s="1"/>
  <c r="AJ21" i="19" s="1"/>
  <c r="Z29" i="19"/>
  <c r="Z28" i="19" s="1"/>
  <c r="Z38" i="19" s="1"/>
  <c r="W29" i="19"/>
  <c r="W28" i="19" s="1"/>
  <c r="BN28" i="19"/>
  <c r="BK28" i="19"/>
  <c r="BE28" i="19"/>
  <c r="BB28" i="19"/>
  <c r="AV28" i="19"/>
  <c r="AS28" i="19"/>
  <c r="AM28" i="19"/>
  <c r="AJ28" i="19"/>
  <c r="AG28" i="19"/>
  <c r="AF28" i="19"/>
  <c r="AF27" i="19" s="1"/>
  <c r="AE28" i="19"/>
  <c r="AE27" i="19" s="1"/>
  <c r="AD28" i="19"/>
  <c r="AD27" i="19" s="1"/>
  <c r="AD30" i="19" s="1"/>
  <c r="AC28" i="19"/>
  <c r="AC27" i="19" s="1"/>
  <c r="AC30" i="19" s="1"/>
  <c r="AC34" i="19" s="1"/>
  <c r="BN27" i="19"/>
  <c r="BN26" i="19" s="1"/>
  <c r="BK27" i="19"/>
  <c r="BE27" i="19"/>
  <c r="BE26" i="19" s="1"/>
  <c r="BB27" i="19"/>
  <c r="BB26" i="19" s="1"/>
  <c r="AV27" i="19"/>
  <c r="AV26" i="19" s="1"/>
  <c r="AS27" i="19"/>
  <c r="AS26" i="19" s="1"/>
  <c r="AM27" i="19"/>
  <c r="AM26" i="19" s="1"/>
  <c r="AJ27" i="19"/>
  <c r="AJ26" i="19" s="1"/>
  <c r="AG27" i="19"/>
  <c r="AG30" i="19" s="1"/>
  <c r="AG33" i="19" s="1"/>
  <c r="Z27" i="19"/>
  <c r="Z39" i="19" s="1"/>
  <c r="W27" i="19"/>
  <c r="W41" i="19" s="1"/>
  <c r="BK26" i="19"/>
  <c r="AG26" i="19"/>
  <c r="AF26" i="19"/>
  <c r="AF30" i="19" s="1"/>
  <c r="AD26" i="19"/>
  <c r="AC26" i="19"/>
  <c r="BK25" i="19"/>
  <c r="BE25" i="19"/>
  <c r="AG25" i="19"/>
  <c r="AF25" i="19"/>
  <c r="AE25" i="19"/>
  <c r="AD25" i="19"/>
  <c r="AC25" i="19"/>
  <c r="BN24" i="19"/>
  <c r="BK24" i="19"/>
  <c r="BE24" i="19"/>
  <c r="BB24" i="19"/>
  <c r="AV24" i="19"/>
  <c r="AS24" i="19"/>
  <c r="AM24" i="19"/>
  <c r="AJ24" i="19"/>
  <c r="AG24" i="19"/>
  <c r="AF24" i="19"/>
  <c r="AE24" i="19"/>
  <c r="AD24" i="19"/>
  <c r="AD34" i="19" s="1"/>
  <c r="AC24" i="19"/>
  <c r="AG23" i="19"/>
  <c r="AF23" i="19"/>
  <c r="AE23" i="19"/>
  <c r="AD23" i="19"/>
  <c r="AC23" i="19"/>
  <c r="AG21" i="19"/>
  <c r="AF21" i="19"/>
  <c r="AE21" i="19"/>
  <c r="AD21" i="19"/>
  <c r="AC21" i="19"/>
  <c r="Z21" i="19"/>
  <c r="W21" i="19"/>
  <c r="AG20" i="19"/>
  <c r="AG34" i="19" s="1"/>
  <c r="AF20" i="19"/>
  <c r="AE20" i="19"/>
  <c r="AD20" i="19"/>
  <c r="AC20" i="19"/>
  <c r="Z20" i="19"/>
  <c r="W20" i="19"/>
  <c r="AG19" i="19"/>
  <c r="AF19" i="19"/>
  <c r="AE19" i="19"/>
  <c r="AD19" i="19"/>
  <c r="AC19" i="19"/>
  <c r="BQ18" i="19"/>
  <c r="BN18" i="19"/>
  <c r="BK18" i="19"/>
  <c r="BH18" i="19"/>
  <c r="BE18" i="19"/>
  <c r="BB18" i="19"/>
  <c r="AY18" i="19"/>
  <c r="AV18" i="19"/>
  <c r="AS18" i="19"/>
  <c r="AP18" i="19"/>
  <c r="AM18" i="19"/>
  <c r="AJ18" i="19"/>
  <c r="AG18" i="19"/>
  <c r="AF18" i="19"/>
  <c r="AE18" i="19"/>
  <c r="AD18" i="19"/>
  <c r="AC18" i="19"/>
  <c r="BQ17" i="19"/>
  <c r="BN17" i="19"/>
  <c r="BK17" i="19"/>
  <c r="BH17" i="19"/>
  <c r="BE17" i="19"/>
  <c r="BB17" i="19"/>
  <c r="AY17" i="19"/>
  <c r="AV17" i="19"/>
  <c r="AS17" i="19"/>
  <c r="AP17" i="19"/>
  <c r="AM17" i="19"/>
  <c r="AJ17" i="19"/>
  <c r="AG17" i="19"/>
  <c r="AF17" i="19"/>
  <c r="AE17" i="19"/>
  <c r="AD17" i="19"/>
  <c r="AC17" i="19"/>
  <c r="Z17" i="19"/>
  <c r="BQ16" i="19"/>
  <c r="BN16" i="19"/>
  <c r="BK16" i="19"/>
  <c r="BH16" i="19"/>
  <c r="BE16" i="19"/>
  <c r="BB16" i="19"/>
  <c r="AY16" i="19"/>
  <c r="AV16" i="19"/>
  <c r="AS16" i="19"/>
  <c r="AP16" i="19"/>
  <c r="AM16" i="19"/>
  <c r="AJ16" i="19"/>
  <c r="AG16" i="19"/>
  <c r="AF16" i="19"/>
  <c r="AE16" i="19"/>
  <c r="AD16" i="19"/>
  <c r="AC16" i="19"/>
  <c r="BQ15" i="19"/>
  <c r="BN15" i="19"/>
  <c r="BK15" i="19"/>
  <c r="BH15" i="19"/>
  <c r="BE15" i="19"/>
  <c r="BB15" i="19"/>
  <c r="AY15" i="19"/>
  <c r="AV15" i="19"/>
  <c r="AS15" i="19"/>
  <c r="AP15" i="19"/>
  <c r="AM15" i="19"/>
  <c r="AJ15" i="19"/>
  <c r="BQ14" i="19"/>
  <c r="BN14" i="19"/>
  <c r="BK14" i="19"/>
  <c r="BH14" i="19"/>
  <c r="BE14" i="19"/>
  <c r="BB14" i="19"/>
  <c r="AY14" i="19"/>
  <c r="AV14" i="19"/>
  <c r="AS14" i="19"/>
  <c r="AP14" i="19"/>
  <c r="AM14" i="19"/>
  <c r="AJ14" i="19"/>
  <c r="AG14" i="19"/>
  <c r="AF14" i="19"/>
  <c r="AE14" i="19"/>
  <c r="AD14" i="19"/>
  <c r="AC14" i="19"/>
  <c r="Z14" i="19"/>
  <c r="W14" i="19"/>
  <c r="BQ13" i="19"/>
  <c r="BN13" i="19"/>
  <c r="BK13" i="19"/>
  <c r="BH13" i="19"/>
  <c r="BE13" i="19"/>
  <c r="BB13" i="19"/>
  <c r="AY13" i="19"/>
  <c r="AV13" i="19"/>
  <c r="AS13" i="19"/>
  <c r="AP13" i="19"/>
  <c r="AM13" i="19"/>
  <c r="AJ13" i="19"/>
  <c r="AG13" i="19"/>
  <c r="AF13" i="19"/>
  <c r="Z13" i="19"/>
  <c r="W13" i="19"/>
  <c r="BQ12" i="19"/>
  <c r="BN12" i="19"/>
  <c r="BK12" i="19"/>
  <c r="BK6" i="19" s="1"/>
  <c r="BH12" i="19"/>
  <c r="BE12" i="19"/>
  <c r="BB12" i="19"/>
  <c r="AY12" i="19"/>
  <c r="AV12" i="19"/>
  <c r="AS12" i="19"/>
  <c r="AP12" i="19"/>
  <c r="AM12" i="19"/>
  <c r="AJ12" i="19"/>
  <c r="AG12" i="19"/>
  <c r="AF12" i="19"/>
  <c r="BQ11" i="19"/>
  <c r="BN11" i="19"/>
  <c r="BK11" i="19"/>
  <c r="BH11" i="19"/>
  <c r="BE11" i="19"/>
  <c r="BB11" i="19"/>
  <c r="AY11" i="19"/>
  <c r="AV11" i="19"/>
  <c r="AS11" i="19"/>
  <c r="AP11" i="19"/>
  <c r="AM11" i="19"/>
  <c r="AJ11" i="19"/>
  <c r="AG11" i="19"/>
  <c r="AF11" i="19"/>
  <c r="AE11" i="19"/>
  <c r="AE26" i="19" s="1"/>
  <c r="AD11" i="19"/>
  <c r="AC11" i="19"/>
  <c r="Z11" i="19"/>
  <c r="W11" i="19"/>
  <c r="BQ10" i="19"/>
  <c r="BN10" i="19"/>
  <c r="BK10" i="19"/>
  <c r="BH10" i="19"/>
  <c r="BE10" i="19"/>
  <c r="BB10" i="19"/>
  <c r="BB25" i="19" s="1"/>
  <c r="AY10" i="19"/>
  <c r="AV10" i="19"/>
  <c r="AS10" i="19"/>
  <c r="AV25" i="19" s="1"/>
  <c r="AP10" i="19"/>
  <c r="AM10" i="19"/>
  <c r="AM6" i="19" s="1"/>
  <c r="AJ10" i="19"/>
  <c r="AJ6" i="19" s="1"/>
  <c r="Z10" i="19"/>
  <c r="W10" i="19"/>
  <c r="BQ9" i="19"/>
  <c r="BN9" i="19"/>
  <c r="BK9" i="19"/>
  <c r="BH9" i="19"/>
  <c r="BE9" i="19"/>
  <c r="BB9" i="19"/>
  <c r="AY9" i="19"/>
  <c r="AV9" i="19"/>
  <c r="AS9" i="19"/>
  <c r="AP9" i="19"/>
  <c r="AM9" i="19"/>
  <c r="AJ9" i="19"/>
  <c r="AG9" i="19"/>
  <c r="AG32" i="19" s="1"/>
  <c r="AG2" i="19" s="1"/>
  <c r="AF9" i="19"/>
  <c r="AE9" i="19"/>
  <c r="AD9" i="19"/>
  <c r="AC9" i="19"/>
  <c r="Z9" i="19"/>
  <c r="W9" i="19"/>
  <c r="BQ8" i="19"/>
  <c r="BQ7" i="19" s="1"/>
  <c r="BN8" i="19"/>
  <c r="BN7" i="19" s="1"/>
  <c r="BK8" i="19"/>
  <c r="BK7" i="19" s="1"/>
  <c r="BH8" i="19"/>
  <c r="BE8" i="19"/>
  <c r="BB8" i="19"/>
  <c r="AY8" i="19"/>
  <c r="AV8" i="19"/>
  <c r="AS8" i="19"/>
  <c r="AS7" i="19" s="1"/>
  <c r="AP8" i="19"/>
  <c r="AP7" i="19" s="1"/>
  <c r="AM8" i="19"/>
  <c r="AM7" i="19" s="1"/>
  <c r="AJ8" i="19"/>
  <c r="AG8" i="19"/>
  <c r="AF8" i="19"/>
  <c r="AE8" i="19"/>
  <c r="AD8" i="19"/>
  <c r="AC8" i="19"/>
  <c r="Z8" i="19"/>
  <c r="W8" i="19"/>
  <c r="BH7" i="19"/>
  <c r="BE7" i="19"/>
  <c r="BB7" i="19"/>
  <c r="AY7" i="19"/>
  <c r="AV7" i="19"/>
  <c r="AJ7" i="19"/>
  <c r="Z7" i="19"/>
  <c r="Z6" i="19" s="1"/>
  <c r="W7" i="19"/>
  <c r="W6" i="19" s="1"/>
  <c r="BQ6" i="19"/>
  <c r="BN6" i="19"/>
  <c r="BH6" i="19"/>
  <c r="BE6" i="19"/>
  <c r="BB6" i="19"/>
  <c r="AY6" i="19"/>
  <c r="AV6" i="19"/>
  <c r="AS6" i="19"/>
  <c r="AP6" i="19"/>
  <c r="BQ5" i="19"/>
  <c r="BQ2" i="19" s="1"/>
  <c r="BN5" i="19"/>
  <c r="BK5" i="19"/>
  <c r="BH5" i="19"/>
  <c r="BH2" i="19" s="1"/>
  <c r="BE5" i="19"/>
  <c r="BB5" i="19"/>
  <c r="BB2" i="19" s="1"/>
  <c r="AY5" i="19"/>
  <c r="AY2" i="19" s="1"/>
  <c r="AV5" i="19"/>
  <c r="AV2" i="19" s="1"/>
  <c r="AS5" i="19"/>
  <c r="AS2" i="19" s="1"/>
  <c r="AP5" i="19"/>
  <c r="AM5" i="19"/>
  <c r="AJ5" i="19"/>
  <c r="AG5" i="19"/>
  <c r="AF5" i="19"/>
  <c r="AE5" i="19"/>
  <c r="AD5" i="19"/>
  <c r="AD32" i="19" s="1"/>
  <c r="AC5" i="19"/>
  <c r="AC32" i="19" s="1"/>
  <c r="Z5" i="19"/>
  <c r="W5" i="19"/>
  <c r="W17" i="19" s="1"/>
  <c r="BE2" i="19"/>
  <c r="BQ2" i="15"/>
  <c r="BN2" i="15"/>
  <c r="BQ6" i="15"/>
  <c r="BN21" i="15"/>
  <c r="BK21" i="15"/>
  <c r="BK2" i="15"/>
  <c r="BE21" i="15"/>
  <c r="BB21" i="15"/>
  <c r="BH2" i="15"/>
  <c r="BE2" i="15"/>
  <c r="BB2" i="15"/>
  <c r="AV21" i="15"/>
  <c r="AS21" i="15"/>
  <c r="AY2" i="15"/>
  <c r="AV2" i="15"/>
  <c r="AS2" i="15"/>
  <c r="AM21" i="15"/>
  <c r="AJ21" i="15"/>
  <c r="AP2" i="15"/>
  <c r="AM2" i="15"/>
  <c r="AJ2" i="15"/>
  <c r="AF32" i="15"/>
  <c r="AG34" i="15"/>
  <c r="AG33" i="15"/>
  <c r="AG32" i="15"/>
  <c r="AF34" i="15"/>
  <c r="AF33" i="15"/>
  <c r="AE34" i="15"/>
  <c r="AE33" i="15"/>
  <c r="AE32" i="15"/>
  <c r="AD34" i="15"/>
  <c r="AD33" i="15"/>
  <c r="AD32" i="15"/>
  <c r="AC34" i="15"/>
  <c r="AC33" i="15"/>
  <c r="AC32" i="15"/>
  <c r="Z41" i="15"/>
  <c r="Z40" i="15"/>
  <c r="Z39" i="15"/>
  <c r="Z38" i="15"/>
  <c r="W41" i="15"/>
  <c r="W40" i="15"/>
  <c r="W39" i="15"/>
  <c r="W38" i="15"/>
  <c r="Z19" i="15"/>
  <c r="Z18" i="15"/>
  <c r="Z17" i="15"/>
  <c r="Z16" i="15"/>
  <c r="W19" i="15"/>
  <c r="W18" i="15"/>
  <c r="W17" i="15"/>
  <c r="W16" i="15"/>
  <c r="H70" i="21"/>
  <c r="H69" i="21"/>
  <c r="H68" i="21"/>
  <c r="H67" i="21"/>
  <c r="H66" i="21"/>
  <c r="H65" i="21"/>
  <c r="H64" i="21"/>
  <c r="H63" i="21"/>
  <c r="H55" i="21" s="1"/>
  <c r="H50" i="21" s="1"/>
  <c r="H62" i="21"/>
  <c r="H61" i="21"/>
  <c r="H60" i="21"/>
  <c r="H58" i="21"/>
  <c r="H57" i="21"/>
  <c r="H56" i="21"/>
  <c r="K55" i="21"/>
  <c r="K54" i="21"/>
  <c r="H54" i="21"/>
  <c r="E54" i="21"/>
  <c r="K53" i="21"/>
  <c r="K51" i="21" s="1"/>
  <c r="H53" i="21"/>
  <c r="E53" i="21"/>
  <c r="K52" i="21"/>
  <c r="K50" i="21" s="1"/>
  <c r="E51" i="21"/>
  <c r="E50" i="21"/>
  <c r="H49" i="21"/>
  <c r="H48" i="21"/>
  <c r="E48" i="21"/>
  <c r="H47" i="21"/>
  <c r="E47" i="21"/>
  <c r="K46" i="21"/>
  <c r="K11" i="21" s="1"/>
  <c r="H46" i="21"/>
  <c r="E46" i="21"/>
  <c r="K45" i="21"/>
  <c r="E45" i="21"/>
  <c r="K44" i="21"/>
  <c r="E44" i="21"/>
  <c r="E52" i="21" s="1"/>
  <c r="E42" i="21" s="1"/>
  <c r="K43" i="21"/>
  <c r="H43" i="21"/>
  <c r="K42" i="21"/>
  <c r="K41" i="21"/>
  <c r="K40" i="21"/>
  <c r="H40" i="21"/>
  <c r="H39" i="21"/>
  <c r="E39" i="21"/>
  <c r="K38" i="21"/>
  <c r="H38" i="21"/>
  <c r="H21" i="21" s="1"/>
  <c r="H12" i="21" s="1"/>
  <c r="H2" i="21" s="1"/>
  <c r="E38" i="21"/>
  <c r="Q37" i="21"/>
  <c r="N37" i="21"/>
  <c r="K37" i="21"/>
  <c r="H37" i="21"/>
  <c r="Q36" i="21"/>
  <c r="N36" i="21"/>
  <c r="K36" i="21"/>
  <c r="K20" i="21" s="1"/>
  <c r="H36" i="21"/>
  <c r="E36" i="21"/>
  <c r="Q35" i="21"/>
  <c r="N35" i="21"/>
  <c r="K35" i="21"/>
  <c r="H35" i="21"/>
  <c r="E35" i="21"/>
  <c r="E37" i="21" s="1"/>
  <c r="E30" i="21" s="1"/>
  <c r="Q34" i="21"/>
  <c r="N34" i="21"/>
  <c r="K34" i="21"/>
  <c r="H34" i="21"/>
  <c r="E34" i="21"/>
  <c r="Q33" i="21"/>
  <c r="N33" i="21"/>
  <c r="K33" i="21"/>
  <c r="H33" i="21"/>
  <c r="E33" i="21"/>
  <c r="K32" i="21"/>
  <c r="H32" i="21"/>
  <c r="H15" i="21" s="1"/>
  <c r="E32" i="21"/>
  <c r="K31" i="21"/>
  <c r="K25" i="21" s="1"/>
  <c r="K18" i="21" s="1"/>
  <c r="H31" i="21"/>
  <c r="K30" i="21"/>
  <c r="H30" i="21"/>
  <c r="H25" i="21" s="1"/>
  <c r="H14" i="21" s="1"/>
  <c r="Q29" i="21"/>
  <c r="N29" i="21"/>
  <c r="K29" i="21"/>
  <c r="H29" i="21"/>
  <c r="H16" i="21" s="1"/>
  <c r="H11" i="21" s="1"/>
  <c r="Q28" i="21"/>
  <c r="N28" i="21"/>
  <c r="K28" i="21"/>
  <c r="H28" i="21"/>
  <c r="Q27" i="21"/>
  <c r="N27" i="21"/>
  <c r="K27" i="21"/>
  <c r="H27" i="21"/>
  <c r="E27" i="21"/>
  <c r="Q26" i="21"/>
  <c r="N26" i="21"/>
  <c r="K26" i="21"/>
  <c r="H26" i="21"/>
  <c r="E26" i="21"/>
  <c r="E25" i="21"/>
  <c r="Q24" i="21"/>
  <c r="Q21" i="21" s="1"/>
  <c r="N24" i="21"/>
  <c r="N21" i="21" s="1"/>
  <c r="K24" i="21"/>
  <c r="H24" i="21"/>
  <c r="E24" i="21"/>
  <c r="K23" i="21"/>
  <c r="H23" i="21"/>
  <c r="K22" i="21"/>
  <c r="H22" i="21"/>
  <c r="K21" i="21"/>
  <c r="K19" i="21" s="1"/>
  <c r="H20" i="21"/>
  <c r="H19" i="21"/>
  <c r="T18" i="21"/>
  <c r="Q18" i="21"/>
  <c r="N18" i="21"/>
  <c r="H18" i="21"/>
  <c r="E18" i="21"/>
  <c r="T17" i="21"/>
  <c r="Q17" i="21"/>
  <c r="N17" i="21"/>
  <c r="H17" i="21"/>
  <c r="E17" i="21"/>
  <c r="T16" i="21"/>
  <c r="Q16" i="21"/>
  <c r="N16" i="21"/>
  <c r="E16" i="21"/>
  <c r="E11" i="21" s="1"/>
  <c r="T15" i="21"/>
  <c r="Q15" i="21"/>
  <c r="N15" i="21"/>
  <c r="E15" i="21"/>
  <c r="T14" i="21"/>
  <c r="Q14" i="21"/>
  <c r="N14" i="21"/>
  <c r="E14" i="21"/>
  <c r="T13" i="21"/>
  <c r="Q13" i="21"/>
  <c r="K13" i="21"/>
  <c r="E13" i="21"/>
  <c r="K12" i="21"/>
  <c r="E12" i="21"/>
  <c r="T10" i="21"/>
  <c r="Q10" i="21"/>
  <c r="N10" i="21"/>
  <c r="K10" i="21"/>
  <c r="E10" i="21"/>
  <c r="N9" i="21"/>
  <c r="K9" i="21"/>
  <c r="H9" i="21"/>
  <c r="E9" i="21"/>
  <c r="T8" i="21"/>
  <c r="T7" i="21" s="1"/>
  <c r="Q8" i="21"/>
  <c r="Q7" i="21" s="1"/>
  <c r="Q2" i="21" s="1"/>
  <c r="N8" i="21"/>
  <c r="K8" i="21"/>
  <c r="H8" i="21"/>
  <c r="E8" i="21"/>
  <c r="N7" i="21"/>
  <c r="K7" i="21"/>
  <c r="H7" i="21"/>
  <c r="E7" i="21"/>
  <c r="K6" i="21"/>
  <c r="H6" i="21"/>
  <c r="E6" i="21"/>
  <c r="T5" i="21"/>
  <c r="Q5" i="21"/>
  <c r="N5" i="21"/>
  <c r="K5" i="21"/>
  <c r="H5" i="21"/>
  <c r="H10" i="21" s="1"/>
  <c r="E5" i="21"/>
  <c r="E22" i="21" s="1"/>
  <c r="N2" i="21"/>
  <c r="H70" i="20"/>
  <c r="H69" i="20"/>
  <c r="H68" i="20"/>
  <c r="H67" i="20"/>
  <c r="H66" i="20"/>
  <c r="H65" i="20"/>
  <c r="H64" i="20"/>
  <c r="H63" i="20"/>
  <c r="H55" i="20" s="1"/>
  <c r="H50" i="20" s="1"/>
  <c r="H62" i="20"/>
  <c r="H61" i="20"/>
  <c r="H60" i="20"/>
  <c r="H58" i="20"/>
  <c r="H57" i="20"/>
  <c r="H56" i="20"/>
  <c r="K55" i="20"/>
  <c r="K54" i="20"/>
  <c r="H54" i="20"/>
  <c r="E54" i="20"/>
  <c r="K53" i="20"/>
  <c r="K51" i="20" s="1"/>
  <c r="H53" i="20"/>
  <c r="E53" i="20"/>
  <c r="K52" i="20"/>
  <c r="K50" i="20" s="1"/>
  <c r="E51" i="20"/>
  <c r="E50" i="20"/>
  <c r="H49" i="20"/>
  <c r="H48" i="20"/>
  <c r="E48" i="20"/>
  <c r="H47" i="20"/>
  <c r="E47" i="20"/>
  <c r="K46" i="20"/>
  <c r="K11" i="20" s="1"/>
  <c r="H46" i="20"/>
  <c r="E46" i="20"/>
  <c r="K45" i="20"/>
  <c r="E45" i="20"/>
  <c r="K44" i="20"/>
  <c r="E44" i="20"/>
  <c r="E52" i="20" s="1"/>
  <c r="E42" i="20" s="1"/>
  <c r="K43" i="20"/>
  <c r="H43" i="20"/>
  <c r="K42" i="20"/>
  <c r="K41" i="20"/>
  <c r="K40" i="20"/>
  <c r="H40" i="20"/>
  <c r="H39" i="20"/>
  <c r="E39" i="20"/>
  <c r="K38" i="20"/>
  <c r="H38" i="20"/>
  <c r="H21" i="20" s="1"/>
  <c r="H12" i="20" s="1"/>
  <c r="E38" i="20"/>
  <c r="Q37" i="20"/>
  <c r="N37" i="20"/>
  <c r="K37" i="20"/>
  <c r="H37" i="20"/>
  <c r="Q36" i="20"/>
  <c r="N36" i="20"/>
  <c r="K36" i="20"/>
  <c r="K20" i="20" s="1"/>
  <c r="H36" i="20"/>
  <c r="E36" i="20"/>
  <c r="Q35" i="20"/>
  <c r="N35" i="20"/>
  <c r="K35" i="20"/>
  <c r="H35" i="20"/>
  <c r="E35" i="20"/>
  <c r="E37" i="20" s="1"/>
  <c r="E30" i="20" s="1"/>
  <c r="Q34" i="20"/>
  <c r="N34" i="20"/>
  <c r="K34" i="20"/>
  <c r="H34" i="20"/>
  <c r="E34" i="20"/>
  <c r="Q33" i="20"/>
  <c r="N33" i="20"/>
  <c r="K33" i="20"/>
  <c r="H33" i="20"/>
  <c r="E33" i="20"/>
  <c r="K32" i="20"/>
  <c r="H32" i="20"/>
  <c r="H15" i="20" s="1"/>
  <c r="E32" i="20"/>
  <c r="K31" i="20"/>
  <c r="K25" i="20" s="1"/>
  <c r="K18" i="20" s="1"/>
  <c r="H31" i="20"/>
  <c r="K30" i="20"/>
  <c r="H30" i="20"/>
  <c r="H25" i="20" s="1"/>
  <c r="H14" i="20" s="1"/>
  <c r="Q29" i="20"/>
  <c r="N29" i="20"/>
  <c r="K29" i="20"/>
  <c r="H29" i="20"/>
  <c r="H16" i="20" s="1"/>
  <c r="H11" i="20" s="1"/>
  <c r="Q28" i="20"/>
  <c r="N28" i="20"/>
  <c r="K28" i="20"/>
  <c r="H28" i="20"/>
  <c r="Q27" i="20"/>
  <c r="N27" i="20"/>
  <c r="K27" i="20"/>
  <c r="H27" i="20"/>
  <c r="E27" i="20"/>
  <c r="Q26" i="20"/>
  <c r="N26" i="20"/>
  <c r="K26" i="20"/>
  <c r="H26" i="20"/>
  <c r="E26" i="20"/>
  <c r="E25" i="20"/>
  <c r="Q24" i="20"/>
  <c r="Q21" i="20" s="1"/>
  <c r="N24" i="20"/>
  <c r="N21" i="20" s="1"/>
  <c r="K24" i="20"/>
  <c r="H24" i="20"/>
  <c r="E24" i="20"/>
  <c r="K23" i="20"/>
  <c r="H23" i="20"/>
  <c r="K22" i="20"/>
  <c r="H22" i="20"/>
  <c r="K21" i="20"/>
  <c r="K19" i="20" s="1"/>
  <c r="H20" i="20"/>
  <c r="H19" i="20"/>
  <c r="T18" i="20"/>
  <c r="Q18" i="20"/>
  <c r="N18" i="20"/>
  <c r="H18" i="20"/>
  <c r="E18" i="20"/>
  <c r="T17" i="20"/>
  <c r="Q17" i="20"/>
  <c r="N17" i="20"/>
  <c r="H17" i="20"/>
  <c r="E17" i="20"/>
  <c r="T16" i="20"/>
  <c r="Q16" i="20"/>
  <c r="N16" i="20"/>
  <c r="E16" i="20"/>
  <c r="E11" i="20" s="1"/>
  <c r="T15" i="20"/>
  <c r="Q15" i="20"/>
  <c r="N15" i="20"/>
  <c r="E15" i="20"/>
  <c r="T14" i="20"/>
  <c r="Q14" i="20"/>
  <c r="N14" i="20"/>
  <c r="E14" i="20"/>
  <c r="T13" i="20"/>
  <c r="Q13" i="20"/>
  <c r="K13" i="20"/>
  <c r="E13" i="20"/>
  <c r="K12" i="20"/>
  <c r="E12" i="20"/>
  <c r="T10" i="20"/>
  <c r="Q10" i="20"/>
  <c r="N10" i="20"/>
  <c r="K10" i="20"/>
  <c r="E10" i="20"/>
  <c r="N9" i="20"/>
  <c r="K9" i="20"/>
  <c r="H9" i="20"/>
  <c r="E9" i="20"/>
  <c r="T8" i="20"/>
  <c r="T7" i="20" s="1"/>
  <c r="Q8" i="20"/>
  <c r="Q7" i="20" s="1"/>
  <c r="Q2" i="20" s="1"/>
  <c r="N8" i="20"/>
  <c r="K8" i="20"/>
  <c r="H8" i="20"/>
  <c r="E8" i="20"/>
  <c r="N7" i="20"/>
  <c r="K7" i="20"/>
  <c r="H7" i="20"/>
  <c r="E7" i="20"/>
  <c r="K6" i="20"/>
  <c r="H6" i="20"/>
  <c r="E6" i="20"/>
  <c r="T5" i="20"/>
  <c r="Q5" i="20"/>
  <c r="N5" i="20"/>
  <c r="K5" i="20"/>
  <c r="H5" i="20"/>
  <c r="H10" i="20" s="1"/>
  <c r="E5" i="20"/>
  <c r="E22" i="20" s="1"/>
  <c r="N2" i="20"/>
  <c r="H70" i="19"/>
  <c r="H69" i="19"/>
  <c r="H68" i="19"/>
  <c r="H67" i="19"/>
  <c r="H66" i="19"/>
  <c r="H65" i="19"/>
  <c r="H64" i="19"/>
  <c r="H63" i="19"/>
  <c r="H55" i="19" s="1"/>
  <c r="H50" i="19" s="1"/>
  <c r="H62" i="19"/>
  <c r="H61" i="19"/>
  <c r="H60" i="19"/>
  <c r="H58" i="19"/>
  <c r="H57" i="19"/>
  <c r="H56" i="19"/>
  <c r="K55" i="19"/>
  <c r="K54" i="19"/>
  <c r="H54" i="19"/>
  <c r="E54" i="19"/>
  <c r="K53" i="19"/>
  <c r="K51" i="19" s="1"/>
  <c r="H53" i="19"/>
  <c r="E53" i="19"/>
  <c r="K52" i="19"/>
  <c r="K50" i="19" s="1"/>
  <c r="E51" i="19"/>
  <c r="E50" i="19"/>
  <c r="H49" i="19"/>
  <c r="H48" i="19"/>
  <c r="E48" i="19"/>
  <c r="H47" i="19"/>
  <c r="E47" i="19"/>
  <c r="K46" i="19"/>
  <c r="K11" i="19" s="1"/>
  <c r="H46" i="19"/>
  <c r="E46" i="19"/>
  <c r="K45" i="19"/>
  <c r="E45" i="19"/>
  <c r="K44" i="19"/>
  <c r="E44" i="19"/>
  <c r="E52" i="19" s="1"/>
  <c r="E42" i="19" s="1"/>
  <c r="K43" i="19"/>
  <c r="H43" i="19"/>
  <c r="K42" i="19"/>
  <c r="K41" i="19"/>
  <c r="K40" i="19"/>
  <c r="H40" i="19"/>
  <c r="H39" i="19"/>
  <c r="E39" i="19"/>
  <c r="K38" i="19"/>
  <c r="H38" i="19"/>
  <c r="H21" i="19" s="1"/>
  <c r="E38" i="19"/>
  <c r="Q37" i="19"/>
  <c r="N37" i="19"/>
  <c r="K37" i="19"/>
  <c r="H37" i="19"/>
  <c r="Q36" i="19"/>
  <c r="N36" i="19"/>
  <c r="K36" i="19"/>
  <c r="K20" i="19" s="1"/>
  <c r="H36" i="19"/>
  <c r="E36" i="19"/>
  <c r="Q35" i="19"/>
  <c r="N35" i="19"/>
  <c r="K35" i="19"/>
  <c r="H35" i="19"/>
  <c r="E35" i="19"/>
  <c r="E37" i="19" s="1"/>
  <c r="E30" i="19" s="1"/>
  <c r="Q34" i="19"/>
  <c r="N34" i="19"/>
  <c r="K34" i="19"/>
  <c r="H34" i="19"/>
  <c r="E34" i="19"/>
  <c r="Q33" i="19"/>
  <c r="N33" i="19"/>
  <c r="K33" i="19"/>
  <c r="H33" i="19"/>
  <c r="E33" i="19"/>
  <c r="K32" i="19"/>
  <c r="H32" i="19"/>
  <c r="H15" i="19" s="1"/>
  <c r="E32" i="19"/>
  <c r="K31" i="19"/>
  <c r="K25" i="19" s="1"/>
  <c r="K18" i="19" s="1"/>
  <c r="H31" i="19"/>
  <c r="K30" i="19"/>
  <c r="H30" i="19"/>
  <c r="H25" i="19" s="1"/>
  <c r="Q29" i="19"/>
  <c r="N29" i="19"/>
  <c r="K29" i="19"/>
  <c r="H29" i="19"/>
  <c r="H16" i="19" s="1"/>
  <c r="Q28" i="19"/>
  <c r="N28" i="19"/>
  <c r="K28" i="19"/>
  <c r="H28" i="19"/>
  <c r="Q27" i="19"/>
  <c r="N27" i="19"/>
  <c r="K27" i="19"/>
  <c r="H27" i="19"/>
  <c r="E27" i="19"/>
  <c r="Q26" i="19"/>
  <c r="N26" i="19"/>
  <c r="K26" i="19"/>
  <c r="H26" i="19"/>
  <c r="E26" i="19"/>
  <c r="E25" i="19"/>
  <c r="Q24" i="19"/>
  <c r="Q21" i="19" s="1"/>
  <c r="N24" i="19"/>
  <c r="N21" i="19" s="1"/>
  <c r="K24" i="19"/>
  <c r="H24" i="19"/>
  <c r="E24" i="19"/>
  <c r="K23" i="19"/>
  <c r="H23" i="19"/>
  <c r="K22" i="19"/>
  <c r="H22" i="19"/>
  <c r="K21" i="19"/>
  <c r="K19" i="19" s="1"/>
  <c r="H20" i="19"/>
  <c r="H19" i="19"/>
  <c r="T18" i="19"/>
  <c r="Q18" i="19"/>
  <c r="N18" i="19"/>
  <c r="H18" i="19"/>
  <c r="E18" i="19"/>
  <c r="T17" i="19"/>
  <c r="Q17" i="19"/>
  <c r="N17" i="19"/>
  <c r="H17" i="19"/>
  <c r="E17" i="19"/>
  <c r="T16" i="19"/>
  <c r="Q16" i="19"/>
  <c r="N16" i="19"/>
  <c r="E16" i="19"/>
  <c r="E11" i="19" s="1"/>
  <c r="T15" i="19"/>
  <c r="Q15" i="19"/>
  <c r="N15" i="19"/>
  <c r="E15" i="19"/>
  <c r="T14" i="19"/>
  <c r="Q14" i="19"/>
  <c r="N14" i="19"/>
  <c r="E14" i="19"/>
  <c r="T13" i="19"/>
  <c r="Q13" i="19"/>
  <c r="K13" i="19"/>
  <c r="E13" i="19"/>
  <c r="K12" i="19"/>
  <c r="E12" i="19"/>
  <c r="T10" i="19"/>
  <c r="Q10" i="19"/>
  <c r="N10" i="19"/>
  <c r="K10" i="19"/>
  <c r="E10" i="19"/>
  <c r="N9" i="19"/>
  <c r="K9" i="19"/>
  <c r="H9" i="19"/>
  <c r="E9" i="19"/>
  <c r="T8" i="19"/>
  <c r="T7" i="19" s="1"/>
  <c r="Q8" i="19"/>
  <c r="Q7" i="19" s="1"/>
  <c r="N8" i="19"/>
  <c r="K8" i="19"/>
  <c r="H8" i="19"/>
  <c r="E8" i="19"/>
  <c r="N7" i="19"/>
  <c r="K7" i="19"/>
  <c r="H7" i="19"/>
  <c r="E7" i="19"/>
  <c r="K6" i="19"/>
  <c r="H6" i="19"/>
  <c r="E6" i="19"/>
  <c r="T5" i="19"/>
  <c r="Q5" i="19"/>
  <c r="N5" i="19"/>
  <c r="K5" i="19"/>
  <c r="H5" i="19"/>
  <c r="E5" i="19"/>
  <c r="E22" i="19" s="1"/>
  <c r="N2" i="19"/>
  <c r="B108" i="21"/>
  <c r="B43" i="21"/>
  <c r="B42" i="21"/>
  <c r="B34" i="21"/>
  <c r="B33" i="21"/>
  <c r="B32" i="21"/>
  <c r="B108" i="20"/>
  <c r="B43" i="20"/>
  <c r="B42" i="20"/>
  <c r="B34" i="20"/>
  <c r="B33" i="20"/>
  <c r="B32" i="20"/>
  <c r="B108" i="19"/>
  <c r="B43" i="19"/>
  <c r="B42" i="19"/>
  <c r="B34" i="19"/>
  <c r="B33" i="19"/>
  <c r="B32" i="19"/>
  <c r="Q21" i="15"/>
  <c r="N21" i="15"/>
  <c r="T2" i="15"/>
  <c r="Q2" i="15"/>
  <c r="N2" i="15"/>
  <c r="K18" i="15"/>
  <c r="K16" i="15"/>
  <c r="K15" i="15"/>
  <c r="K14" i="15"/>
  <c r="H14" i="15"/>
  <c r="H13" i="15" s="1"/>
  <c r="H12" i="15"/>
  <c r="H11" i="15"/>
  <c r="H10" i="15"/>
  <c r="E52" i="15"/>
  <c r="E37" i="15"/>
  <c r="E23" i="15"/>
  <c r="E22" i="15"/>
  <c r="E21" i="15"/>
  <c r="E20" i="15"/>
  <c r="BW34" i="15"/>
  <c r="H70" i="15"/>
  <c r="GA21" i="15"/>
  <c r="FL21" i="15"/>
  <c r="EW21" i="15"/>
  <c r="EH21" i="15"/>
  <c r="DS21" i="15"/>
  <c r="CU49" i="15"/>
  <c r="CI16" i="15"/>
  <c r="CF16" i="15"/>
  <c r="CC16" i="15"/>
  <c r="CC33" i="15"/>
  <c r="CF33" i="15"/>
  <c r="CL32" i="15"/>
  <c r="CL15" i="15"/>
  <c r="BZ38" i="15"/>
  <c r="BN37" i="15"/>
  <c r="BK37" i="15"/>
  <c r="BE37" i="15"/>
  <c r="BB37" i="15"/>
  <c r="AV37" i="15"/>
  <c r="AS37" i="15"/>
  <c r="AM37" i="15"/>
  <c r="AJ37" i="15"/>
  <c r="BQ18" i="15"/>
  <c r="BN18" i="15"/>
  <c r="BK18" i="15"/>
  <c r="BH18" i="15"/>
  <c r="BE18" i="15"/>
  <c r="BB18" i="15"/>
  <c r="AY18" i="15"/>
  <c r="AV18" i="15"/>
  <c r="AS18" i="15"/>
  <c r="AP18" i="15"/>
  <c r="AM18" i="15"/>
  <c r="AJ18" i="15"/>
  <c r="AG39" i="15"/>
  <c r="AF39" i="15"/>
  <c r="AE39" i="15"/>
  <c r="AD39" i="15"/>
  <c r="AC39" i="15"/>
  <c r="Q37" i="15"/>
  <c r="N37" i="15"/>
  <c r="T18" i="15"/>
  <c r="Q18" i="15"/>
  <c r="N18" i="15"/>
  <c r="K55" i="15"/>
  <c r="E39" i="15"/>
  <c r="E54" i="15"/>
  <c r="CX27" i="15"/>
  <c r="BW33" i="15"/>
  <c r="BT30" i="15"/>
  <c r="Z21" i="15"/>
  <c r="W21" i="15"/>
  <c r="W43" i="15"/>
  <c r="Z47" i="15"/>
  <c r="E27" i="15"/>
  <c r="E21" i="9" l="1"/>
  <c r="H22" i="9"/>
  <c r="Q21" i="10"/>
  <c r="T2" i="10"/>
  <c r="E21" i="11"/>
  <c r="H22" i="11"/>
  <c r="N21" i="11"/>
  <c r="K16" i="29"/>
  <c r="AE32" i="29"/>
  <c r="CX23" i="29"/>
  <c r="CU24" i="29"/>
  <c r="CU14" i="29" s="1"/>
  <c r="H21" i="29"/>
  <c r="H12" i="29" s="1"/>
  <c r="E52" i="29"/>
  <c r="E42" i="29" s="1"/>
  <c r="CF2" i="29"/>
  <c r="BW12" i="29"/>
  <c r="BW10" i="29" s="1"/>
  <c r="FI2" i="29"/>
  <c r="BK6" i="29"/>
  <c r="BK2" i="29" s="1"/>
  <c r="AV25" i="29"/>
  <c r="E23" i="29"/>
  <c r="AC33" i="29"/>
  <c r="AS2" i="29"/>
  <c r="BN6" i="29"/>
  <c r="BN2" i="29" s="1"/>
  <c r="K19" i="29"/>
  <c r="K14" i="29" s="1"/>
  <c r="AV2" i="29"/>
  <c r="DA23" i="29"/>
  <c r="E37" i="29"/>
  <c r="E30" i="29" s="1"/>
  <c r="HE37" i="28"/>
  <c r="HE33" i="28" s="1"/>
  <c r="W19" i="28"/>
  <c r="AS6" i="28"/>
  <c r="AS2" i="28" s="1"/>
  <c r="N2" i="28"/>
  <c r="AM21" i="28"/>
  <c r="AV6" i="28"/>
  <c r="AV2" i="28" s="1"/>
  <c r="CX21" i="28"/>
  <c r="AG33" i="28"/>
  <c r="AY6" i="28"/>
  <c r="DD10" i="28"/>
  <c r="K11" i="28"/>
  <c r="DD7" i="28"/>
  <c r="DD2" i="28" s="1"/>
  <c r="DM2" i="28" s="1"/>
  <c r="CL19" i="28"/>
  <c r="CR19" i="28" s="1"/>
  <c r="BK6" i="28"/>
  <c r="BK2" i="28" s="1"/>
  <c r="W17" i="28"/>
  <c r="W4" i="28" s="1"/>
  <c r="EH7" i="28"/>
  <c r="EH2" i="28" s="1"/>
  <c r="EQ2" i="28" s="1"/>
  <c r="CU24" i="28"/>
  <c r="AJ2" i="28"/>
  <c r="GP7" i="28"/>
  <c r="H22" i="28"/>
  <c r="BN21" i="28"/>
  <c r="E52" i="28"/>
  <c r="E42" i="28" s="1"/>
  <c r="HB2" i="26"/>
  <c r="BZ15" i="26"/>
  <c r="CL13" i="26"/>
  <c r="GP7" i="26"/>
  <c r="N2" i="26"/>
  <c r="FI2" i="26"/>
  <c r="DD7" i="26"/>
  <c r="BZ16" i="26"/>
  <c r="BZ17" i="26"/>
  <c r="BZ14" i="26" s="1"/>
  <c r="DA23" i="26"/>
  <c r="CL2" i="26"/>
  <c r="CR2" i="26" s="1"/>
  <c r="CU25" i="26"/>
  <c r="CU15" i="26" s="1"/>
  <c r="E37" i="26"/>
  <c r="E30" i="26" s="1"/>
  <c r="W19" i="26"/>
  <c r="Z18" i="26"/>
  <c r="Z16" i="26"/>
  <c r="AP2" i="26"/>
  <c r="W18" i="26"/>
  <c r="W3" i="26" s="1"/>
  <c r="GM2" i="26"/>
  <c r="H25" i="26"/>
  <c r="AM21" i="26"/>
  <c r="AY6" i="26"/>
  <c r="AY2" i="26" s="1"/>
  <c r="T2" i="26"/>
  <c r="Q2" i="26"/>
  <c r="CC23" i="26"/>
  <c r="CU16" i="24"/>
  <c r="H50" i="30"/>
  <c r="K25" i="30"/>
  <c r="K19" i="30"/>
  <c r="N2" i="27"/>
  <c r="E21" i="27"/>
  <c r="N21" i="27"/>
  <c r="H16" i="27"/>
  <c r="H11" i="27" s="1"/>
  <c r="E52" i="27"/>
  <c r="E42" i="27" s="1"/>
  <c r="E11" i="27"/>
  <c r="E20" i="27" s="1"/>
  <c r="E3" i="27" s="1"/>
  <c r="Q21" i="25"/>
  <c r="AP2" i="30"/>
  <c r="FI2" i="30"/>
  <c r="E37" i="30"/>
  <c r="E30" i="30" s="1"/>
  <c r="AS6" i="30"/>
  <c r="AS25" i="30"/>
  <c r="AS21" i="30" s="1"/>
  <c r="AJ21" i="30"/>
  <c r="E52" i="30"/>
  <c r="E42" i="30" s="1"/>
  <c r="AV6" i="30"/>
  <c r="AV2" i="30" s="1"/>
  <c r="CL19" i="30"/>
  <c r="H22" i="30"/>
  <c r="AV25" i="30"/>
  <c r="AV21" i="30" s="1"/>
  <c r="BN6" i="30"/>
  <c r="BN25" i="30"/>
  <c r="BN21" i="30" s="1"/>
  <c r="Z17" i="30"/>
  <c r="CX21" i="30"/>
  <c r="BT11" i="30"/>
  <c r="BT23" i="30" s="1"/>
  <c r="BT4" i="30" s="1"/>
  <c r="DS7" i="30"/>
  <c r="DS2" i="30" s="1"/>
  <c r="EW7" i="30"/>
  <c r="EW2" i="30" s="1"/>
  <c r="FC2" i="30" s="1"/>
  <c r="CU18" i="30" s="1"/>
  <c r="AM2" i="30"/>
  <c r="BZ10" i="30"/>
  <c r="BZ15" i="30" s="1"/>
  <c r="H59" i="30"/>
  <c r="AF33" i="30"/>
  <c r="N2" i="30"/>
  <c r="E52" i="23"/>
  <c r="E42" i="23" s="1"/>
  <c r="BW12" i="23"/>
  <c r="BW10" i="23" s="1"/>
  <c r="AS21" i="23"/>
  <c r="AM21" i="23"/>
  <c r="AG32" i="23"/>
  <c r="FI2" i="23"/>
  <c r="H50" i="23"/>
  <c r="AM2" i="23"/>
  <c r="EH7" i="23"/>
  <c r="DD10" i="23"/>
  <c r="H22" i="23"/>
  <c r="H14" i="23" s="1"/>
  <c r="W18" i="23"/>
  <c r="DS7" i="23"/>
  <c r="DS2" i="23" s="1"/>
  <c r="EW7" i="23"/>
  <c r="EW2" i="23" s="1"/>
  <c r="FC2" i="23" s="1"/>
  <c r="CU18" i="23" s="1"/>
  <c r="CL13" i="23"/>
  <c r="CO2" i="23" s="1"/>
  <c r="DA10" i="23"/>
  <c r="CL30" i="23"/>
  <c r="CU25" i="23"/>
  <c r="Z17" i="23"/>
  <c r="CL2" i="23"/>
  <c r="K28" i="23"/>
  <c r="Z41" i="23"/>
  <c r="GA7" i="25"/>
  <c r="GA2" i="25" s="1"/>
  <c r="GD2" i="25" s="1"/>
  <c r="BK25" i="25"/>
  <c r="K28" i="25"/>
  <c r="DA24" i="25"/>
  <c r="DD10" i="25"/>
  <c r="CF23" i="25"/>
  <c r="CF19" i="25" s="1"/>
  <c r="W39" i="25"/>
  <c r="BH6" i="25"/>
  <c r="BH2" i="25" s="1"/>
  <c r="Z16" i="25"/>
  <c r="K19" i="25"/>
  <c r="K14" i="25" s="1"/>
  <c r="Z39" i="25"/>
  <c r="BE2" i="25"/>
  <c r="AF30" i="25"/>
  <c r="AF32" i="25" s="1"/>
  <c r="BN6" i="25"/>
  <c r="BN2" i="25" s="1"/>
  <c r="CU25" i="25"/>
  <c r="CU15" i="25" s="1"/>
  <c r="H15" i="25"/>
  <c r="H10" i="25" s="1"/>
  <c r="Z41" i="25"/>
  <c r="FC2" i="6"/>
  <c r="CU18" i="6" s="1"/>
  <c r="CU14" i="6"/>
  <c r="N2" i="12"/>
  <c r="W16" i="12"/>
  <c r="Q2" i="12"/>
  <c r="CC2" i="10"/>
  <c r="BE2" i="11"/>
  <c r="N2" i="11"/>
  <c r="Q2" i="11"/>
  <c r="EW2" i="11"/>
  <c r="CC2" i="11"/>
  <c r="EH2" i="11"/>
  <c r="EN2" i="11" s="1"/>
  <c r="CU20" i="11" s="1"/>
  <c r="AJ21" i="11"/>
  <c r="N21" i="9"/>
  <c r="W41" i="9"/>
  <c r="AJ2" i="9"/>
  <c r="CU14" i="9"/>
  <c r="E37" i="9"/>
  <c r="E30" i="9" s="1"/>
  <c r="CL2" i="9"/>
  <c r="CR2" i="9" s="1"/>
  <c r="GA2" i="9"/>
  <c r="N2" i="9"/>
  <c r="W39" i="10"/>
  <c r="E52" i="10"/>
  <c r="E42" i="10" s="1"/>
  <c r="Q2" i="10"/>
  <c r="E37" i="10"/>
  <c r="E30" i="10" s="1"/>
  <c r="E21" i="10"/>
  <c r="DG2" i="7"/>
  <c r="DA16" i="7" s="1"/>
  <c r="DM2" i="7"/>
  <c r="DJ2" i="7"/>
  <c r="CU17" i="7" s="1"/>
  <c r="GY2" i="7"/>
  <c r="GS2" i="7"/>
  <c r="DA18" i="7" s="1"/>
  <c r="GV2" i="7"/>
  <c r="CU19" i="7" s="1"/>
  <c r="Z3" i="7"/>
  <c r="FU2" i="7"/>
  <c r="FO2" i="7"/>
  <c r="DA22" i="7" s="1"/>
  <c r="FR2" i="7"/>
  <c r="CU23" i="7" s="1"/>
  <c r="DM2" i="8"/>
  <c r="DJ2" i="8"/>
  <c r="CU17" i="8" s="1"/>
  <c r="CU4" i="8" s="1"/>
  <c r="FU2" i="8"/>
  <c r="FR2" i="8"/>
  <c r="CU23" i="8" s="1"/>
  <c r="FO2" i="8"/>
  <c r="DA22" i="8" s="1"/>
  <c r="Z4" i="8"/>
  <c r="GJ2" i="8"/>
  <c r="GG2" i="8"/>
  <c r="CU22" i="8" s="1"/>
  <c r="DA21" i="8"/>
  <c r="BT23" i="8"/>
  <c r="BT4" i="8" s="1"/>
  <c r="W25" i="8"/>
  <c r="FC2" i="8"/>
  <c r="CU18" i="8" s="1"/>
  <c r="EZ2" i="8"/>
  <c r="DA17" i="8" s="1"/>
  <c r="FF2" i="8"/>
  <c r="EQ2" i="8"/>
  <c r="EN2" i="8"/>
  <c r="CU20" i="8" s="1"/>
  <c r="EK2" i="8"/>
  <c r="DA19" i="8" s="1"/>
  <c r="AE32" i="8"/>
  <c r="AE2" i="8" s="1"/>
  <c r="W4" i="8"/>
  <c r="DG5" i="8"/>
  <c r="DG2" i="8" s="1"/>
  <c r="DA16" i="8" s="1"/>
  <c r="GY2" i="8"/>
  <c r="GV2" i="8"/>
  <c r="CU19" i="8" s="1"/>
  <c r="GS2" i="8"/>
  <c r="DA18" i="8" s="1"/>
  <c r="BZ2" i="8"/>
  <c r="CX3" i="6"/>
  <c r="FU2" i="6"/>
  <c r="FR2" i="6"/>
  <c r="CU23" i="6" s="1"/>
  <c r="FO2" i="6"/>
  <c r="DA22" i="6" s="1"/>
  <c r="DG2" i="6"/>
  <c r="DA16" i="6" s="1"/>
  <c r="DM2" i="6"/>
  <c r="DJ2" i="6"/>
  <c r="CU4" i="6" s="1"/>
  <c r="BT21" i="6"/>
  <c r="BT3" i="6" s="1"/>
  <c r="AE34" i="6"/>
  <c r="HE24" i="6"/>
  <c r="AD34" i="6"/>
  <c r="AD2" i="6" s="1"/>
  <c r="DY2" i="6"/>
  <c r="CU21" i="6" s="1"/>
  <c r="AE32" i="6"/>
  <c r="GJ2" i="6"/>
  <c r="GG2" i="6"/>
  <c r="CU22" i="6" s="1"/>
  <c r="DA21" i="6"/>
  <c r="GY2" i="6"/>
  <c r="GV2" i="6"/>
  <c r="CU19" i="6" s="1"/>
  <c r="GS2" i="6"/>
  <c r="DA18" i="6" s="1"/>
  <c r="Z4" i="6"/>
  <c r="EQ2" i="6"/>
  <c r="EN2" i="6"/>
  <c r="CU20" i="6" s="1"/>
  <c r="EK2" i="6"/>
  <c r="DA19" i="6" s="1"/>
  <c r="AG2" i="6"/>
  <c r="AC2" i="6"/>
  <c r="BQ2" i="29"/>
  <c r="DD10" i="29"/>
  <c r="DD7" i="29"/>
  <c r="DD2" i="29" s="1"/>
  <c r="HE37" i="29"/>
  <c r="HE33" i="29" s="1"/>
  <c r="HE23" i="29" s="1"/>
  <c r="AJ21" i="29"/>
  <c r="CC19" i="29"/>
  <c r="AY2" i="29"/>
  <c r="EH2" i="29"/>
  <c r="EQ2" i="29" s="1"/>
  <c r="E11" i="29"/>
  <c r="BW15" i="29"/>
  <c r="BW11" i="29" s="1"/>
  <c r="BW2" i="29" s="1"/>
  <c r="K25" i="29"/>
  <c r="K18" i="29" s="1"/>
  <c r="K17" i="29" s="1"/>
  <c r="AF32" i="29"/>
  <c r="AM2" i="29"/>
  <c r="W16" i="29"/>
  <c r="AJ2" i="29"/>
  <c r="GP7" i="29"/>
  <c r="GP2" i="29" s="1"/>
  <c r="Q21" i="29"/>
  <c r="AF33" i="29"/>
  <c r="CU25" i="29"/>
  <c r="H25" i="29"/>
  <c r="AG32" i="29"/>
  <c r="HB2" i="29"/>
  <c r="DP7" i="29"/>
  <c r="GM2" i="29"/>
  <c r="CL19" i="29"/>
  <c r="AS21" i="29"/>
  <c r="BZ17" i="29"/>
  <c r="DA24" i="29"/>
  <c r="DA14" i="29" s="1"/>
  <c r="DA4" i="29" s="1"/>
  <c r="H16" i="29"/>
  <c r="DS7" i="29"/>
  <c r="DS2" i="29" s="1"/>
  <c r="DY2" i="29" s="1"/>
  <c r="CU21" i="29" s="1"/>
  <c r="EW7" i="29"/>
  <c r="EW2" i="29" s="1"/>
  <c r="EE2" i="29"/>
  <c r="DP5" i="29"/>
  <c r="AV21" i="29"/>
  <c r="W38" i="29"/>
  <c r="Z38" i="29"/>
  <c r="K20" i="29"/>
  <c r="K15" i="29" s="1"/>
  <c r="K2" i="29" s="1"/>
  <c r="W19" i="29"/>
  <c r="CI6" i="29"/>
  <c r="CI2" i="29" s="1"/>
  <c r="BZ16" i="29"/>
  <c r="CC23" i="29"/>
  <c r="BT11" i="29"/>
  <c r="BT23" i="29" s="1"/>
  <c r="BT4" i="29" s="1"/>
  <c r="DA25" i="29"/>
  <c r="DA15" i="29" s="1"/>
  <c r="Z41" i="29"/>
  <c r="Z40" i="29"/>
  <c r="Z16" i="29"/>
  <c r="Z4" i="29" s="1"/>
  <c r="AP2" i="29"/>
  <c r="CL2" i="29"/>
  <c r="CR2" i="29" s="1"/>
  <c r="Q2" i="29"/>
  <c r="CX21" i="29"/>
  <c r="CX11" i="29"/>
  <c r="CX22" i="29" s="1"/>
  <c r="CX4" i="29" s="1"/>
  <c r="CF23" i="29"/>
  <c r="CF19" i="29" s="1"/>
  <c r="W40" i="29"/>
  <c r="K28" i="29"/>
  <c r="DP7" i="28"/>
  <c r="DS7" i="28"/>
  <c r="DS2" i="28" s="1"/>
  <c r="DV2" i="28" s="1"/>
  <c r="DA20" i="28" s="1"/>
  <c r="EW7" i="28"/>
  <c r="EW2" i="28" s="1"/>
  <c r="H21" i="28"/>
  <c r="Z16" i="28"/>
  <c r="AP2" i="28"/>
  <c r="CL2" i="28"/>
  <c r="CR2" i="28" s="1"/>
  <c r="CI2" i="28"/>
  <c r="GM2" i="28"/>
  <c r="AJ21" i="28"/>
  <c r="N21" i="28"/>
  <c r="CU25" i="28"/>
  <c r="H25" i="28"/>
  <c r="H14" i="28" s="1"/>
  <c r="EE2" i="28"/>
  <c r="E11" i="28"/>
  <c r="E20" i="28" s="1"/>
  <c r="H15" i="28"/>
  <c r="DA24" i="28"/>
  <c r="DA14" i="28" s="1"/>
  <c r="K20" i="28"/>
  <c r="GP2" i="28"/>
  <c r="GY2" i="28" s="1"/>
  <c r="W18" i="28"/>
  <c r="BW15" i="28"/>
  <c r="BW11" i="28" s="1"/>
  <c r="AS25" i="28"/>
  <c r="AS21" i="28" s="1"/>
  <c r="W38" i="28"/>
  <c r="AY2" i="28"/>
  <c r="BN6" i="28"/>
  <c r="BN2" i="28" s="1"/>
  <c r="FI2" i="28"/>
  <c r="Q2" i="28"/>
  <c r="GA7" i="28"/>
  <c r="GA2" i="28" s="1"/>
  <c r="K25" i="28"/>
  <c r="Z41" i="28"/>
  <c r="Z38" i="28"/>
  <c r="Z40" i="28"/>
  <c r="AF32" i="28"/>
  <c r="CX23" i="28"/>
  <c r="BQ2" i="28"/>
  <c r="FL2" i="28"/>
  <c r="FU2" i="28" s="1"/>
  <c r="CX11" i="28"/>
  <c r="CX20" i="28" s="1"/>
  <c r="CX3" i="28" s="1"/>
  <c r="BT11" i="28"/>
  <c r="BT21" i="28" s="1"/>
  <c r="K19" i="28"/>
  <c r="AG32" i="28"/>
  <c r="HE3" i="28"/>
  <c r="W16" i="28"/>
  <c r="BH2" i="28"/>
  <c r="BZ16" i="28"/>
  <c r="BZ13" i="28" s="1"/>
  <c r="BZ17" i="28"/>
  <c r="BZ14" i="28" s="1"/>
  <c r="W40" i="28"/>
  <c r="W25" i="28" s="1"/>
  <c r="E37" i="28"/>
  <c r="E30" i="28" s="1"/>
  <c r="AS25" i="26"/>
  <c r="AS21" i="26" s="1"/>
  <c r="AF32" i="26"/>
  <c r="BK6" i="26"/>
  <c r="ET2" i="26"/>
  <c r="BT11" i="26"/>
  <c r="BT21" i="26" s="1"/>
  <c r="AV25" i="26"/>
  <c r="AV21" i="26" s="1"/>
  <c r="W38" i="26"/>
  <c r="CU24" i="26"/>
  <c r="Z40" i="26"/>
  <c r="DP7" i="26"/>
  <c r="K20" i="26"/>
  <c r="K15" i="26" s="1"/>
  <c r="AG32" i="26"/>
  <c r="BN6" i="26"/>
  <c r="BN2" i="26" s="1"/>
  <c r="CF2" i="26"/>
  <c r="E11" i="26"/>
  <c r="E20" i="26" s="1"/>
  <c r="Z41" i="26"/>
  <c r="W40" i="26"/>
  <c r="K19" i="26"/>
  <c r="K14" i="26" s="1"/>
  <c r="HE37" i="26"/>
  <c r="GP2" i="26"/>
  <c r="GY2" i="26" s="1"/>
  <c r="BH2" i="26"/>
  <c r="DD10" i="26"/>
  <c r="BW15" i="26"/>
  <c r="BW11" i="26" s="1"/>
  <c r="E52" i="26"/>
  <c r="E42" i="26" s="1"/>
  <c r="EH2" i="26"/>
  <c r="EN2" i="26" s="1"/>
  <c r="CU20" i="26" s="1"/>
  <c r="H21" i="26"/>
  <c r="H12" i="26" s="1"/>
  <c r="W16" i="26"/>
  <c r="AJ2" i="26"/>
  <c r="CL19" i="26"/>
  <c r="CR19" i="26" s="1"/>
  <c r="AJ21" i="26"/>
  <c r="CC19" i="26"/>
  <c r="E23" i="26"/>
  <c r="BQ2" i="26"/>
  <c r="HE3" i="26"/>
  <c r="AS6" i="26"/>
  <c r="AS2" i="26" s="1"/>
  <c r="EE2" i="26"/>
  <c r="CX11" i="26"/>
  <c r="CX22" i="26" s="1"/>
  <c r="CX4" i="26" s="1"/>
  <c r="AV2" i="26"/>
  <c r="CU16" i="26"/>
  <c r="CI6" i="26"/>
  <c r="CI2" i="26" s="1"/>
  <c r="AM2" i="26"/>
  <c r="BK2" i="26"/>
  <c r="DS7" i="26"/>
  <c r="DS2" i="26" s="1"/>
  <c r="EB2" i="26" s="1"/>
  <c r="EW7" i="26"/>
  <c r="EW2" i="26" s="1"/>
  <c r="EZ2" i="26" s="1"/>
  <c r="DA17" i="26" s="1"/>
  <c r="EH7" i="26"/>
  <c r="FL7" i="26"/>
  <c r="FL2" i="26" s="1"/>
  <c r="FU2" i="26" s="1"/>
  <c r="DA10" i="26"/>
  <c r="GA7" i="26"/>
  <c r="GA2" i="26" s="1"/>
  <c r="GD2" i="26" s="1"/>
  <c r="N21" i="26"/>
  <c r="AG33" i="26"/>
  <c r="DA24" i="26"/>
  <c r="DA14" i="26" s="1"/>
  <c r="H16" i="26"/>
  <c r="AD32" i="24"/>
  <c r="BT24" i="24"/>
  <c r="E23" i="24"/>
  <c r="Q2" i="24"/>
  <c r="AG32" i="24"/>
  <c r="EH7" i="24"/>
  <c r="EH2" i="24" s="1"/>
  <c r="FL7" i="24"/>
  <c r="FL2" i="24" s="1"/>
  <c r="FU2" i="24" s="1"/>
  <c r="CX21" i="24"/>
  <c r="CX23" i="24"/>
  <c r="CL19" i="24"/>
  <c r="K25" i="24"/>
  <c r="K18" i="24" s="1"/>
  <c r="K17" i="24" s="1"/>
  <c r="DA24" i="24"/>
  <c r="DA14" i="24" s="1"/>
  <c r="AF32" i="24"/>
  <c r="GA7" i="24"/>
  <c r="GA2" i="24" s="1"/>
  <c r="GG2" i="24" s="1"/>
  <c r="CU22" i="24" s="1"/>
  <c r="DS7" i="24"/>
  <c r="DS2" i="24" s="1"/>
  <c r="DY2" i="24" s="1"/>
  <c r="CU21" i="24" s="1"/>
  <c r="EW7" i="24"/>
  <c r="DP5" i="24"/>
  <c r="DD10" i="24"/>
  <c r="AG34" i="24"/>
  <c r="DA13" i="24"/>
  <c r="EW2" i="24"/>
  <c r="FF2" i="24" s="1"/>
  <c r="GP7" i="24"/>
  <c r="GP2" i="24" s="1"/>
  <c r="HB2" i="24"/>
  <c r="N21" i="24"/>
  <c r="Z40" i="24"/>
  <c r="Z26" i="24" s="1"/>
  <c r="CF2" i="24"/>
  <c r="BE2" i="24"/>
  <c r="E11" i="24"/>
  <c r="GM2" i="24"/>
  <c r="H25" i="24"/>
  <c r="K16" i="24"/>
  <c r="W16" i="24"/>
  <c r="AM2" i="24"/>
  <c r="CI2" i="24"/>
  <c r="BH6" i="24"/>
  <c r="BH2" i="24" s="1"/>
  <c r="BT11" i="24"/>
  <c r="BT21" i="24" s="1"/>
  <c r="BT3" i="24" s="1"/>
  <c r="W39" i="24"/>
  <c r="AM21" i="24"/>
  <c r="E37" i="24"/>
  <c r="E30" i="24" s="1"/>
  <c r="HE37" i="24"/>
  <c r="HE33" i="24" s="1"/>
  <c r="HE23" i="24" s="1"/>
  <c r="E52" i="24"/>
  <c r="E42" i="24" s="1"/>
  <c r="Z16" i="24"/>
  <c r="AP2" i="24"/>
  <c r="BN2" i="24"/>
  <c r="CL2" i="24"/>
  <c r="CR2" i="24" s="1"/>
  <c r="BW12" i="24"/>
  <c r="BW10" i="24" s="1"/>
  <c r="AG33" i="24"/>
  <c r="Z39" i="24"/>
  <c r="W40" i="24"/>
  <c r="W25" i="24" s="1"/>
  <c r="H16" i="24"/>
  <c r="H11" i="24" s="1"/>
  <c r="AC32" i="24"/>
  <c r="BQ2" i="24"/>
  <c r="AY2" i="24"/>
  <c r="CU11" i="24"/>
  <c r="CU15" i="24" s="1"/>
  <c r="CX11" i="24"/>
  <c r="K19" i="24"/>
  <c r="BW15" i="24"/>
  <c r="CC19" i="24"/>
  <c r="Z38" i="24"/>
  <c r="GA2" i="30"/>
  <c r="GD2" i="30" s="1"/>
  <c r="DP7" i="30"/>
  <c r="AJ2" i="30"/>
  <c r="EH7" i="30"/>
  <c r="EH2" i="30" s="1"/>
  <c r="AM21" i="30"/>
  <c r="H52" i="30"/>
  <c r="GM2" i="30"/>
  <c r="CU24" i="30"/>
  <c r="CU14" i="30" s="1"/>
  <c r="H15" i="30"/>
  <c r="W16" i="30"/>
  <c r="W4" i="30" s="1"/>
  <c r="CL2" i="30"/>
  <c r="CR2" i="30" s="1"/>
  <c r="GP2" i="30"/>
  <c r="GV2" i="30" s="1"/>
  <c r="CU19" i="30" s="1"/>
  <c r="DD7" i="30"/>
  <c r="DD10" i="30"/>
  <c r="E11" i="30"/>
  <c r="E22" i="30" s="1"/>
  <c r="BW12" i="30"/>
  <c r="BW10" i="30" s="1"/>
  <c r="CU25" i="30"/>
  <c r="CU15" i="30" s="1"/>
  <c r="Z18" i="30"/>
  <c r="HE3" i="30"/>
  <c r="CI2" i="30"/>
  <c r="H16" i="30"/>
  <c r="H11" i="30" s="1"/>
  <c r="AS2" i="30"/>
  <c r="FL7" i="30"/>
  <c r="FL2" i="30" s="1"/>
  <c r="FU2" i="30" s="1"/>
  <c r="T2" i="30"/>
  <c r="GP7" i="30"/>
  <c r="N21" i="30"/>
  <c r="Z40" i="30"/>
  <c r="Z26" i="30" s="1"/>
  <c r="H51" i="30"/>
  <c r="BT24" i="30"/>
  <c r="BN2" i="30"/>
  <c r="BW15" i="30"/>
  <c r="BW11" i="30" s="1"/>
  <c r="BZ16" i="30"/>
  <c r="Q21" i="30"/>
  <c r="BZ17" i="30"/>
  <c r="K28" i="30"/>
  <c r="K18" i="30" s="1"/>
  <c r="AY2" i="30"/>
  <c r="BQ6" i="30"/>
  <c r="BQ2" i="30" s="1"/>
  <c r="W17" i="30"/>
  <c r="CX23" i="30"/>
  <c r="EE2" i="30"/>
  <c r="Q2" i="30"/>
  <c r="DP5" i="30"/>
  <c r="CL30" i="30"/>
  <c r="CO19" i="30" s="1"/>
  <c r="W39" i="30"/>
  <c r="DA24" i="30"/>
  <c r="DA14" i="30" s="1"/>
  <c r="DP7" i="27"/>
  <c r="AY2" i="27"/>
  <c r="DA15" i="27"/>
  <c r="CX11" i="27"/>
  <c r="CX22" i="27" s="1"/>
  <c r="CX4" i="27" s="1"/>
  <c r="K28" i="27"/>
  <c r="BB2" i="27"/>
  <c r="AJ2" i="27"/>
  <c r="DD7" i="27"/>
  <c r="DD2" i="27" s="1"/>
  <c r="Q21" i="27"/>
  <c r="CL30" i="27"/>
  <c r="DA24" i="27"/>
  <c r="BB6" i="27"/>
  <c r="AM2" i="27"/>
  <c r="EH7" i="27"/>
  <c r="EH2" i="27" s="1"/>
  <c r="EK2" i="27" s="1"/>
  <c r="DA19" i="27" s="1"/>
  <c r="BW12" i="27"/>
  <c r="BW10" i="27" s="1"/>
  <c r="BW2" i="27" s="1"/>
  <c r="BW15" i="27"/>
  <c r="DA23" i="27"/>
  <c r="W40" i="27"/>
  <c r="CR2" i="27"/>
  <c r="W4" i="27"/>
  <c r="GA2" i="27"/>
  <c r="GG2" i="27" s="1"/>
  <c r="CU22" i="27" s="1"/>
  <c r="AC34" i="27"/>
  <c r="GA7" i="27"/>
  <c r="GP7" i="27"/>
  <c r="BZ16" i="27"/>
  <c r="AV21" i="27"/>
  <c r="Z41" i="27"/>
  <c r="Z16" i="27"/>
  <c r="Z4" i="27" s="1"/>
  <c r="DP5" i="27"/>
  <c r="DP2" i="27" s="1"/>
  <c r="BN21" i="27"/>
  <c r="DA25" i="27"/>
  <c r="AJ21" i="27"/>
  <c r="E37" i="27"/>
  <c r="E30" i="27" s="1"/>
  <c r="H52" i="27"/>
  <c r="E23" i="27"/>
  <c r="AC32" i="27"/>
  <c r="W19" i="27"/>
  <c r="AS2" i="27"/>
  <c r="CI2" i="27"/>
  <c r="DP6" i="27"/>
  <c r="CU25" i="27"/>
  <c r="CU15" i="27" s="1"/>
  <c r="H15" i="27"/>
  <c r="H10" i="27" s="1"/>
  <c r="HE3" i="27"/>
  <c r="AV2" i="27"/>
  <c r="BT23" i="27"/>
  <c r="GP2" i="27"/>
  <c r="GY2" i="27" s="1"/>
  <c r="EE2" i="27"/>
  <c r="CL19" i="27"/>
  <c r="BZ15" i="27"/>
  <c r="H25" i="27"/>
  <c r="H14" i="27" s="1"/>
  <c r="HE33" i="27"/>
  <c r="HE23" i="27" s="1"/>
  <c r="AP2" i="25"/>
  <c r="CL2" i="25"/>
  <c r="DP7" i="25"/>
  <c r="CU16" i="25"/>
  <c r="K20" i="25"/>
  <c r="K15" i="25" s="1"/>
  <c r="FI2" i="25"/>
  <c r="CC19" i="25"/>
  <c r="CL19" i="25"/>
  <c r="CR19" i="25" s="1"/>
  <c r="DA25" i="25"/>
  <c r="DA15" i="25" s="1"/>
  <c r="CX21" i="25"/>
  <c r="EH7" i="25"/>
  <c r="EH2" i="25" s="1"/>
  <c r="FL7" i="25"/>
  <c r="FL2" i="25" s="1"/>
  <c r="CX11" i="25"/>
  <c r="CX22" i="25" s="1"/>
  <c r="BB25" i="25"/>
  <c r="BB21" i="25" s="1"/>
  <c r="AD30" i="25"/>
  <c r="AD33" i="25" s="1"/>
  <c r="AJ21" i="25"/>
  <c r="E37" i="25"/>
  <c r="E30" i="25" s="1"/>
  <c r="E52" i="25"/>
  <c r="E42" i="25" s="1"/>
  <c r="N2" i="25"/>
  <c r="DA14" i="25"/>
  <c r="DS7" i="25"/>
  <c r="DS2" i="25" s="1"/>
  <c r="EW7" i="25"/>
  <c r="BT22" i="25"/>
  <c r="BW12" i="25"/>
  <c r="BW10" i="25" s="1"/>
  <c r="BE25" i="25"/>
  <c r="BE21" i="25" s="1"/>
  <c r="AE30" i="25"/>
  <c r="AE32" i="25" s="1"/>
  <c r="AG30" i="25"/>
  <c r="AG33" i="25" s="1"/>
  <c r="AM21" i="25"/>
  <c r="CC6" i="25"/>
  <c r="CC2" i="25" s="1"/>
  <c r="GP7" i="25"/>
  <c r="GP2" i="25" s="1"/>
  <c r="E11" i="25"/>
  <c r="E20" i="25" s="1"/>
  <c r="BZ16" i="25"/>
  <c r="H25" i="25"/>
  <c r="BK21" i="25"/>
  <c r="DA23" i="25"/>
  <c r="DA13" i="25" s="1"/>
  <c r="H21" i="25"/>
  <c r="H12" i="25" s="1"/>
  <c r="HE37" i="25"/>
  <c r="HE33" i="25" s="1"/>
  <c r="HE23" i="25" s="1"/>
  <c r="AJ2" i="25"/>
  <c r="BB6" i="25"/>
  <c r="BB2" i="25" s="1"/>
  <c r="CF6" i="25"/>
  <c r="CF2" i="25" s="1"/>
  <c r="DD7" i="25"/>
  <c r="ET2" i="25"/>
  <c r="BZ17" i="25"/>
  <c r="BN25" i="25"/>
  <c r="BN21" i="25" s="1"/>
  <c r="W41" i="25"/>
  <c r="W38" i="25"/>
  <c r="W16" i="25"/>
  <c r="AM2" i="25"/>
  <c r="BK2" i="25"/>
  <c r="CI2" i="25"/>
  <c r="EE2" i="25"/>
  <c r="Z38" i="25"/>
  <c r="N21" i="25"/>
  <c r="CU24" i="25"/>
  <c r="CU14" i="25" s="1"/>
  <c r="W40" i="25"/>
  <c r="AV21" i="23"/>
  <c r="AS6" i="23"/>
  <c r="AS2" i="23" s="1"/>
  <c r="CI2" i="23"/>
  <c r="EE2" i="23"/>
  <c r="AG34" i="23"/>
  <c r="W40" i="23"/>
  <c r="DA25" i="23"/>
  <c r="DA15" i="23" s="1"/>
  <c r="H59" i="23"/>
  <c r="H52" i="23" s="1"/>
  <c r="HE3" i="23"/>
  <c r="GM2" i="23"/>
  <c r="CX11" i="23"/>
  <c r="CX22" i="23" s="1"/>
  <c r="BZ17" i="23"/>
  <c r="BK25" i="23"/>
  <c r="BK21" i="23" s="1"/>
  <c r="AP2" i="23"/>
  <c r="BN2" i="23"/>
  <c r="Q2" i="23"/>
  <c r="H16" i="23"/>
  <c r="H11" i="23" s="1"/>
  <c r="BW15" i="23"/>
  <c r="BW11" i="23" s="1"/>
  <c r="BW2" i="23" s="1"/>
  <c r="BN25" i="23"/>
  <c r="BN21" i="23" s="1"/>
  <c r="E37" i="23"/>
  <c r="E30" i="23" s="1"/>
  <c r="E21" i="23"/>
  <c r="BQ2" i="23"/>
  <c r="BK6" i="23"/>
  <c r="BK2" i="23" s="1"/>
  <c r="DD7" i="23"/>
  <c r="K19" i="23"/>
  <c r="K14" i="23" s="1"/>
  <c r="CU24" i="23"/>
  <c r="CU14" i="23" s="1"/>
  <c r="HE33" i="23"/>
  <c r="HE23" i="23" s="1"/>
  <c r="AV2" i="23"/>
  <c r="BN6" i="23"/>
  <c r="EH2" i="23"/>
  <c r="EN2" i="23" s="1"/>
  <c r="CU20" i="23" s="1"/>
  <c r="T2" i="23"/>
  <c r="GA7" i="23"/>
  <c r="GA2" i="23" s="1"/>
  <c r="GD2" i="23" s="1"/>
  <c r="CF2" i="23"/>
  <c r="BZ10" i="23"/>
  <c r="BZ13" i="23" s="1"/>
  <c r="BT11" i="23"/>
  <c r="BT21" i="23" s="1"/>
  <c r="N2" i="23"/>
  <c r="BZ16" i="23"/>
  <c r="N21" i="23"/>
  <c r="H21" i="23"/>
  <c r="H12" i="23" s="1"/>
  <c r="AY2" i="23"/>
  <c r="W17" i="23"/>
  <c r="CX23" i="23"/>
  <c r="E11" i="23"/>
  <c r="E22" i="23" s="1"/>
  <c r="H15" i="23"/>
  <c r="DP5" i="23"/>
  <c r="Q21" i="23"/>
  <c r="W39" i="23"/>
  <c r="H51" i="23"/>
  <c r="H13" i="23" s="1"/>
  <c r="HB2" i="23"/>
  <c r="DP7" i="23"/>
  <c r="DP2" i="23" s="1"/>
  <c r="AJ2" i="23"/>
  <c r="GP7" i="23"/>
  <c r="GP2" i="23" s="1"/>
  <c r="DP16" i="23"/>
  <c r="CL19" i="23"/>
  <c r="CO19" i="23" s="1"/>
  <c r="Z38" i="23"/>
  <c r="Z40" i="23"/>
  <c r="HE37" i="23"/>
  <c r="AG34" i="12"/>
  <c r="DA14" i="12"/>
  <c r="CI6" i="12"/>
  <c r="CI2" i="12" s="1"/>
  <c r="Q21" i="12"/>
  <c r="DA23" i="12"/>
  <c r="AV21" i="12"/>
  <c r="BZ10" i="12"/>
  <c r="BZ15" i="12" s="1"/>
  <c r="CX11" i="12"/>
  <c r="CX20" i="12" s="1"/>
  <c r="CX3" i="12" s="1"/>
  <c r="CR19" i="12"/>
  <c r="AP2" i="12"/>
  <c r="BN2" i="12"/>
  <c r="W18" i="12"/>
  <c r="W3" i="12" s="1"/>
  <c r="CF23" i="12"/>
  <c r="CF19" i="12"/>
  <c r="CO19" i="12"/>
  <c r="AS2" i="12"/>
  <c r="CF2" i="12"/>
  <c r="HE3" i="12"/>
  <c r="BW15" i="12"/>
  <c r="BW11" i="12" s="1"/>
  <c r="CU24" i="12"/>
  <c r="W38" i="12"/>
  <c r="W26" i="12" s="1"/>
  <c r="H21" i="12"/>
  <c r="HE37" i="12"/>
  <c r="H14" i="12"/>
  <c r="AD33" i="12"/>
  <c r="AJ2" i="12"/>
  <c r="CX23" i="12"/>
  <c r="BB2" i="12"/>
  <c r="W17" i="12"/>
  <c r="W4" i="12" s="1"/>
  <c r="BN21" i="12"/>
  <c r="E52" i="12"/>
  <c r="E42" i="12" s="1"/>
  <c r="H50" i="12"/>
  <c r="AE33" i="12"/>
  <c r="AS6" i="12"/>
  <c r="CC6" i="12"/>
  <c r="CC2" i="12" s="1"/>
  <c r="DA13" i="12"/>
  <c r="BZ16" i="12"/>
  <c r="BZ13" i="12" s="1"/>
  <c r="BK25" i="12"/>
  <c r="CX21" i="12"/>
  <c r="BE6" i="12"/>
  <c r="BE2" i="12" s="1"/>
  <c r="CF6" i="12"/>
  <c r="N21" i="12"/>
  <c r="AM21" i="12"/>
  <c r="BZ17" i="12"/>
  <c r="BZ14" i="12" s="1"/>
  <c r="CU25" i="12"/>
  <c r="CX11" i="11"/>
  <c r="CX22" i="11" s="1"/>
  <c r="CX4" i="11" s="1"/>
  <c r="H15" i="11"/>
  <c r="H10" i="11" s="1"/>
  <c r="DP5" i="11"/>
  <c r="BZ17" i="11"/>
  <c r="HE33" i="11"/>
  <c r="HE23" i="11" s="1"/>
  <c r="E52" i="11"/>
  <c r="E42" i="11" s="1"/>
  <c r="H50" i="11"/>
  <c r="H59" i="11"/>
  <c r="H52" i="11" s="1"/>
  <c r="CU25" i="11"/>
  <c r="E37" i="11"/>
  <c r="E30" i="11" s="1"/>
  <c r="GA7" i="11"/>
  <c r="GA2" i="11" s="1"/>
  <c r="GJ2" i="11" s="1"/>
  <c r="K25" i="11"/>
  <c r="BB2" i="11"/>
  <c r="Z19" i="11"/>
  <c r="CL2" i="11"/>
  <c r="CR2" i="11" s="1"/>
  <c r="BN6" i="11"/>
  <c r="BN2" i="11" s="1"/>
  <c r="BB25" i="11"/>
  <c r="BB21" i="11" s="1"/>
  <c r="CF19" i="11"/>
  <c r="H51" i="11"/>
  <c r="AM2" i="11"/>
  <c r="CI6" i="11"/>
  <c r="CI2" i="11" s="1"/>
  <c r="BQ6" i="11"/>
  <c r="BQ2" i="11" s="1"/>
  <c r="GP2" i="11"/>
  <c r="GM2" i="11"/>
  <c r="BE25" i="11"/>
  <c r="BE21" i="11" s="1"/>
  <c r="BK21" i="11"/>
  <c r="CX23" i="11"/>
  <c r="AD33" i="11"/>
  <c r="CX21" i="11"/>
  <c r="DA10" i="11"/>
  <c r="DD10" i="11"/>
  <c r="BT11" i="11"/>
  <c r="BT23" i="11" s="1"/>
  <c r="BT4" i="11" s="1"/>
  <c r="CF23" i="11"/>
  <c r="BN21" i="11"/>
  <c r="BK25" i="11"/>
  <c r="H25" i="11"/>
  <c r="H14" i="11" s="1"/>
  <c r="W38" i="11"/>
  <c r="W26" i="11" s="1"/>
  <c r="H21" i="11"/>
  <c r="Z40" i="11"/>
  <c r="Z26" i="11" s="1"/>
  <c r="W19" i="11"/>
  <c r="DA14" i="11"/>
  <c r="HB2" i="11"/>
  <c r="E11" i="11"/>
  <c r="E20" i="11" s="1"/>
  <c r="E3" i="11" s="1"/>
  <c r="BW15" i="11"/>
  <c r="BW11" i="11" s="1"/>
  <c r="BW2" i="11" s="1"/>
  <c r="H16" i="11"/>
  <c r="H11" i="11" s="1"/>
  <c r="K19" i="11"/>
  <c r="K14" i="11" s="1"/>
  <c r="DA24" i="11"/>
  <c r="HE37" i="11"/>
  <c r="CU25" i="10"/>
  <c r="BT23" i="10"/>
  <c r="CX21" i="10"/>
  <c r="HE3" i="10"/>
  <c r="BT24" i="10"/>
  <c r="DA23" i="10"/>
  <c r="DA13" i="10" s="1"/>
  <c r="Z40" i="10"/>
  <c r="BQ2" i="10"/>
  <c r="AE33" i="10"/>
  <c r="CX23" i="10"/>
  <c r="BB2" i="10"/>
  <c r="BB21" i="10"/>
  <c r="Z41" i="10"/>
  <c r="K25" i="10"/>
  <c r="BE2" i="10"/>
  <c r="BT11" i="10"/>
  <c r="BT21" i="10" s="1"/>
  <c r="BE21" i="10"/>
  <c r="CF19" i="10"/>
  <c r="BW15" i="10"/>
  <c r="BW11" i="10" s="1"/>
  <c r="BW2" i="10" s="1"/>
  <c r="H16" i="10"/>
  <c r="H21" i="10"/>
  <c r="BK21" i="10"/>
  <c r="AJ2" i="10"/>
  <c r="E11" i="10"/>
  <c r="E20" i="10" s="1"/>
  <c r="H15" i="10"/>
  <c r="H10" i="10" s="1"/>
  <c r="CR19" i="10"/>
  <c r="K19" i="10"/>
  <c r="K14" i="10" s="1"/>
  <c r="H25" i="10"/>
  <c r="W38" i="10"/>
  <c r="W26" i="10" s="1"/>
  <c r="AM2" i="10"/>
  <c r="BK2" i="10"/>
  <c r="CI2" i="10"/>
  <c r="BN6" i="10"/>
  <c r="BN2" i="10" s="1"/>
  <c r="CX11" i="10"/>
  <c r="CX22" i="10" s="1"/>
  <c r="BZ16" i="10"/>
  <c r="AJ21" i="10"/>
  <c r="BN25" i="10"/>
  <c r="BN21" i="10" s="1"/>
  <c r="BW12" i="10"/>
  <c r="BW10" i="10" s="1"/>
  <c r="H59" i="10"/>
  <c r="H52" i="10" s="1"/>
  <c r="CL2" i="10"/>
  <c r="CR2" i="10" s="1"/>
  <c r="N2" i="10"/>
  <c r="DA20" i="10"/>
  <c r="N21" i="10"/>
  <c r="AM21" i="10"/>
  <c r="BZ17" i="10"/>
  <c r="HE37" i="10"/>
  <c r="HE33" i="10" s="1"/>
  <c r="HE23" i="10" s="1"/>
  <c r="HE37" i="9"/>
  <c r="HE33" i="9" s="1"/>
  <c r="BK6" i="9"/>
  <c r="BK2" i="9" s="1"/>
  <c r="AG33" i="9"/>
  <c r="AF33" i="9"/>
  <c r="BQ2" i="9"/>
  <c r="BN21" i="9"/>
  <c r="Z38" i="9"/>
  <c r="Z39" i="9"/>
  <c r="AE34" i="9"/>
  <c r="AY2" i="9"/>
  <c r="AS25" i="9"/>
  <c r="AV25" i="9"/>
  <c r="AV21" i="9" s="1"/>
  <c r="AS2" i="9"/>
  <c r="AP2" i="9"/>
  <c r="W39" i="9"/>
  <c r="AM2" i="9"/>
  <c r="AD34" i="9"/>
  <c r="AM21" i="9"/>
  <c r="W38" i="9"/>
  <c r="BB21" i="9"/>
  <c r="CX21" i="9"/>
  <c r="DA23" i="9"/>
  <c r="DA13" i="9" s="1"/>
  <c r="FL7" i="9"/>
  <c r="FL2" i="9" s="1"/>
  <c r="FU2" i="9" s="1"/>
  <c r="CU24" i="9"/>
  <c r="DA25" i="9"/>
  <c r="DA15" i="9" s="1"/>
  <c r="GP7" i="9"/>
  <c r="GP2" i="9" s="1"/>
  <c r="EW7" i="9"/>
  <c r="EH7" i="9"/>
  <c r="EH2" i="9" s="1"/>
  <c r="DS7" i="9"/>
  <c r="DS2" i="9" s="1"/>
  <c r="DY2" i="9" s="1"/>
  <c r="CU21" i="9" s="1"/>
  <c r="DD7" i="9"/>
  <c r="DA24" i="9"/>
  <c r="DA14" i="9" s="1"/>
  <c r="CU25" i="9"/>
  <c r="BT23" i="9"/>
  <c r="Q2" i="9"/>
  <c r="K28" i="9"/>
  <c r="E52" i="9"/>
  <c r="E42" i="9" s="1"/>
  <c r="CX11" i="9"/>
  <c r="CX22" i="9" s="1"/>
  <c r="CX4" i="9" s="1"/>
  <c r="H16" i="9"/>
  <c r="H11" i="9" s="1"/>
  <c r="K20" i="9"/>
  <c r="E11" i="9"/>
  <c r="E20" i="9" s="1"/>
  <c r="E3" i="9" s="1"/>
  <c r="HE3" i="29"/>
  <c r="DA10" i="29"/>
  <c r="BN21" i="29"/>
  <c r="BZ10" i="29"/>
  <c r="BZ15" i="29" s="1"/>
  <c r="ET2" i="29"/>
  <c r="AD30" i="29"/>
  <c r="AD33" i="29" s="1"/>
  <c r="H55" i="29"/>
  <c r="H59" i="29"/>
  <c r="H52" i="29" s="1"/>
  <c r="GA2" i="29"/>
  <c r="GD2" i="29" s="1"/>
  <c r="CR19" i="29"/>
  <c r="CO19" i="29"/>
  <c r="CU11" i="29"/>
  <c r="AG33" i="29"/>
  <c r="FU2" i="29"/>
  <c r="FO2" i="29"/>
  <c r="DA22" i="29" s="1"/>
  <c r="EZ2" i="29"/>
  <c r="DA17" i="29" s="1"/>
  <c r="FF2" i="29"/>
  <c r="DG16" i="29"/>
  <c r="DG7" i="29" s="1"/>
  <c r="DG11" i="29"/>
  <c r="DG6" i="29" s="1"/>
  <c r="DA13" i="29"/>
  <c r="W18" i="29"/>
  <c r="Z19" i="29"/>
  <c r="W17" i="29"/>
  <c r="Z18" i="29"/>
  <c r="E22" i="29"/>
  <c r="E4" i="29" s="1"/>
  <c r="AC34" i="29"/>
  <c r="AC2" i="29" s="1"/>
  <c r="Z17" i="29"/>
  <c r="H22" i="29"/>
  <c r="AC32" i="29"/>
  <c r="H51" i="29"/>
  <c r="DP6" i="29"/>
  <c r="DP2" i="29" s="1"/>
  <c r="E21" i="29"/>
  <c r="AE34" i="29"/>
  <c r="AE2" i="29" s="1"/>
  <c r="BT22" i="29"/>
  <c r="BT24" i="29"/>
  <c r="BB25" i="29"/>
  <c r="BB21" i="29" s="1"/>
  <c r="AF34" i="29"/>
  <c r="AF2" i="29" s="1"/>
  <c r="W39" i="29"/>
  <c r="W26" i="29" s="1"/>
  <c r="BB6" i="29"/>
  <c r="BB2" i="29" s="1"/>
  <c r="H10" i="29"/>
  <c r="H11" i="29"/>
  <c r="E20" i="29"/>
  <c r="BE25" i="29"/>
  <c r="BE21" i="29" s="1"/>
  <c r="AG34" i="29"/>
  <c r="Z39" i="29"/>
  <c r="BE6" i="29"/>
  <c r="BE2" i="29" s="1"/>
  <c r="CC6" i="29"/>
  <c r="CC2" i="29" s="1"/>
  <c r="BK25" i="29"/>
  <c r="BK21" i="29" s="1"/>
  <c r="W41" i="29"/>
  <c r="W25" i="29" s="1"/>
  <c r="H50" i="29"/>
  <c r="BB21" i="28"/>
  <c r="DP6" i="28"/>
  <c r="DP5" i="28"/>
  <c r="AD30" i="28"/>
  <c r="AD32" i="28" s="1"/>
  <c r="ET2" i="28"/>
  <c r="H59" i="28"/>
  <c r="H52" i="28" s="1"/>
  <c r="H55" i="28"/>
  <c r="H50" i="28" s="1"/>
  <c r="E23" i="28"/>
  <c r="AC33" i="28"/>
  <c r="CU11" i="28"/>
  <c r="CU14" i="28" s="1"/>
  <c r="H12" i="28"/>
  <c r="AD34" i="28"/>
  <c r="W3" i="28"/>
  <c r="DG16" i="28"/>
  <c r="DG7" i="28" s="1"/>
  <c r="DG11" i="28"/>
  <c r="DG6" i="28" s="1"/>
  <c r="Q21" i="28"/>
  <c r="HE23" i="28"/>
  <c r="CL30" i="28"/>
  <c r="CO19" i="28" s="1"/>
  <c r="K16" i="28"/>
  <c r="AE32" i="28"/>
  <c r="CU16" i="28"/>
  <c r="Z19" i="28"/>
  <c r="BW10" i="28"/>
  <c r="Z18" i="28"/>
  <c r="E22" i="28"/>
  <c r="CC23" i="28"/>
  <c r="CC19" i="28" s="1"/>
  <c r="DA25" i="28"/>
  <c r="DA15" i="28" s="1"/>
  <c r="AE33" i="28"/>
  <c r="AC34" i="28"/>
  <c r="Z17" i="28"/>
  <c r="CF23" i="28"/>
  <c r="CF19" i="28" s="1"/>
  <c r="AC32" i="28"/>
  <c r="AF33" i="28"/>
  <c r="E21" i="28"/>
  <c r="AE34" i="28"/>
  <c r="BT22" i="28"/>
  <c r="BT24" i="28"/>
  <c r="BB25" i="28"/>
  <c r="K28" i="28"/>
  <c r="AF34" i="28"/>
  <c r="W39" i="28"/>
  <c r="BB6" i="28"/>
  <c r="BB2" i="28" s="1"/>
  <c r="H10" i="28"/>
  <c r="H16" i="28"/>
  <c r="H11" i="28" s="1"/>
  <c r="BE25" i="28"/>
  <c r="BE21" i="28" s="1"/>
  <c r="AG34" i="28"/>
  <c r="Z39" i="28"/>
  <c r="Z25" i="28" s="1"/>
  <c r="BE6" i="28"/>
  <c r="BE2" i="28" s="1"/>
  <c r="CC6" i="28"/>
  <c r="CC2" i="28" s="1"/>
  <c r="BK25" i="28"/>
  <c r="BK21" i="28" s="1"/>
  <c r="W41" i="28"/>
  <c r="Z26" i="26"/>
  <c r="GV2" i="26"/>
  <c r="CU19" i="26" s="1"/>
  <c r="AC30" i="26"/>
  <c r="AC32" i="26" s="1"/>
  <c r="BN21" i="26"/>
  <c r="H55" i="26"/>
  <c r="H50" i="26" s="1"/>
  <c r="H59" i="26"/>
  <c r="H52" i="26" s="1"/>
  <c r="AE30" i="26"/>
  <c r="AE34" i="26" s="1"/>
  <c r="DP6" i="26"/>
  <c r="DP5" i="26"/>
  <c r="AD30" i="26"/>
  <c r="AD33" i="26" s="1"/>
  <c r="AC33" i="26"/>
  <c r="DG16" i="26"/>
  <c r="DG7" i="26" s="1"/>
  <c r="DG11" i="26"/>
  <c r="DG6" i="26" s="1"/>
  <c r="FC2" i="26"/>
  <c r="CU18" i="26" s="1"/>
  <c r="FF2" i="26"/>
  <c r="FO2" i="26"/>
  <c r="DA22" i="26" s="1"/>
  <c r="GG2" i="26"/>
  <c r="CU22" i="26" s="1"/>
  <c r="DA21" i="26"/>
  <c r="HE33" i="26"/>
  <c r="HE23" i="26" s="1"/>
  <c r="K16" i="26"/>
  <c r="CO2" i="26"/>
  <c r="BW12" i="26"/>
  <c r="BW10" i="26" s="1"/>
  <c r="BZ13" i="26"/>
  <c r="BZ2" i="26" s="1"/>
  <c r="DA13" i="26"/>
  <c r="CU14" i="26"/>
  <c r="H15" i="26"/>
  <c r="H10" i="26" s="1"/>
  <c r="Z19" i="26"/>
  <c r="K25" i="26"/>
  <c r="W17" i="26"/>
  <c r="E22" i="26"/>
  <c r="E4" i="26" s="1"/>
  <c r="AC34" i="26"/>
  <c r="Z17" i="26"/>
  <c r="Z4" i="26" s="1"/>
  <c r="H22" i="26"/>
  <c r="CF23" i="26"/>
  <c r="CF19" i="26" s="1"/>
  <c r="AF33" i="26"/>
  <c r="H51" i="26"/>
  <c r="CX20" i="26"/>
  <c r="E21" i="26"/>
  <c r="CX21" i="26"/>
  <c r="BT22" i="26"/>
  <c r="BT24" i="26"/>
  <c r="BB25" i="26"/>
  <c r="BB21" i="26" s="1"/>
  <c r="K28" i="26"/>
  <c r="AF34" i="26"/>
  <c r="W39" i="26"/>
  <c r="W26" i="26" s="1"/>
  <c r="BB6" i="26"/>
  <c r="BB2" i="26" s="1"/>
  <c r="H11" i="26"/>
  <c r="BE25" i="26"/>
  <c r="BE21" i="26" s="1"/>
  <c r="AG34" i="26"/>
  <c r="Z39" i="26"/>
  <c r="Z25" i="26" s="1"/>
  <c r="BE6" i="26"/>
  <c r="BE2" i="26" s="1"/>
  <c r="CC6" i="26"/>
  <c r="CC2" i="26" s="1"/>
  <c r="BK25" i="26"/>
  <c r="BK21" i="26" s="1"/>
  <c r="W41" i="26"/>
  <c r="W25" i="26" s="1"/>
  <c r="GJ2" i="24"/>
  <c r="DV2" i="24"/>
  <c r="DA20" i="24" s="1"/>
  <c r="EB2" i="24"/>
  <c r="ET2" i="24"/>
  <c r="BE21" i="24"/>
  <c r="EZ2" i="24"/>
  <c r="DA17" i="24" s="1"/>
  <c r="BZ14" i="24"/>
  <c r="T2" i="24"/>
  <c r="DD2" i="24"/>
  <c r="DP7" i="24"/>
  <c r="BN21" i="24"/>
  <c r="BT23" i="24"/>
  <c r="BT4" i="24" s="1"/>
  <c r="H55" i="24"/>
  <c r="H50" i="24" s="1"/>
  <c r="H59" i="24"/>
  <c r="H52" i="24" s="1"/>
  <c r="AF33" i="24"/>
  <c r="K15" i="24"/>
  <c r="E20" i="24"/>
  <c r="BZ13" i="24"/>
  <c r="K14" i="24"/>
  <c r="BZ10" i="24"/>
  <c r="Z25" i="24"/>
  <c r="BZ15" i="24"/>
  <c r="DA15" i="24"/>
  <c r="CL13" i="24"/>
  <c r="CU14" i="24"/>
  <c r="W26" i="24"/>
  <c r="AE32" i="24"/>
  <c r="BW11" i="24"/>
  <c r="BW2" i="24" s="1"/>
  <c r="CX22" i="24"/>
  <c r="CX4" i="24" s="1"/>
  <c r="AG2" i="24"/>
  <c r="EQ2" i="24"/>
  <c r="EN2" i="24"/>
  <c r="CU20" i="24" s="1"/>
  <c r="EK2" i="24"/>
  <c r="DA19" i="24" s="1"/>
  <c r="HE3" i="24"/>
  <c r="CR19" i="24"/>
  <c r="CO19" i="24"/>
  <c r="W41" i="24"/>
  <c r="W19" i="24"/>
  <c r="W18" i="24"/>
  <c r="Z19" i="24"/>
  <c r="W17" i="24"/>
  <c r="W4" i="24" s="1"/>
  <c r="Z18" i="24"/>
  <c r="E22" i="24"/>
  <c r="E4" i="24" s="1"/>
  <c r="DA25" i="24"/>
  <c r="AC34" i="24"/>
  <c r="AC2" i="24" s="1"/>
  <c r="AS6" i="24"/>
  <c r="AS2" i="24" s="1"/>
  <c r="Z17" i="24"/>
  <c r="H22" i="24"/>
  <c r="H14" i="24" s="1"/>
  <c r="AS25" i="24"/>
  <c r="AS21" i="24" s="1"/>
  <c r="AD34" i="24"/>
  <c r="AD2" i="24" s="1"/>
  <c r="AV6" i="24"/>
  <c r="AV2" i="24" s="1"/>
  <c r="DP6" i="24"/>
  <c r="DP2" i="24" s="1"/>
  <c r="CX20" i="24"/>
  <c r="CX3" i="24" s="1"/>
  <c r="E21" i="24"/>
  <c r="AV25" i="24"/>
  <c r="AV21" i="24" s="1"/>
  <c r="AE34" i="24"/>
  <c r="H21" i="24"/>
  <c r="H12" i="24" s="1"/>
  <c r="BT22" i="24"/>
  <c r="BB25" i="24"/>
  <c r="BB21" i="24" s="1"/>
  <c r="AF34" i="24"/>
  <c r="BB6" i="24"/>
  <c r="BB2" i="24" s="1"/>
  <c r="H10" i="24"/>
  <c r="W41" i="30"/>
  <c r="W25" i="30" s="1"/>
  <c r="DA21" i="30"/>
  <c r="GJ2" i="30"/>
  <c r="GG2" i="30"/>
  <c r="CU22" i="30" s="1"/>
  <c r="AG34" i="30"/>
  <c r="EB2" i="30"/>
  <c r="DY2" i="30"/>
  <c r="CU21" i="30" s="1"/>
  <c r="DV2" i="30"/>
  <c r="DA20" i="30" s="1"/>
  <c r="FF2" i="30"/>
  <c r="EZ2" i="30"/>
  <c r="DA17" i="30" s="1"/>
  <c r="CR19" i="30"/>
  <c r="DG5" i="30"/>
  <c r="HB2" i="30"/>
  <c r="CO2" i="30"/>
  <c r="GY2" i="30"/>
  <c r="ET2" i="30"/>
  <c r="AC33" i="30"/>
  <c r="AD30" i="30"/>
  <c r="AD34" i="30" s="1"/>
  <c r="AG33" i="30"/>
  <c r="BE21" i="30"/>
  <c r="BK21" i="30"/>
  <c r="BZ14" i="30"/>
  <c r="K11" i="30"/>
  <c r="K14" i="30" s="1"/>
  <c r="H14" i="30"/>
  <c r="Z16" i="30"/>
  <c r="E23" i="30"/>
  <c r="AC32" i="30"/>
  <c r="W19" i="30"/>
  <c r="DP6" i="30"/>
  <c r="CX11" i="30"/>
  <c r="CX22" i="30" s="1"/>
  <c r="CX4" i="30" s="1"/>
  <c r="Z19" i="30"/>
  <c r="DA23" i="30"/>
  <c r="DA13" i="30" s="1"/>
  <c r="DA25" i="30"/>
  <c r="DA15" i="30" s="1"/>
  <c r="AE32" i="30"/>
  <c r="AC35" i="30"/>
  <c r="HE37" i="30"/>
  <c r="HE33" i="30" s="1"/>
  <c r="HE23" i="30" s="1"/>
  <c r="CC23" i="30"/>
  <c r="CC19" i="30" s="1"/>
  <c r="AF32" i="30"/>
  <c r="AC34" i="30"/>
  <c r="AD35" i="30"/>
  <c r="BB6" i="30"/>
  <c r="BB2" i="30" s="1"/>
  <c r="BW7" i="30"/>
  <c r="H10" i="30"/>
  <c r="E21" i="30"/>
  <c r="CF23" i="30"/>
  <c r="CF19" i="30" s="1"/>
  <c r="AG32" i="30"/>
  <c r="AE35" i="30"/>
  <c r="AE33" i="30" s="1"/>
  <c r="BE6" i="30"/>
  <c r="BE2" i="30" s="1"/>
  <c r="CC6" i="30"/>
  <c r="CC2" i="30" s="1"/>
  <c r="K10" i="30"/>
  <c r="K15" i="30" s="1"/>
  <c r="CU16" i="30"/>
  <c r="H21" i="30"/>
  <c r="H12" i="30" s="1"/>
  <c r="BB25" i="30"/>
  <c r="BB21" i="30" s="1"/>
  <c r="AE34" i="30"/>
  <c r="BH6" i="30"/>
  <c r="BH2" i="30" s="1"/>
  <c r="CF6" i="30"/>
  <c r="CF2" i="30" s="1"/>
  <c r="W18" i="30"/>
  <c r="BT22" i="30"/>
  <c r="AF34" i="30"/>
  <c r="W38" i="30"/>
  <c r="BK6" i="30"/>
  <c r="BK2" i="30" s="1"/>
  <c r="Z38" i="30"/>
  <c r="Z25" i="30" s="1"/>
  <c r="DG11" i="27"/>
  <c r="DG6" i="27" s="1"/>
  <c r="DG16" i="27"/>
  <c r="DG7" i="27" s="1"/>
  <c r="EB2" i="27"/>
  <c r="DY2" i="27"/>
  <c r="CU21" i="27" s="1"/>
  <c r="DV2" i="27"/>
  <c r="DA20" i="27" s="1"/>
  <c r="FF2" i="27"/>
  <c r="FC2" i="27"/>
  <c r="CU18" i="27" s="1"/>
  <c r="EZ2" i="27"/>
  <c r="DA17" i="27" s="1"/>
  <c r="FI2" i="27"/>
  <c r="Z39" i="27"/>
  <c r="DG5" i="27"/>
  <c r="DG2" i="27" s="1"/>
  <c r="DA16" i="27" s="1"/>
  <c r="DA4" i="27" s="1"/>
  <c r="GV2" i="27"/>
  <c r="CU19" i="27" s="1"/>
  <c r="GS2" i="27"/>
  <c r="DA18" i="27" s="1"/>
  <c r="CR19" i="27"/>
  <c r="CO19" i="27"/>
  <c r="Z26" i="27"/>
  <c r="BZ13" i="27"/>
  <c r="FL2" i="27"/>
  <c r="BZ14" i="27"/>
  <c r="AG33" i="27"/>
  <c r="ET2" i="27"/>
  <c r="DM2" i="27"/>
  <c r="DJ2" i="27"/>
  <c r="CU17" i="27" s="1"/>
  <c r="AC33" i="27"/>
  <c r="AC2" i="27" s="1"/>
  <c r="AM21" i="27"/>
  <c r="AF30" i="27"/>
  <c r="AF33" i="27" s="1"/>
  <c r="AS21" i="27"/>
  <c r="W25" i="27"/>
  <c r="K11" i="27"/>
  <c r="K14" i="27" s="1"/>
  <c r="H55" i="27"/>
  <c r="H50" i="27" s="1"/>
  <c r="BQ6" i="27"/>
  <c r="BQ2" i="27" s="1"/>
  <c r="BZ9" i="27"/>
  <c r="DA14" i="27"/>
  <c r="K20" i="27"/>
  <c r="CX23" i="27"/>
  <c r="K25" i="27"/>
  <c r="K18" i="27" s="1"/>
  <c r="AD32" i="27"/>
  <c r="W39" i="27"/>
  <c r="AC35" i="27"/>
  <c r="CO2" i="27"/>
  <c r="CC23" i="27"/>
  <c r="CC19" i="27" s="1"/>
  <c r="AF32" i="27"/>
  <c r="AD35" i="27"/>
  <c r="AD33" i="27" s="1"/>
  <c r="AE32" i="27"/>
  <c r="BW7" i="27"/>
  <c r="CF23" i="27"/>
  <c r="CF19" i="27" s="1"/>
  <c r="AG32" i="27"/>
  <c r="AD34" i="27"/>
  <c r="AE35" i="27"/>
  <c r="AE33" i="27" s="1"/>
  <c r="BE6" i="27"/>
  <c r="BE2" i="27" s="1"/>
  <c r="CC6" i="27"/>
  <c r="CC2" i="27" s="1"/>
  <c r="K10" i="27"/>
  <c r="CU16" i="27"/>
  <c r="H21" i="27"/>
  <c r="H12" i="27" s="1"/>
  <c r="CU24" i="27"/>
  <c r="CU14" i="27" s="1"/>
  <c r="BB25" i="27"/>
  <c r="BB21" i="27" s="1"/>
  <c r="AE34" i="27"/>
  <c r="BH6" i="27"/>
  <c r="BH2" i="27" s="1"/>
  <c r="CF6" i="27"/>
  <c r="CF2" i="27" s="1"/>
  <c r="W18" i="27"/>
  <c r="BT21" i="27"/>
  <c r="BT22" i="27"/>
  <c r="BT24" i="27"/>
  <c r="AF34" i="27"/>
  <c r="W38" i="27"/>
  <c r="W41" i="27"/>
  <c r="BW11" i="27"/>
  <c r="BK6" i="27"/>
  <c r="BK2" i="27" s="1"/>
  <c r="DA13" i="27"/>
  <c r="Z18" i="27"/>
  <c r="Z3" i="27" s="1"/>
  <c r="BK25" i="27"/>
  <c r="BK21" i="27" s="1"/>
  <c r="AG34" i="27"/>
  <c r="Z38" i="27"/>
  <c r="BN6" i="27"/>
  <c r="BN2" i="27" s="1"/>
  <c r="HB2" i="25"/>
  <c r="BT24" i="25"/>
  <c r="Q2" i="25"/>
  <c r="AG32" i="25"/>
  <c r="DD2" i="25"/>
  <c r="GY2" i="25"/>
  <c r="GV2" i="25"/>
  <c r="CU19" i="25" s="1"/>
  <c r="GS2" i="25"/>
  <c r="DA18" i="25" s="1"/>
  <c r="AF33" i="25"/>
  <c r="T2" i="25"/>
  <c r="AD34" i="25"/>
  <c r="DG6" i="25"/>
  <c r="DG5" i="25"/>
  <c r="EW2" i="25"/>
  <c r="Z25" i="25"/>
  <c r="H59" i="25"/>
  <c r="H52" i="25" s="1"/>
  <c r="H55" i="25"/>
  <c r="H50" i="25" s="1"/>
  <c r="Z18" i="25"/>
  <c r="CR2" i="25"/>
  <c r="HE3" i="25"/>
  <c r="GM2" i="25"/>
  <c r="AF34" i="25"/>
  <c r="DA10" i="25"/>
  <c r="AC33" i="25"/>
  <c r="BQ2" i="25"/>
  <c r="K16" i="25"/>
  <c r="DA21" i="25"/>
  <c r="GG2" i="25"/>
  <c r="CU22" i="25" s="1"/>
  <c r="GJ2" i="25"/>
  <c r="CL13" i="25"/>
  <c r="CO2" i="25" s="1"/>
  <c r="BZ10" i="25"/>
  <c r="E23" i="25"/>
  <c r="DP5" i="25"/>
  <c r="AS6" i="25"/>
  <c r="AS2" i="25" s="1"/>
  <c r="BZ9" i="25"/>
  <c r="BW15" i="25"/>
  <c r="BW11" i="25" s="1"/>
  <c r="DG16" i="25"/>
  <c r="DG7" i="25" s="1"/>
  <c r="W19" i="25"/>
  <c r="CX23" i="25"/>
  <c r="K25" i="25"/>
  <c r="K18" i="25" s="1"/>
  <c r="K17" i="25" s="1"/>
  <c r="Z40" i="25"/>
  <c r="Z26" i="25" s="1"/>
  <c r="AC32" i="25"/>
  <c r="AV6" i="25"/>
  <c r="AV2" i="25" s="1"/>
  <c r="DP6" i="25"/>
  <c r="H16" i="25"/>
  <c r="H11" i="25" s="1"/>
  <c r="W17" i="25"/>
  <c r="W4" i="25" s="1"/>
  <c r="Z19" i="25"/>
  <c r="AY6" i="25"/>
  <c r="AY2" i="25" s="1"/>
  <c r="Z17" i="25"/>
  <c r="Z4" i="25" s="1"/>
  <c r="E22" i="25"/>
  <c r="AS25" i="25"/>
  <c r="AS21" i="25" s="1"/>
  <c r="AC34" i="25"/>
  <c r="E21" i="25"/>
  <c r="H22" i="25"/>
  <c r="BT18" i="25"/>
  <c r="BT11" i="25" s="1"/>
  <c r="W18" i="25"/>
  <c r="FU2" i="23"/>
  <c r="FR2" i="23"/>
  <c r="CU23" i="23" s="1"/>
  <c r="FO2" i="23"/>
  <c r="DA22" i="23" s="1"/>
  <c r="EB2" i="23"/>
  <c r="DY2" i="23"/>
  <c r="CU21" i="23" s="1"/>
  <c r="DV2" i="23"/>
  <c r="DA20" i="23" s="1"/>
  <c r="CR2" i="23"/>
  <c r="AF33" i="23"/>
  <c r="DD2" i="23"/>
  <c r="AG33" i="23"/>
  <c r="BT24" i="23"/>
  <c r="CU15" i="23"/>
  <c r="EQ2" i="23"/>
  <c r="BE21" i="23"/>
  <c r="ET2" i="23"/>
  <c r="CC19" i="23"/>
  <c r="AE33" i="23"/>
  <c r="AC30" i="23"/>
  <c r="AJ21" i="23"/>
  <c r="AF34" i="23"/>
  <c r="W41" i="23"/>
  <c r="Z25" i="23"/>
  <c r="Z26" i="23"/>
  <c r="W16" i="23"/>
  <c r="Z18" i="23"/>
  <c r="E20" i="23"/>
  <c r="E3" i="23" s="1"/>
  <c r="Z16" i="23"/>
  <c r="Z4" i="23" s="1"/>
  <c r="E23" i="23"/>
  <c r="AC32" i="23"/>
  <c r="DG16" i="23"/>
  <c r="DG7" i="23" s="1"/>
  <c r="W19" i="23"/>
  <c r="W3" i="23" s="1"/>
  <c r="K20" i="23"/>
  <c r="K15" i="23" s="1"/>
  <c r="K25" i="23"/>
  <c r="AD32" i="23"/>
  <c r="DP6" i="23"/>
  <c r="Z19" i="23"/>
  <c r="CX21" i="23"/>
  <c r="DA23" i="23"/>
  <c r="DA13" i="23" s="1"/>
  <c r="AE32" i="23"/>
  <c r="AC35" i="23"/>
  <c r="AC33" i="23" s="1"/>
  <c r="K16" i="23"/>
  <c r="CC23" i="23"/>
  <c r="AF32" i="23"/>
  <c r="AC34" i="23"/>
  <c r="AD35" i="23"/>
  <c r="AD33" i="23" s="1"/>
  <c r="BB6" i="23"/>
  <c r="BB2" i="23" s="1"/>
  <c r="H10" i="23"/>
  <c r="CF23" i="23"/>
  <c r="CF19" i="23" s="1"/>
  <c r="AD34" i="23"/>
  <c r="AE35" i="23"/>
  <c r="BE6" i="23"/>
  <c r="BE2" i="23" s="1"/>
  <c r="CC6" i="23"/>
  <c r="CC2" i="23" s="1"/>
  <c r="CU16" i="23"/>
  <c r="BB25" i="23"/>
  <c r="BB21" i="23" s="1"/>
  <c r="AE34" i="23"/>
  <c r="BH6" i="23"/>
  <c r="BH2" i="23" s="1"/>
  <c r="BT22" i="23"/>
  <c r="W38" i="23"/>
  <c r="CR2" i="12"/>
  <c r="CO2" i="12"/>
  <c r="CU21" i="12"/>
  <c r="DA20" i="12"/>
  <c r="K14" i="12"/>
  <c r="CU11" i="12"/>
  <c r="CU16" i="12"/>
  <c r="DA16" i="12"/>
  <c r="BT23" i="12"/>
  <c r="K16" i="12"/>
  <c r="CU14" i="12"/>
  <c r="BK21" i="12"/>
  <c r="HE33" i="12"/>
  <c r="HE23" i="12" s="1"/>
  <c r="AF33" i="12"/>
  <c r="CU23" i="12"/>
  <c r="DA22" i="12"/>
  <c r="CC19" i="12"/>
  <c r="Z38" i="12"/>
  <c r="Z39" i="12"/>
  <c r="CU15" i="12"/>
  <c r="CU17" i="12"/>
  <c r="T2" i="12"/>
  <c r="W40" i="12"/>
  <c r="W19" i="12"/>
  <c r="DA15" i="12"/>
  <c r="AG33" i="12"/>
  <c r="AG2" i="12" s="1"/>
  <c r="BB21" i="12"/>
  <c r="BW12" i="12"/>
  <c r="BW10" i="12" s="1"/>
  <c r="BW2" i="12" s="1"/>
  <c r="E21" i="12"/>
  <c r="BB25" i="12"/>
  <c r="W39" i="12"/>
  <c r="BH6" i="12"/>
  <c r="BH2" i="12" s="1"/>
  <c r="BT24" i="12"/>
  <c r="BE25" i="12"/>
  <c r="BE21" i="12" s="1"/>
  <c r="E20" i="12"/>
  <c r="BT21" i="12"/>
  <c r="BT3" i="12" s="1"/>
  <c r="BT22" i="12"/>
  <c r="DA19" i="12"/>
  <c r="Z16" i="12"/>
  <c r="Z17" i="12"/>
  <c r="Z18" i="12"/>
  <c r="Z3" i="12" s="1"/>
  <c r="CX22" i="12"/>
  <c r="CX4" i="12" s="1"/>
  <c r="K28" i="12"/>
  <c r="K18" i="12" s="1"/>
  <c r="K17" i="12" s="1"/>
  <c r="AC32" i="12"/>
  <c r="AC34" i="12"/>
  <c r="AC2" i="12" s="1"/>
  <c r="CU20" i="12"/>
  <c r="K20" i="12"/>
  <c r="K15" i="12" s="1"/>
  <c r="E23" i="12"/>
  <c r="E4" i="12" s="1"/>
  <c r="AD32" i="12"/>
  <c r="AD34" i="12"/>
  <c r="AD2" i="12" s="1"/>
  <c r="AV6" i="12"/>
  <c r="AV2" i="12" s="1"/>
  <c r="DA25" i="12"/>
  <c r="AE32" i="12"/>
  <c r="AE34" i="12"/>
  <c r="W41" i="12"/>
  <c r="H52" i="12"/>
  <c r="H13" i="12" s="1"/>
  <c r="AY6" i="12"/>
  <c r="AY2" i="12" s="1"/>
  <c r="H11" i="12"/>
  <c r="AS25" i="12"/>
  <c r="AS21" i="12" s="1"/>
  <c r="AF32" i="12"/>
  <c r="AF34" i="12"/>
  <c r="H10" i="12"/>
  <c r="H12" i="12"/>
  <c r="AG32" i="12"/>
  <c r="K16" i="11"/>
  <c r="DG6" i="11"/>
  <c r="DG5" i="11"/>
  <c r="BZ13" i="11"/>
  <c r="ET2" i="11"/>
  <c r="BZ10" i="11"/>
  <c r="AG34" i="11"/>
  <c r="EZ2" i="11"/>
  <c r="DA17" i="11" s="1"/>
  <c r="FF2" i="11"/>
  <c r="DV2" i="11"/>
  <c r="DA20" i="11" s="1"/>
  <c r="EB2" i="11"/>
  <c r="AS21" i="11"/>
  <c r="Z38" i="11"/>
  <c r="Z39" i="11"/>
  <c r="AC30" i="11"/>
  <c r="AC34" i="11" s="1"/>
  <c r="CC19" i="11"/>
  <c r="AV21" i="11"/>
  <c r="W40" i="11"/>
  <c r="W25" i="11" s="1"/>
  <c r="EQ2" i="11"/>
  <c r="DA15" i="11"/>
  <c r="AP2" i="11"/>
  <c r="FU2" i="11"/>
  <c r="FO2" i="11"/>
  <c r="DA22" i="11" s="1"/>
  <c r="DP7" i="11"/>
  <c r="AE30" i="11"/>
  <c r="AE33" i="11" s="1"/>
  <c r="FI2" i="11"/>
  <c r="BZ15" i="11"/>
  <c r="AC33" i="11"/>
  <c r="AS2" i="11"/>
  <c r="GS2" i="11"/>
  <c r="DA18" i="11" s="1"/>
  <c r="GY2" i="11"/>
  <c r="EE2" i="11"/>
  <c r="AG33" i="11"/>
  <c r="CO19" i="11"/>
  <c r="CU11" i="11"/>
  <c r="CU16" i="11"/>
  <c r="DD7" i="11"/>
  <c r="CR22" i="11"/>
  <c r="CR19" i="11" s="1"/>
  <c r="W16" i="11"/>
  <c r="W17" i="11"/>
  <c r="W18" i="11"/>
  <c r="W3" i="11" s="1"/>
  <c r="BT22" i="11"/>
  <c r="Z16" i="11"/>
  <c r="Z17" i="11"/>
  <c r="Z18" i="11"/>
  <c r="K28" i="11"/>
  <c r="AC32" i="11"/>
  <c r="AS6" i="11"/>
  <c r="DG16" i="11"/>
  <c r="DG7" i="11" s="1"/>
  <c r="K20" i="11"/>
  <c r="K15" i="11" s="1"/>
  <c r="E23" i="11"/>
  <c r="AD32" i="11"/>
  <c r="AD34" i="11"/>
  <c r="AV6" i="11"/>
  <c r="AV2" i="11" s="1"/>
  <c r="DP6" i="11"/>
  <c r="DP16" i="11"/>
  <c r="DA25" i="11"/>
  <c r="AE32" i="11"/>
  <c r="AE34" i="11"/>
  <c r="W41" i="11"/>
  <c r="AY6" i="11"/>
  <c r="AY2" i="11" s="1"/>
  <c r="CX20" i="11"/>
  <c r="AS25" i="11"/>
  <c r="AF32" i="11"/>
  <c r="AF34" i="11"/>
  <c r="H12" i="11"/>
  <c r="AG32" i="11"/>
  <c r="AG34" i="10"/>
  <c r="CU11" i="10"/>
  <c r="CU16" i="10"/>
  <c r="W19" i="10"/>
  <c r="Z19" i="10"/>
  <c r="BZ10" i="10"/>
  <c r="BZ15" i="10" s="1"/>
  <c r="H50" i="10"/>
  <c r="H14" i="10"/>
  <c r="AC30" i="10"/>
  <c r="AC34" i="10" s="1"/>
  <c r="AV21" i="10"/>
  <c r="W40" i="10"/>
  <c r="K16" i="10"/>
  <c r="AD30" i="10"/>
  <c r="AD33" i="10" s="1"/>
  <c r="AG33" i="10"/>
  <c r="AP2" i="10"/>
  <c r="CU23" i="10"/>
  <c r="DA22" i="10"/>
  <c r="Z38" i="10"/>
  <c r="Z39" i="10"/>
  <c r="DA21" i="10"/>
  <c r="AF33" i="10"/>
  <c r="W16" i="10"/>
  <c r="W17" i="10"/>
  <c r="W18" i="10"/>
  <c r="CO19" i="10"/>
  <c r="BT22" i="10"/>
  <c r="DA24" i="10"/>
  <c r="DA14" i="10" s="1"/>
  <c r="H51" i="10"/>
  <c r="Z16" i="10"/>
  <c r="Z17" i="10"/>
  <c r="Z18" i="10"/>
  <c r="K28" i="10"/>
  <c r="K20" i="10"/>
  <c r="K15" i="10" s="1"/>
  <c r="E23" i="10"/>
  <c r="AV6" i="10"/>
  <c r="AV2" i="10" s="1"/>
  <c r="DA25" i="10"/>
  <c r="DA15" i="10" s="1"/>
  <c r="AE32" i="10"/>
  <c r="AE34" i="10"/>
  <c r="W41" i="10"/>
  <c r="AS6" i="10"/>
  <c r="AS2" i="10" s="1"/>
  <c r="AY6" i="10"/>
  <c r="AY2" i="10" s="1"/>
  <c r="H11" i="10"/>
  <c r="AS25" i="10"/>
  <c r="AS21" i="10" s="1"/>
  <c r="AF32" i="10"/>
  <c r="AF34" i="10"/>
  <c r="H12" i="10"/>
  <c r="AG32" i="10"/>
  <c r="AC30" i="9"/>
  <c r="AC33" i="9" s="1"/>
  <c r="BZ10" i="9"/>
  <c r="BZ15" i="9" s="1"/>
  <c r="BZ17" i="9"/>
  <c r="BZ14" i="9" s="1"/>
  <c r="T2" i="9"/>
  <c r="DP7" i="9"/>
  <c r="ET2" i="9"/>
  <c r="HB2" i="9"/>
  <c r="AS21" i="9"/>
  <c r="HE23" i="9"/>
  <c r="K11" i="9"/>
  <c r="K16" i="9" s="1"/>
  <c r="Z19" i="9"/>
  <c r="H59" i="9"/>
  <c r="H52" i="9" s="1"/>
  <c r="H55" i="9"/>
  <c r="DD2" i="9"/>
  <c r="W19" i="9"/>
  <c r="BW15" i="9"/>
  <c r="BW12" i="9"/>
  <c r="BW10" i="9" s="1"/>
  <c r="DP6" i="9"/>
  <c r="DP2" i="9" s="1"/>
  <c r="BW11" i="9"/>
  <c r="BE25" i="9"/>
  <c r="BE21" i="9" s="1"/>
  <c r="W16" i="9"/>
  <c r="W17" i="9"/>
  <c r="W18" i="9"/>
  <c r="CO19" i="9"/>
  <c r="BT21" i="9"/>
  <c r="BT3" i="9" s="1"/>
  <c r="BT22" i="9"/>
  <c r="BK25" i="9"/>
  <c r="BK21" i="9" s="1"/>
  <c r="BZ26" i="9"/>
  <c r="BZ16" i="9" s="1"/>
  <c r="AF32" i="9"/>
  <c r="AE33" i="9"/>
  <c r="AF34" i="9"/>
  <c r="Z41" i="9"/>
  <c r="CU15" i="9"/>
  <c r="BT24" i="9"/>
  <c r="AE32" i="9"/>
  <c r="BB6" i="9"/>
  <c r="BB2" i="9" s="1"/>
  <c r="Z16" i="9"/>
  <c r="Z17" i="9"/>
  <c r="Z18" i="9"/>
  <c r="H25" i="9"/>
  <c r="H14" i="9" s="1"/>
  <c r="AG32" i="9"/>
  <c r="AG34" i="9"/>
  <c r="W40" i="9"/>
  <c r="W25" i="9" s="1"/>
  <c r="BE6" i="9"/>
  <c r="BE2" i="9" s="1"/>
  <c r="CC6" i="9"/>
  <c r="CC2" i="9" s="1"/>
  <c r="K10" i="9"/>
  <c r="DG11" i="9"/>
  <c r="K19" i="9"/>
  <c r="E23" i="9"/>
  <c r="K25" i="9"/>
  <c r="K18" i="9" s="1"/>
  <c r="K17" i="9" s="1"/>
  <c r="Z40" i="9"/>
  <c r="H51" i="9"/>
  <c r="H50" i="9"/>
  <c r="BH6" i="9"/>
  <c r="BH2" i="9" s="1"/>
  <c r="CF6" i="9"/>
  <c r="CF2" i="9" s="1"/>
  <c r="H12" i="9"/>
  <c r="H15" i="9"/>
  <c r="H10" i="9" s="1"/>
  <c r="CI6" i="9"/>
  <c r="CI2" i="9" s="1"/>
  <c r="CU10" i="9"/>
  <c r="AC35" i="9"/>
  <c r="CC23" i="9"/>
  <c r="CC19" i="9" s="1"/>
  <c r="AD35" i="9"/>
  <c r="AD33" i="9" s="1"/>
  <c r="AD32" i="9"/>
  <c r="HE37" i="21"/>
  <c r="HE33" i="21" s="1"/>
  <c r="HE3" i="20"/>
  <c r="HE37" i="20"/>
  <c r="HE33" i="20" s="1"/>
  <c r="HE3" i="19"/>
  <c r="HE37" i="19"/>
  <c r="HE33" i="19" s="1"/>
  <c r="DY2" i="21"/>
  <c r="CU21" i="21" s="1"/>
  <c r="EB2" i="21"/>
  <c r="DV2" i="21"/>
  <c r="DA20" i="21" s="1"/>
  <c r="FR2" i="21"/>
  <c r="CU23" i="21" s="1"/>
  <c r="FO2" i="21"/>
  <c r="DA22" i="21" s="1"/>
  <c r="FU2" i="21"/>
  <c r="HB2" i="21"/>
  <c r="DD2" i="21"/>
  <c r="EH2" i="21"/>
  <c r="CX23" i="21"/>
  <c r="CX4" i="21" s="1"/>
  <c r="GA2" i="21"/>
  <c r="GS2" i="21"/>
  <c r="DA18" i="21" s="1"/>
  <c r="GY2" i="21"/>
  <c r="GV2" i="21"/>
  <c r="CU19" i="21" s="1"/>
  <c r="GM2" i="21"/>
  <c r="EW2" i="21"/>
  <c r="CU15" i="21"/>
  <c r="ET2" i="21"/>
  <c r="DA14" i="21"/>
  <c r="DP6" i="21"/>
  <c r="DA23" i="21"/>
  <c r="DA13" i="21" s="1"/>
  <c r="DP5" i="21"/>
  <c r="DP2" i="21" s="1"/>
  <c r="CU14" i="21"/>
  <c r="DD2" i="20"/>
  <c r="GV2" i="20"/>
  <c r="CU19" i="20" s="1"/>
  <c r="GS2" i="20"/>
  <c r="DA18" i="20" s="1"/>
  <c r="GY2" i="20"/>
  <c r="GM2" i="20"/>
  <c r="EW2" i="20"/>
  <c r="CU15" i="20"/>
  <c r="EB2" i="20"/>
  <c r="DY2" i="20"/>
  <c r="CU21" i="20" s="1"/>
  <c r="CU3" i="20" s="1"/>
  <c r="DV2" i="20"/>
  <c r="DA20" i="20" s="1"/>
  <c r="DA3" i="20" s="1"/>
  <c r="CU16" i="20"/>
  <c r="CX4" i="20"/>
  <c r="FU2" i="20"/>
  <c r="FR2" i="20"/>
  <c r="CU23" i="20" s="1"/>
  <c r="FO2" i="20"/>
  <c r="DA22" i="20" s="1"/>
  <c r="HB2" i="20"/>
  <c r="EH2" i="20"/>
  <c r="CX23" i="20"/>
  <c r="GA2" i="20"/>
  <c r="ET2" i="20"/>
  <c r="DA14" i="20"/>
  <c r="DP7" i="20"/>
  <c r="DP2" i="20" s="1"/>
  <c r="DA13" i="20"/>
  <c r="CU14" i="20"/>
  <c r="DA24" i="20"/>
  <c r="CU15" i="19"/>
  <c r="EB2" i="19"/>
  <c r="DY2" i="19"/>
  <c r="CU21" i="19" s="1"/>
  <c r="DV2" i="19"/>
  <c r="DA20" i="19" s="1"/>
  <c r="FU2" i="19"/>
  <c r="FR2" i="19"/>
  <c r="CU23" i="19" s="1"/>
  <c r="FO2" i="19"/>
  <c r="DA22" i="19" s="1"/>
  <c r="HB2" i="19"/>
  <c r="DD2" i="19"/>
  <c r="EH2" i="19"/>
  <c r="CX23" i="19"/>
  <c r="CX4" i="19" s="1"/>
  <c r="GA2" i="19"/>
  <c r="DP2" i="19"/>
  <c r="GM2" i="19"/>
  <c r="EW2" i="19"/>
  <c r="GP2" i="19"/>
  <c r="CX3" i="19"/>
  <c r="DP7" i="19"/>
  <c r="DA13" i="19"/>
  <c r="CU14" i="19"/>
  <c r="DA24" i="19"/>
  <c r="DA14" i="19" s="1"/>
  <c r="CU11" i="17"/>
  <c r="CU16" i="17"/>
  <c r="CU15" i="17"/>
  <c r="CU24" i="17"/>
  <c r="CU14" i="17" s="1"/>
  <c r="CU11" i="16"/>
  <c r="CU16" i="16"/>
  <c r="CU15" i="16"/>
  <c r="CU24" i="16"/>
  <c r="CU14" i="16" s="1"/>
  <c r="CR19" i="21"/>
  <c r="CO19" i="21"/>
  <c r="CR2" i="21"/>
  <c r="CO2" i="21"/>
  <c r="BT21" i="21"/>
  <c r="BT3" i="21" s="1"/>
  <c r="BW11" i="21"/>
  <c r="BZ14" i="21"/>
  <c r="CI6" i="21"/>
  <c r="CI2" i="21" s="1"/>
  <c r="CF23" i="21"/>
  <c r="CF19" i="21" s="1"/>
  <c r="BT22" i="21"/>
  <c r="BT23" i="21"/>
  <c r="BT24" i="21"/>
  <c r="BW10" i="21"/>
  <c r="BZ15" i="21"/>
  <c r="BZ13" i="21"/>
  <c r="BW11" i="20"/>
  <c r="CR19" i="20"/>
  <c r="CO19" i="20"/>
  <c r="CR2" i="20"/>
  <c r="CO2" i="20"/>
  <c r="BT21" i="20"/>
  <c r="BT3" i="20" s="1"/>
  <c r="BZ14" i="20"/>
  <c r="CI6" i="20"/>
  <c r="CI2" i="20" s="1"/>
  <c r="CF23" i="20"/>
  <c r="CF19" i="20" s="1"/>
  <c r="BT22" i="20"/>
  <c r="BT23" i="20"/>
  <c r="BT24" i="20"/>
  <c r="BW10" i="20"/>
  <c r="BW2" i="20" s="1"/>
  <c r="BZ15" i="20"/>
  <c r="BZ13" i="20"/>
  <c r="CL30" i="19"/>
  <c r="CO19" i="19"/>
  <c r="BT22" i="19"/>
  <c r="BT3" i="19" s="1"/>
  <c r="BT23" i="19"/>
  <c r="BT4" i="19" s="1"/>
  <c r="BT24" i="19"/>
  <c r="BW10" i="19"/>
  <c r="BW2" i="19" s="1"/>
  <c r="BZ15" i="19"/>
  <c r="CO2" i="19"/>
  <c r="BZ13" i="19"/>
  <c r="CC23" i="19"/>
  <c r="CC19" i="19" s="1"/>
  <c r="AD32" i="21"/>
  <c r="AY2" i="21"/>
  <c r="AF33" i="21"/>
  <c r="AF32" i="21"/>
  <c r="AE30" i="21"/>
  <c r="AE34" i="21" s="1"/>
  <c r="BB21" i="21"/>
  <c r="AJ2" i="21"/>
  <c r="AM2" i="21"/>
  <c r="BE21" i="21"/>
  <c r="W19" i="21"/>
  <c r="W18" i="21"/>
  <c r="BK2" i="21"/>
  <c r="AF34" i="21"/>
  <c r="AG34" i="21"/>
  <c r="AP2" i="21"/>
  <c r="BN2" i="21"/>
  <c r="AV21" i="21"/>
  <c r="BN21" i="21"/>
  <c r="AM21" i="21"/>
  <c r="BN25" i="21"/>
  <c r="BN6" i="21"/>
  <c r="Z17" i="21"/>
  <c r="AG33" i="21"/>
  <c r="Z38" i="21"/>
  <c r="Z25" i="21" s="1"/>
  <c r="Z41" i="21"/>
  <c r="AS6" i="21"/>
  <c r="AS2" i="21" s="1"/>
  <c r="BK25" i="21"/>
  <c r="BK21" i="21" s="1"/>
  <c r="AC34" i="21"/>
  <c r="Z16" i="21"/>
  <c r="AS25" i="21"/>
  <c r="AS21" i="21" s="1"/>
  <c r="AC32" i="21"/>
  <c r="AD33" i="21"/>
  <c r="W40" i="21"/>
  <c r="W25" i="21" s="1"/>
  <c r="Z19" i="21"/>
  <c r="Z3" i="21" s="1"/>
  <c r="AE33" i="21"/>
  <c r="W39" i="21"/>
  <c r="Z40" i="21"/>
  <c r="W38" i="21"/>
  <c r="W26" i="21" s="1"/>
  <c r="AF33" i="20"/>
  <c r="AF2" i="20" s="1"/>
  <c r="AE34" i="20"/>
  <c r="AJ2" i="20"/>
  <c r="Z25" i="20"/>
  <c r="BK2" i="20"/>
  <c r="AP2" i="20"/>
  <c r="BN2" i="20"/>
  <c r="AM21" i="20"/>
  <c r="AE30" i="20"/>
  <c r="AE32" i="20" s="1"/>
  <c r="AE2" i="20" s="1"/>
  <c r="AF34" i="20"/>
  <c r="BB21" i="20"/>
  <c r="AV21" i="20"/>
  <c r="BE21" i="20"/>
  <c r="AM2" i="20"/>
  <c r="AS2" i="20"/>
  <c r="BQ2" i="20"/>
  <c r="Z18" i="20"/>
  <c r="AC32" i="20"/>
  <c r="AC2" i="20" s="1"/>
  <c r="Z19" i="20"/>
  <c r="AD32" i="20"/>
  <c r="AD2" i="20" s="1"/>
  <c r="AE33" i="20"/>
  <c r="W39" i="20"/>
  <c r="Z40" i="20"/>
  <c r="Z26" i="20" s="1"/>
  <c r="W18" i="20"/>
  <c r="BN25" i="20"/>
  <c r="BN21" i="20" s="1"/>
  <c r="W16" i="20"/>
  <c r="W4" i="20" s="1"/>
  <c r="W19" i="20"/>
  <c r="AS25" i="20"/>
  <c r="AS21" i="20" s="1"/>
  <c r="W40" i="20"/>
  <c r="W25" i="20" s="1"/>
  <c r="W38" i="20"/>
  <c r="W26" i="20" s="1"/>
  <c r="AE30" i="19"/>
  <c r="AE32" i="19" s="1"/>
  <c r="AE2" i="19" s="1"/>
  <c r="AF33" i="19"/>
  <c r="AE34" i="19"/>
  <c r="BB21" i="19"/>
  <c r="Z25" i="19"/>
  <c r="AJ2" i="19"/>
  <c r="AV21" i="19"/>
  <c r="AM2" i="19"/>
  <c r="BK2" i="19"/>
  <c r="AM21" i="19"/>
  <c r="AC2" i="19"/>
  <c r="AF32" i="19"/>
  <c r="AF2" i="19" s="1"/>
  <c r="AF34" i="19"/>
  <c r="BE21" i="19"/>
  <c r="Z19" i="19"/>
  <c r="AP2" i="19"/>
  <c r="BN2" i="19"/>
  <c r="W18" i="19"/>
  <c r="W3" i="19" s="1"/>
  <c r="Z18" i="19"/>
  <c r="Z3" i="19" s="1"/>
  <c r="AE33" i="19"/>
  <c r="Z40" i="19"/>
  <c r="Z26" i="19" s="1"/>
  <c r="BN25" i="19"/>
  <c r="BN21" i="19" s="1"/>
  <c r="W16" i="19"/>
  <c r="W4" i="19" s="1"/>
  <c r="AC33" i="19"/>
  <c r="Z16" i="19"/>
  <c r="Z4" i="19" s="1"/>
  <c r="W19" i="19"/>
  <c r="AS25" i="19"/>
  <c r="AS21" i="19" s="1"/>
  <c r="AD33" i="19"/>
  <c r="AD2" i="19" s="1"/>
  <c r="W40" i="19"/>
  <c r="W25" i="19" s="1"/>
  <c r="W39" i="19"/>
  <c r="W38" i="19"/>
  <c r="T2" i="21"/>
  <c r="E21" i="21"/>
  <c r="E21" i="20"/>
  <c r="T2" i="20"/>
  <c r="T2" i="19"/>
  <c r="E23" i="19"/>
  <c r="E4" i="19" s="1"/>
  <c r="E4" i="21"/>
  <c r="K16" i="21"/>
  <c r="H52" i="21"/>
  <c r="K15" i="21"/>
  <c r="K14" i="21"/>
  <c r="K17" i="21"/>
  <c r="E23" i="21"/>
  <c r="H51" i="21"/>
  <c r="H13" i="21" s="1"/>
  <c r="H59" i="21"/>
  <c r="E20" i="21"/>
  <c r="E3" i="21" s="1"/>
  <c r="E4" i="20"/>
  <c r="K16" i="20"/>
  <c r="H52" i="20"/>
  <c r="K15" i="20"/>
  <c r="K14" i="20"/>
  <c r="K17" i="20"/>
  <c r="E23" i="20"/>
  <c r="H51" i="20"/>
  <c r="H13" i="20" s="1"/>
  <c r="H2" i="20" s="1"/>
  <c r="H59" i="20"/>
  <c r="E20" i="20"/>
  <c r="K16" i="19"/>
  <c r="H52" i="19"/>
  <c r="K15" i="19"/>
  <c r="K14" i="19"/>
  <c r="K17" i="19"/>
  <c r="Q2" i="19"/>
  <c r="E21" i="19"/>
  <c r="H51" i="19"/>
  <c r="H59" i="19"/>
  <c r="E20" i="19"/>
  <c r="H68" i="15"/>
  <c r="Z46" i="16"/>
  <c r="Z44" i="16"/>
  <c r="Z43" i="16"/>
  <c r="Z42" i="16"/>
  <c r="W42" i="16"/>
  <c r="AG38" i="16"/>
  <c r="AF38" i="16"/>
  <c r="AE38" i="16"/>
  <c r="AD38" i="16"/>
  <c r="AC38" i="16"/>
  <c r="BZ37" i="16"/>
  <c r="AG37" i="16"/>
  <c r="BN36" i="16"/>
  <c r="BK36" i="16"/>
  <c r="BE36" i="16"/>
  <c r="BB36" i="16"/>
  <c r="AV36" i="16"/>
  <c r="AS36" i="16"/>
  <c r="AM36" i="16"/>
  <c r="AJ36" i="16"/>
  <c r="AF36" i="16"/>
  <c r="Z36" i="16"/>
  <c r="W36" i="16"/>
  <c r="W41" i="16" s="1"/>
  <c r="BN35" i="16"/>
  <c r="BK35" i="16"/>
  <c r="BE35" i="16"/>
  <c r="BB35" i="16"/>
  <c r="AV35" i="16"/>
  <c r="AS35" i="16"/>
  <c r="AM35" i="16"/>
  <c r="AJ35" i="16"/>
  <c r="AE35" i="16"/>
  <c r="AD35" i="16"/>
  <c r="AC35" i="16"/>
  <c r="Z35" i="16"/>
  <c r="W35" i="16"/>
  <c r="BN34" i="16"/>
  <c r="BK34" i="16"/>
  <c r="BE34" i="16"/>
  <c r="BB34" i="16"/>
  <c r="AV34" i="16"/>
  <c r="AS34" i="16"/>
  <c r="AM34" i="16"/>
  <c r="AJ34" i="16"/>
  <c r="BN33" i="16"/>
  <c r="BK33" i="16"/>
  <c r="BE33" i="16"/>
  <c r="BB33" i="16"/>
  <c r="AV33" i="16"/>
  <c r="AS33" i="16"/>
  <c r="AM33" i="16"/>
  <c r="AJ33" i="16"/>
  <c r="Z33" i="16"/>
  <c r="W33" i="16"/>
  <c r="CF32" i="16"/>
  <c r="CC32" i="16"/>
  <c r="BZ32" i="16"/>
  <c r="BW32" i="16"/>
  <c r="BN32" i="16"/>
  <c r="BK32" i="16"/>
  <c r="BE32" i="16"/>
  <c r="BB32" i="16"/>
  <c r="AV32" i="16"/>
  <c r="AS32" i="16"/>
  <c r="AM32" i="16"/>
  <c r="AJ32" i="16"/>
  <c r="Z32" i="16"/>
  <c r="W32" i="16"/>
  <c r="CF31" i="16"/>
  <c r="CC31" i="16"/>
  <c r="BZ31" i="16"/>
  <c r="BN31" i="16"/>
  <c r="BK31" i="16"/>
  <c r="BE31" i="16"/>
  <c r="BB31" i="16"/>
  <c r="AV31" i="16"/>
  <c r="AS31" i="16"/>
  <c r="AM31" i="16"/>
  <c r="AJ31" i="16"/>
  <c r="Z31" i="16"/>
  <c r="W31" i="16"/>
  <c r="CF30" i="16"/>
  <c r="CC30" i="16"/>
  <c r="BZ30" i="16"/>
  <c r="BN30" i="16"/>
  <c r="BK30" i="16"/>
  <c r="BE30" i="16"/>
  <c r="BB30" i="16"/>
  <c r="AV30" i="16"/>
  <c r="AS30" i="16"/>
  <c r="AM30" i="16"/>
  <c r="AJ30" i="16"/>
  <c r="Z30" i="16"/>
  <c r="W30" i="16"/>
  <c r="CF29" i="16"/>
  <c r="CC29" i="16"/>
  <c r="BZ29" i="16"/>
  <c r="BT29" i="16"/>
  <c r="BN29" i="16"/>
  <c r="BK29" i="16"/>
  <c r="BE29" i="16"/>
  <c r="BB29" i="16"/>
  <c r="AV29" i="16"/>
  <c r="AS29" i="16"/>
  <c r="AM29" i="16"/>
  <c r="AM25" i="16" s="1"/>
  <c r="AJ29" i="16"/>
  <c r="AJ25" i="16" s="1"/>
  <c r="Z29" i="16"/>
  <c r="Z28" i="16" s="1"/>
  <c r="W29" i="16"/>
  <c r="CF28" i="16"/>
  <c r="CC28" i="16"/>
  <c r="BZ28" i="16"/>
  <c r="BN28" i="16"/>
  <c r="BK28" i="16"/>
  <c r="BE28" i="16"/>
  <c r="BB28" i="16"/>
  <c r="AV28" i="16"/>
  <c r="AS28" i="16"/>
  <c r="AM28" i="16"/>
  <c r="AJ28" i="16"/>
  <c r="AG28" i="16"/>
  <c r="AG27" i="16" s="1"/>
  <c r="AF28" i="16"/>
  <c r="AF27" i="16" s="1"/>
  <c r="AE28" i="16"/>
  <c r="AE27" i="16" s="1"/>
  <c r="AD28" i="16"/>
  <c r="AC28" i="16"/>
  <c r="W28" i="16"/>
  <c r="CF27" i="16"/>
  <c r="CC27" i="16"/>
  <c r="BZ27" i="16"/>
  <c r="BZ17" i="16" s="1"/>
  <c r="BW27" i="16"/>
  <c r="BT27" i="16"/>
  <c r="BN27" i="16"/>
  <c r="BK27" i="16"/>
  <c r="BE27" i="16"/>
  <c r="BB27" i="16"/>
  <c r="BB26" i="16" s="1"/>
  <c r="AV27" i="16"/>
  <c r="AV26" i="16" s="1"/>
  <c r="AS27" i="16"/>
  <c r="AS26" i="16" s="1"/>
  <c r="AM27" i="16"/>
  <c r="AM26" i="16" s="1"/>
  <c r="AJ27" i="16"/>
  <c r="AD27" i="16"/>
  <c r="AC27" i="16"/>
  <c r="Z27" i="16"/>
  <c r="Z38" i="16" s="1"/>
  <c r="W27" i="16"/>
  <c r="W40" i="16" s="1"/>
  <c r="CF26" i="16"/>
  <c r="CC26" i="16"/>
  <c r="BZ26" i="16"/>
  <c r="BW26" i="16"/>
  <c r="BT26" i="16"/>
  <c r="BN26" i="16"/>
  <c r="BK26" i="16"/>
  <c r="BE26" i="16"/>
  <c r="AJ26" i="16"/>
  <c r="AG26" i="16"/>
  <c r="AG30" i="16" s="1"/>
  <c r="AG32" i="16" s="1"/>
  <c r="AC26" i="16"/>
  <c r="AC30" i="16" s="1"/>
  <c r="CF25" i="16"/>
  <c r="CF24" i="16" s="1"/>
  <c r="CC25" i="16"/>
  <c r="CC24" i="16" s="1"/>
  <c r="BZ25" i="16"/>
  <c r="BZ33" i="16" s="1"/>
  <c r="BZ10" i="16" s="1"/>
  <c r="BW25" i="16"/>
  <c r="BT25" i="16"/>
  <c r="AV25" i="16"/>
  <c r="AS25" i="16"/>
  <c r="AG25" i="16"/>
  <c r="AF25" i="16"/>
  <c r="AE25" i="16"/>
  <c r="AD25" i="16"/>
  <c r="AC25" i="16"/>
  <c r="BZ24" i="16"/>
  <c r="BW24" i="16"/>
  <c r="BN24" i="16"/>
  <c r="BK24" i="16"/>
  <c r="BE24" i="16"/>
  <c r="BB24" i="16"/>
  <c r="AV24" i="16"/>
  <c r="AS24" i="16"/>
  <c r="AM24" i="16"/>
  <c r="AM21" i="16" s="1"/>
  <c r="AJ24" i="16"/>
  <c r="AJ21" i="16" s="1"/>
  <c r="AG24" i="16"/>
  <c r="AF24" i="16"/>
  <c r="AE24" i="16"/>
  <c r="AD24" i="16"/>
  <c r="AC24" i="16"/>
  <c r="BZ23" i="16"/>
  <c r="BW23" i="16"/>
  <c r="AG23" i="16"/>
  <c r="AF23" i="16"/>
  <c r="AE23" i="16"/>
  <c r="AD23" i="16"/>
  <c r="AC23" i="16"/>
  <c r="CF22" i="16"/>
  <c r="CC22" i="16"/>
  <c r="CC19" i="16" s="1"/>
  <c r="BZ22" i="16"/>
  <c r="BZ16" i="16" s="1"/>
  <c r="BW22" i="16"/>
  <c r="BW12" i="16" s="1"/>
  <c r="BZ21" i="16"/>
  <c r="BW21" i="16"/>
  <c r="AG21" i="16"/>
  <c r="AF21" i="16"/>
  <c r="AE21" i="16"/>
  <c r="AD21" i="16"/>
  <c r="AC21" i="16"/>
  <c r="BZ20" i="16"/>
  <c r="BW20" i="16"/>
  <c r="BT20" i="16"/>
  <c r="AG20" i="16"/>
  <c r="AF20" i="16"/>
  <c r="AE20" i="16"/>
  <c r="AD20" i="16"/>
  <c r="AC20" i="16"/>
  <c r="Z20" i="16"/>
  <c r="W20" i="16"/>
  <c r="BZ19" i="16"/>
  <c r="BW19" i="16"/>
  <c r="BT19" i="16"/>
  <c r="AG19" i="16"/>
  <c r="AF19" i="16"/>
  <c r="AE19" i="16"/>
  <c r="AD19" i="16"/>
  <c r="AC19" i="16"/>
  <c r="BZ18" i="16"/>
  <c r="BW18" i="16"/>
  <c r="BT18" i="16"/>
  <c r="AG18" i="16"/>
  <c r="AF18" i="16"/>
  <c r="AE18" i="16"/>
  <c r="AD18" i="16"/>
  <c r="AC18" i="16"/>
  <c r="BW17" i="16"/>
  <c r="BW15" i="16" s="1"/>
  <c r="BT17" i="16"/>
  <c r="BQ17" i="16"/>
  <c r="BN17" i="16"/>
  <c r="BK17" i="16"/>
  <c r="BH17" i="16"/>
  <c r="BE17" i="16"/>
  <c r="BB17" i="16"/>
  <c r="AY17" i="16"/>
  <c r="AV17" i="16"/>
  <c r="AS17" i="16"/>
  <c r="AP17" i="16"/>
  <c r="AM17" i="16"/>
  <c r="AJ17" i="16"/>
  <c r="AG17" i="16"/>
  <c r="AF17" i="16"/>
  <c r="AE17" i="16"/>
  <c r="AD17" i="16"/>
  <c r="AC17" i="16"/>
  <c r="Z17" i="16"/>
  <c r="W17" i="16"/>
  <c r="BW16" i="16"/>
  <c r="BT16" i="16"/>
  <c r="BQ16" i="16"/>
  <c r="BN16" i="16"/>
  <c r="BK16" i="16"/>
  <c r="BH16" i="16"/>
  <c r="BE16" i="16"/>
  <c r="BB16" i="16"/>
  <c r="AY16" i="16"/>
  <c r="AV16" i="16"/>
  <c r="AS16" i="16"/>
  <c r="AP16" i="16"/>
  <c r="AM16" i="16"/>
  <c r="AJ16" i="16"/>
  <c r="AG16" i="16"/>
  <c r="AF16" i="16"/>
  <c r="AE16" i="16"/>
  <c r="AD16" i="16"/>
  <c r="AC16" i="16"/>
  <c r="CI15" i="16"/>
  <c r="CF15" i="16"/>
  <c r="CC15" i="16"/>
  <c r="BT15" i="16"/>
  <c r="BQ15" i="16"/>
  <c r="BN15" i="16"/>
  <c r="BK15" i="16"/>
  <c r="BH15" i="16"/>
  <c r="BE15" i="16"/>
  <c r="BB15" i="16"/>
  <c r="AY15" i="16"/>
  <c r="AV15" i="16"/>
  <c r="AS15" i="16"/>
  <c r="AP15" i="16"/>
  <c r="AM15" i="16"/>
  <c r="AJ15" i="16"/>
  <c r="CI14" i="16"/>
  <c r="CF14" i="16"/>
  <c r="CC14" i="16"/>
  <c r="BW14" i="16"/>
  <c r="BT14" i="16"/>
  <c r="BQ14" i="16"/>
  <c r="BN14" i="16"/>
  <c r="BK14" i="16"/>
  <c r="BH14" i="16"/>
  <c r="BE14" i="16"/>
  <c r="BB14" i="16"/>
  <c r="AY14" i="16"/>
  <c r="AV14" i="16"/>
  <c r="AS14" i="16"/>
  <c r="AP14" i="16"/>
  <c r="AM14" i="16"/>
  <c r="AJ14" i="16"/>
  <c r="AG14" i="16"/>
  <c r="AF14" i="16"/>
  <c r="AE14" i="16"/>
  <c r="AD14" i="16"/>
  <c r="AC14" i="16"/>
  <c r="Z14" i="16"/>
  <c r="W14" i="16"/>
  <c r="CI13" i="16"/>
  <c r="CF13" i="16"/>
  <c r="CC13" i="16"/>
  <c r="BW13" i="16"/>
  <c r="BT13" i="16"/>
  <c r="BT11" i="16" s="1"/>
  <c r="BQ13" i="16"/>
  <c r="BN13" i="16"/>
  <c r="BK13" i="16"/>
  <c r="BH13" i="16"/>
  <c r="BE13" i="16"/>
  <c r="BB13" i="16"/>
  <c r="AY13" i="16"/>
  <c r="AV13" i="16"/>
  <c r="AS13" i="16"/>
  <c r="AP13" i="16"/>
  <c r="AM13" i="16"/>
  <c r="AJ13" i="16"/>
  <c r="AG13" i="16"/>
  <c r="AF13" i="16"/>
  <c r="Z13" i="16"/>
  <c r="W13" i="16"/>
  <c r="CI12" i="16"/>
  <c r="CF12" i="16"/>
  <c r="CC12" i="16"/>
  <c r="BZ12" i="16"/>
  <c r="BT12" i="16"/>
  <c r="BQ12" i="16"/>
  <c r="BN12" i="16"/>
  <c r="BK12" i="16"/>
  <c r="BN6" i="16" s="1"/>
  <c r="BN2" i="16" s="1"/>
  <c r="BH12" i="16"/>
  <c r="BE12" i="16"/>
  <c r="BB12" i="16"/>
  <c r="AY12" i="16"/>
  <c r="AV12" i="16"/>
  <c r="AS12" i="16"/>
  <c r="AP12" i="16"/>
  <c r="AM12" i="16"/>
  <c r="AJ12" i="16"/>
  <c r="AG12" i="16"/>
  <c r="AF12" i="16"/>
  <c r="CI11" i="16"/>
  <c r="CF11" i="16"/>
  <c r="CC11" i="16"/>
  <c r="BZ11" i="16"/>
  <c r="BQ11" i="16"/>
  <c r="BN11" i="16"/>
  <c r="BK11" i="16"/>
  <c r="BH11" i="16"/>
  <c r="BE11" i="16"/>
  <c r="BB11" i="16"/>
  <c r="AY11" i="16"/>
  <c r="AV11" i="16"/>
  <c r="AS11" i="16"/>
  <c r="AP11" i="16"/>
  <c r="AM11" i="16"/>
  <c r="AJ11" i="16"/>
  <c r="AG11" i="16"/>
  <c r="AF11" i="16"/>
  <c r="AE11" i="16"/>
  <c r="AE26" i="16" s="1"/>
  <c r="AE30" i="16" s="1"/>
  <c r="AD11" i="16"/>
  <c r="AD26" i="16" s="1"/>
  <c r="AD30" i="16" s="1"/>
  <c r="AC11" i="16"/>
  <c r="Z11" i="16"/>
  <c r="W11" i="16"/>
  <c r="CI10" i="16"/>
  <c r="CF10" i="16"/>
  <c r="CC10" i="16"/>
  <c r="CC23" i="16" s="1"/>
  <c r="BT10" i="16"/>
  <c r="BQ10" i="16"/>
  <c r="BN10" i="16"/>
  <c r="BK10" i="16"/>
  <c r="BH10" i="16"/>
  <c r="BE10" i="16"/>
  <c r="BB10" i="16"/>
  <c r="BB6" i="16" s="1"/>
  <c r="AY10" i="16"/>
  <c r="AV10" i="16"/>
  <c r="AS10" i="16"/>
  <c r="AP10" i="16"/>
  <c r="AM10" i="16"/>
  <c r="AJ10" i="16"/>
  <c r="Z10" i="16"/>
  <c r="W10" i="16"/>
  <c r="CI9" i="16"/>
  <c r="CF9" i="16"/>
  <c r="CC9" i="16"/>
  <c r="BZ9" i="16"/>
  <c r="BW9" i="16"/>
  <c r="BT9" i="16"/>
  <c r="BT28" i="16" s="1"/>
  <c r="BQ9" i="16"/>
  <c r="BN9" i="16"/>
  <c r="BK9" i="16"/>
  <c r="BH9" i="16"/>
  <c r="BE9" i="16"/>
  <c r="BB9" i="16"/>
  <c r="AY9" i="16"/>
  <c r="AV9" i="16"/>
  <c r="AS9" i="16"/>
  <c r="AP9" i="16"/>
  <c r="AM9" i="16"/>
  <c r="AJ9" i="16"/>
  <c r="AG9" i="16"/>
  <c r="AF9" i="16"/>
  <c r="AE9" i="16"/>
  <c r="AD9" i="16"/>
  <c r="AC9" i="16"/>
  <c r="Z9" i="16"/>
  <c r="Z19" i="16" s="1"/>
  <c r="W9" i="16"/>
  <c r="W16" i="16" s="1"/>
  <c r="W4" i="16" s="1"/>
  <c r="CI8" i="16"/>
  <c r="CF8" i="16"/>
  <c r="CC8" i="16"/>
  <c r="BZ8" i="16"/>
  <c r="BW8" i="16"/>
  <c r="BT8" i="16"/>
  <c r="BQ8" i="16"/>
  <c r="BQ7" i="16" s="1"/>
  <c r="BN8" i="16"/>
  <c r="BN7" i="16" s="1"/>
  <c r="BK8" i="16"/>
  <c r="BH8" i="16"/>
  <c r="BE8" i="16"/>
  <c r="BB8" i="16"/>
  <c r="AY8" i="16"/>
  <c r="AV8" i="16"/>
  <c r="AV7" i="16" s="1"/>
  <c r="AS8" i="16"/>
  <c r="AS7" i="16" s="1"/>
  <c r="AS2" i="16" s="1"/>
  <c r="AP8" i="16"/>
  <c r="AP7" i="16" s="1"/>
  <c r="AP2" i="16" s="1"/>
  <c r="AM8" i="16"/>
  <c r="AJ8" i="16"/>
  <c r="AG8" i="16"/>
  <c r="AF8" i="16"/>
  <c r="AE8" i="16"/>
  <c r="AD8" i="16"/>
  <c r="AC8" i="16"/>
  <c r="AC33" i="16" s="1"/>
  <c r="Z8" i="16"/>
  <c r="Z16" i="16" s="1"/>
  <c r="Z4" i="16" s="1"/>
  <c r="W8" i="16"/>
  <c r="CI7" i="16"/>
  <c r="CF7" i="16"/>
  <c r="CC7" i="16"/>
  <c r="BZ7" i="16"/>
  <c r="BW7" i="16"/>
  <c r="BT7" i="16"/>
  <c r="BT6" i="16" s="1"/>
  <c r="BK7" i="16"/>
  <c r="BH7" i="16"/>
  <c r="BE7" i="16"/>
  <c r="BB7" i="16"/>
  <c r="AY7" i="16"/>
  <c r="AM7" i="16"/>
  <c r="AJ7" i="16"/>
  <c r="Z7" i="16"/>
  <c r="W7" i="16"/>
  <c r="W6" i="16" s="1"/>
  <c r="W19" i="16" s="1"/>
  <c r="CI6" i="16"/>
  <c r="BZ6" i="16"/>
  <c r="BW6" i="16"/>
  <c r="BK6" i="16"/>
  <c r="BK2" i="16" s="1"/>
  <c r="BH6" i="16"/>
  <c r="AY6" i="16"/>
  <c r="AV6" i="16"/>
  <c r="AS6" i="16"/>
  <c r="AP6" i="16"/>
  <c r="AM6" i="16"/>
  <c r="AM2" i="16" s="1"/>
  <c r="AJ6" i="16"/>
  <c r="Z6" i="16"/>
  <c r="Z18" i="16" s="1"/>
  <c r="Z3" i="16" s="1"/>
  <c r="CI5" i="16"/>
  <c r="CI2" i="16" s="1"/>
  <c r="CF5" i="16"/>
  <c r="CC5" i="16"/>
  <c r="BZ5" i="16"/>
  <c r="BW5" i="16"/>
  <c r="BW11" i="16" s="1"/>
  <c r="BT5" i="16"/>
  <c r="BT22" i="16" s="1"/>
  <c r="BQ5" i="16"/>
  <c r="BN5" i="16"/>
  <c r="BK5" i="16"/>
  <c r="BH5" i="16"/>
  <c r="BH2" i="16" s="1"/>
  <c r="BE5" i="16"/>
  <c r="BB5" i="16"/>
  <c r="BB2" i="16" s="1"/>
  <c r="AY5" i="16"/>
  <c r="AY2" i="16" s="1"/>
  <c r="AV5" i="16"/>
  <c r="AS5" i="16"/>
  <c r="AP5" i="16"/>
  <c r="AM5" i="16"/>
  <c r="AJ5" i="16"/>
  <c r="AJ2" i="16" s="1"/>
  <c r="AG5" i="16"/>
  <c r="AF5" i="16"/>
  <c r="AE5" i="16"/>
  <c r="AE33" i="16" s="1"/>
  <c r="AD5" i="16"/>
  <c r="AD32" i="16" s="1"/>
  <c r="AC5" i="16"/>
  <c r="AC34" i="16" s="1"/>
  <c r="Z5" i="16"/>
  <c r="W5" i="16"/>
  <c r="W18" i="16" s="1"/>
  <c r="W3" i="16" s="1"/>
  <c r="DA50" i="16"/>
  <c r="DA46" i="16"/>
  <c r="DA44" i="16"/>
  <c r="DA43" i="16"/>
  <c r="DA42" i="16"/>
  <c r="DA41" i="16"/>
  <c r="DA40" i="16"/>
  <c r="DA39" i="16"/>
  <c r="DA38" i="16"/>
  <c r="DA37" i="16"/>
  <c r="DA36" i="16"/>
  <c r="DA35" i="16"/>
  <c r="DA34" i="16"/>
  <c r="DA24" i="16" s="1"/>
  <c r="DA33" i="16"/>
  <c r="DA32" i="16"/>
  <c r="DA31" i="16"/>
  <c r="CL31" i="16"/>
  <c r="CL30" i="16" s="1"/>
  <c r="DA30" i="16"/>
  <c r="CO30" i="16"/>
  <c r="DA29" i="16"/>
  <c r="CO29" i="16"/>
  <c r="CL29" i="16"/>
  <c r="DA28" i="16"/>
  <c r="CO28" i="16"/>
  <c r="CL28" i="16"/>
  <c r="DA27" i="16"/>
  <c r="CO27" i="16"/>
  <c r="CL27" i="16"/>
  <c r="CL19" i="16" s="1"/>
  <c r="DA26" i="16"/>
  <c r="CX26" i="16"/>
  <c r="CO26" i="16"/>
  <c r="CL26" i="16"/>
  <c r="CX25" i="16"/>
  <c r="CO25" i="16"/>
  <c r="CL25" i="16"/>
  <c r="CX24" i="16"/>
  <c r="CX11" i="16" s="1"/>
  <c r="CO24" i="16"/>
  <c r="CL24" i="16"/>
  <c r="DA23" i="16"/>
  <c r="CR23" i="16"/>
  <c r="CO23" i="16"/>
  <c r="CL23" i="16"/>
  <c r="DA22" i="16"/>
  <c r="CO22" i="16"/>
  <c r="CR22" i="16" s="1"/>
  <c r="CL22" i="16"/>
  <c r="DA19" i="16"/>
  <c r="CX19" i="16"/>
  <c r="DA18" i="16"/>
  <c r="CX18" i="16"/>
  <c r="DA17" i="16"/>
  <c r="CX17" i="16"/>
  <c r="DA16" i="16"/>
  <c r="CX16" i="16"/>
  <c r="CX15" i="16"/>
  <c r="CX14" i="16"/>
  <c r="CX21" i="16" s="1"/>
  <c r="CL14" i="16"/>
  <c r="DA13" i="16"/>
  <c r="CX13" i="16"/>
  <c r="CO13" i="16"/>
  <c r="DA12" i="16"/>
  <c r="DA11" i="16" s="1"/>
  <c r="DA10" i="16" s="1"/>
  <c r="CX12" i="16"/>
  <c r="CO12" i="16"/>
  <c r="CO11" i="16"/>
  <c r="CL11" i="16"/>
  <c r="CL12" i="16" s="1"/>
  <c r="CX10" i="16"/>
  <c r="CX20" i="16" s="1"/>
  <c r="CX3" i="16" s="1"/>
  <c r="CO10" i="16"/>
  <c r="CL10" i="16"/>
  <c r="DA9" i="16"/>
  <c r="CX9" i="16"/>
  <c r="CO9" i="16"/>
  <c r="CO7" i="16" s="1"/>
  <c r="CL9" i="16"/>
  <c r="DA8" i="16"/>
  <c r="CX8" i="16"/>
  <c r="CO8" i="16"/>
  <c r="CL8" i="16"/>
  <c r="DA7" i="16"/>
  <c r="CX7" i="16"/>
  <c r="CX6" i="16" s="1"/>
  <c r="CX22" i="16" s="1"/>
  <c r="CL7" i="16"/>
  <c r="DA6" i="16"/>
  <c r="CR6" i="16"/>
  <c r="CO6" i="16"/>
  <c r="CL6" i="16"/>
  <c r="DA5" i="16"/>
  <c r="CX5" i="16"/>
  <c r="CO5" i="16"/>
  <c r="CR5" i="16" s="1"/>
  <c r="CL5" i="16"/>
  <c r="CL2" i="16"/>
  <c r="HE41" i="16"/>
  <c r="HE40" i="16"/>
  <c r="HE39" i="16"/>
  <c r="HE38" i="16"/>
  <c r="HE36" i="16"/>
  <c r="HE35" i="16"/>
  <c r="HE34" i="16"/>
  <c r="HE32" i="16"/>
  <c r="HE31" i="16"/>
  <c r="HE30" i="16"/>
  <c r="HE29" i="16"/>
  <c r="HE28" i="16"/>
  <c r="HE27" i="16"/>
  <c r="HB27" i="16"/>
  <c r="GM27" i="16"/>
  <c r="FI27" i="16"/>
  <c r="ET27" i="16"/>
  <c r="EE27" i="16"/>
  <c r="HE26" i="16"/>
  <c r="HB26" i="16"/>
  <c r="HB24" i="16" s="1"/>
  <c r="GM26" i="16"/>
  <c r="GM24" i="16" s="1"/>
  <c r="FI26" i="16"/>
  <c r="ET26" i="16"/>
  <c r="EE26" i="16"/>
  <c r="EE24" i="16" s="1"/>
  <c r="DP26" i="16"/>
  <c r="DP24" i="16" s="1"/>
  <c r="DG26" i="16"/>
  <c r="HE25" i="16"/>
  <c r="HB25" i="16"/>
  <c r="HB23" i="16" s="1"/>
  <c r="GM25" i="16"/>
  <c r="GM23" i="16" s="1"/>
  <c r="FI25" i="16"/>
  <c r="FI23" i="16" s="1"/>
  <c r="ET25" i="16"/>
  <c r="EE25" i="16"/>
  <c r="DP25" i="16"/>
  <c r="DP23" i="16" s="1"/>
  <c r="FI24" i="16"/>
  <c r="ET24" i="16"/>
  <c r="ET23" i="16"/>
  <c r="EE23" i="16"/>
  <c r="DG23" i="16"/>
  <c r="DD23" i="16"/>
  <c r="HB22" i="16"/>
  <c r="GM22" i="16"/>
  <c r="FI22" i="16"/>
  <c r="ET22" i="16"/>
  <c r="EE22" i="16"/>
  <c r="DP22" i="16"/>
  <c r="DD22" i="16"/>
  <c r="DD21" i="16" s="1"/>
  <c r="HB21" i="16"/>
  <c r="GM21" i="16"/>
  <c r="FI21" i="16"/>
  <c r="ET21" i="16"/>
  <c r="EE21" i="16"/>
  <c r="DP21" i="16"/>
  <c r="HB20" i="16"/>
  <c r="GM20" i="16"/>
  <c r="GA20" i="16"/>
  <c r="FL20" i="16"/>
  <c r="FI20" i="16"/>
  <c r="FI16" i="16" s="1"/>
  <c r="EW20" i="16"/>
  <c r="ET20" i="16"/>
  <c r="ET16" i="16" s="1"/>
  <c r="EH20" i="16"/>
  <c r="EE20" i="16"/>
  <c r="DS20" i="16"/>
  <c r="DP20" i="16"/>
  <c r="DP11" i="16" s="1"/>
  <c r="DP5" i="16" s="1"/>
  <c r="DG20" i="16"/>
  <c r="DG16" i="16" s="1"/>
  <c r="DG7" i="16" s="1"/>
  <c r="DD20" i="16"/>
  <c r="HB19" i="16"/>
  <c r="GP19" i="16"/>
  <c r="GM19" i="16"/>
  <c r="GA19" i="16"/>
  <c r="FL19" i="16"/>
  <c r="FI19" i="16"/>
  <c r="EW19" i="16"/>
  <c r="EW18" i="16" s="1"/>
  <c r="ET19" i="16"/>
  <c r="EH19" i="16"/>
  <c r="EH18" i="16" s="1"/>
  <c r="EE19" i="16"/>
  <c r="DS19" i="16"/>
  <c r="DP19" i="16"/>
  <c r="HB18" i="16"/>
  <c r="GP18" i="16"/>
  <c r="GM18" i="16"/>
  <c r="GA18" i="16"/>
  <c r="FL18" i="16"/>
  <c r="FI18" i="16"/>
  <c r="ET18" i="16"/>
  <c r="EE18" i="16"/>
  <c r="DS18" i="16"/>
  <c r="DP18" i="16"/>
  <c r="HB17" i="16"/>
  <c r="GP17" i="16"/>
  <c r="GM17" i="16"/>
  <c r="FI17" i="16"/>
  <c r="ET17" i="16"/>
  <c r="EE17" i="16"/>
  <c r="DP17" i="16"/>
  <c r="DD17" i="16"/>
  <c r="HB16" i="16"/>
  <c r="GM16" i="16"/>
  <c r="GA16" i="16"/>
  <c r="FL16" i="16"/>
  <c r="EW16" i="16"/>
  <c r="EH16" i="16"/>
  <c r="EE16" i="16"/>
  <c r="DP16" i="16"/>
  <c r="DD16" i="16"/>
  <c r="HB15" i="16"/>
  <c r="GP15" i="16"/>
  <c r="GM15" i="16"/>
  <c r="FI15" i="16"/>
  <c r="FI2" i="16" s="1"/>
  <c r="ET15" i="16"/>
  <c r="ET2" i="16" s="1"/>
  <c r="EB15" i="16"/>
  <c r="DP15" i="16"/>
  <c r="DD15" i="16"/>
  <c r="HE14" i="16"/>
  <c r="HB14" i="16"/>
  <c r="GP14" i="16"/>
  <c r="GY14" i="16" s="1"/>
  <c r="GM14" i="16"/>
  <c r="GJ14" i="16"/>
  <c r="GA14" i="16"/>
  <c r="FL14" i="16"/>
  <c r="FI14" i="16"/>
  <c r="EW14" i="16"/>
  <c r="FF14" i="16" s="1"/>
  <c r="ET14" i="16"/>
  <c r="EQ14" i="16"/>
  <c r="EH14" i="16"/>
  <c r="EE14" i="16"/>
  <c r="EB14" i="16"/>
  <c r="DY14" i="16"/>
  <c r="DS14" i="16"/>
  <c r="DP14" i="16"/>
  <c r="DD14" i="16"/>
  <c r="DD7" i="16" s="1"/>
  <c r="DD2" i="16" s="1"/>
  <c r="HB13" i="16"/>
  <c r="GY13" i="16"/>
  <c r="GV13" i="16"/>
  <c r="GP13" i="16"/>
  <c r="GM13" i="16"/>
  <c r="GJ13" i="16"/>
  <c r="GG13" i="16"/>
  <c r="GA13" i="16"/>
  <c r="FL13" i="16"/>
  <c r="FI13" i="16"/>
  <c r="FF13" i="16"/>
  <c r="FC13" i="16"/>
  <c r="EW13" i="16"/>
  <c r="ET13" i="16"/>
  <c r="EQ13" i="16"/>
  <c r="EN13" i="16"/>
  <c r="EH13" i="16"/>
  <c r="EE13" i="16"/>
  <c r="EB13" i="16"/>
  <c r="DY13" i="16"/>
  <c r="DS13" i="16"/>
  <c r="DP13" i="16"/>
  <c r="DD13" i="16"/>
  <c r="HB12" i="16"/>
  <c r="GY12" i="16"/>
  <c r="GV12" i="16"/>
  <c r="GP12" i="16"/>
  <c r="GM12" i="16"/>
  <c r="GJ12" i="16"/>
  <c r="GG12" i="16"/>
  <c r="GA12" i="16"/>
  <c r="FL12" i="16"/>
  <c r="FL7" i="16" s="1"/>
  <c r="FI12" i="16"/>
  <c r="FF12" i="16"/>
  <c r="FC12" i="16"/>
  <c r="EW12" i="16"/>
  <c r="ET12" i="16"/>
  <c r="EQ12" i="16"/>
  <c r="EN12" i="16"/>
  <c r="EH12" i="16"/>
  <c r="EH7" i="16" s="1"/>
  <c r="EE12" i="16"/>
  <c r="EB12" i="16"/>
  <c r="DY12" i="16"/>
  <c r="DS12" i="16"/>
  <c r="DP12" i="16"/>
  <c r="DD12" i="16"/>
  <c r="HE11" i="16"/>
  <c r="HB11" i="16"/>
  <c r="GY11" i="16"/>
  <c r="GV11" i="16"/>
  <c r="GP11" i="16"/>
  <c r="GM11" i="16"/>
  <c r="GJ11" i="16"/>
  <c r="GG11" i="16"/>
  <c r="GA11" i="16"/>
  <c r="FL11" i="16"/>
  <c r="FI11" i="16"/>
  <c r="FF11" i="16"/>
  <c r="FC11" i="16"/>
  <c r="EW11" i="16"/>
  <c r="ET11" i="16"/>
  <c r="EQ11" i="16"/>
  <c r="EN11" i="16"/>
  <c r="EH11" i="16"/>
  <c r="EE11" i="16"/>
  <c r="EB11" i="16"/>
  <c r="DY11" i="16"/>
  <c r="DS11" i="16"/>
  <c r="DD11" i="16"/>
  <c r="HE10" i="16"/>
  <c r="HB10" i="16"/>
  <c r="HB2" i="16" s="1"/>
  <c r="GY10" i="16"/>
  <c r="GV10" i="16"/>
  <c r="GP10" i="16"/>
  <c r="GM10" i="16"/>
  <c r="GJ10" i="16"/>
  <c r="GG10" i="16"/>
  <c r="GA10" i="16"/>
  <c r="GA7" i="16" s="1"/>
  <c r="FL10" i="16"/>
  <c r="FI10" i="16"/>
  <c r="FF10" i="16"/>
  <c r="FC10" i="16"/>
  <c r="EW10" i="16"/>
  <c r="ET10" i="16"/>
  <c r="EQ10" i="16"/>
  <c r="EN10" i="16"/>
  <c r="EH10" i="16"/>
  <c r="EE10" i="16"/>
  <c r="EB10" i="16"/>
  <c r="DY10" i="16"/>
  <c r="DS10" i="16"/>
  <c r="DP10" i="16"/>
  <c r="DG10" i="16"/>
  <c r="DD10" i="16"/>
  <c r="HE9" i="16"/>
  <c r="HB9" i="16"/>
  <c r="GY9" i="16"/>
  <c r="GV9" i="16"/>
  <c r="GP9" i="16"/>
  <c r="GM9" i="16"/>
  <c r="GJ9" i="16"/>
  <c r="GG9" i="16"/>
  <c r="GA9" i="16"/>
  <c r="FL9" i="16"/>
  <c r="FI9" i="16"/>
  <c r="FF9" i="16"/>
  <c r="FC9" i="16"/>
  <c r="EW9" i="16"/>
  <c r="ET9" i="16"/>
  <c r="EQ9" i="16"/>
  <c r="EN9" i="16"/>
  <c r="EH9" i="16"/>
  <c r="EE9" i="16"/>
  <c r="EB9" i="16"/>
  <c r="DY9" i="16"/>
  <c r="DS9" i="16"/>
  <c r="DP9" i="16"/>
  <c r="DM9" i="16"/>
  <c r="DD9" i="16"/>
  <c r="HE8" i="16"/>
  <c r="HE7" i="16" s="1"/>
  <c r="HB8" i="16"/>
  <c r="GY8" i="16"/>
  <c r="GV8" i="16"/>
  <c r="GV6" i="16" s="1"/>
  <c r="GP8" i="16"/>
  <c r="GM8" i="16"/>
  <c r="GM6" i="16" s="1"/>
  <c r="GJ8" i="16"/>
  <c r="GJ6" i="16" s="1"/>
  <c r="GG8" i="16"/>
  <c r="GG6" i="16" s="1"/>
  <c r="GA8" i="16"/>
  <c r="FL8" i="16"/>
  <c r="FI8" i="16"/>
  <c r="FF8" i="16"/>
  <c r="FC8" i="16"/>
  <c r="EW8" i="16"/>
  <c r="ET8" i="16"/>
  <c r="EQ8" i="16"/>
  <c r="EQ6" i="16" s="1"/>
  <c r="EN8" i="16"/>
  <c r="EN6" i="16" s="1"/>
  <c r="EH8" i="16"/>
  <c r="EE8" i="16"/>
  <c r="EB8" i="16"/>
  <c r="DY8" i="16"/>
  <c r="DS8" i="16"/>
  <c r="DP8" i="16"/>
  <c r="DP7" i="16" s="1"/>
  <c r="DM8" i="16"/>
  <c r="DM6" i="16" s="1"/>
  <c r="DJ8" i="16"/>
  <c r="DJ6" i="16" s="1"/>
  <c r="DD8" i="16"/>
  <c r="HB7" i="16"/>
  <c r="GY7" i="16"/>
  <c r="GY5" i="16" s="1"/>
  <c r="GV7" i="16"/>
  <c r="GV5" i="16" s="1"/>
  <c r="GP7" i="16"/>
  <c r="GM7" i="16"/>
  <c r="GM5" i="16" s="1"/>
  <c r="GJ7" i="16"/>
  <c r="GJ5" i="16" s="1"/>
  <c r="GG7" i="16"/>
  <c r="FU7" i="16"/>
  <c r="FI7" i="16"/>
  <c r="FF7" i="16"/>
  <c r="FC7" i="16"/>
  <c r="FC5" i="16" s="1"/>
  <c r="EW7" i="16"/>
  <c r="ET7" i="16"/>
  <c r="EQ7" i="16"/>
  <c r="EN7" i="16"/>
  <c r="EE7" i="16"/>
  <c r="EE5" i="16" s="1"/>
  <c r="EB7" i="16"/>
  <c r="EB5" i="16" s="1"/>
  <c r="DY7" i="16"/>
  <c r="DY5" i="16" s="1"/>
  <c r="DS7" i="16"/>
  <c r="DM7" i="16"/>
  <c r="DJ7" i="16"/>
  <c r="HB6" i="16"/>
  <c r="GY6" i="16"/>
  <c r="GP6" i="16"/>
  <c r="GD6" i="16"/>
  <c r="GA6" i="16"/>
  <c r="FU6" i="16"/>
  <c r="FR6" i="16"/>
  <c r="FL6" i="16"/>
  <c r="FI6" i="16"/>
  <c r="FF6" i="16"/>
  <c r="FC6" i="16"/>
  <c r="EZ6" i="16"/>
  <c r="EW6" i="16"/>
  <c r="EW2" i="16" s="1"/>
  <c r="ET6" i="16"/>
  <c r="EK6" i="16"/>
  <c r="EH6" i="16"/>
  <c r="EE6" i="16"/>
  <c r="EB6" i="16"/>
  <c r="DY6" i="16"/>
  <c r="DV6" i="16"/>
  <c r="DS6" i="16"/>
  <c r="DD6" i="16"/>
  <c r="HE5" i="16"/>
  <c r="HE3" i="16" s="1"/>
  <c r="HB5" i="16"/>
  <c r="GS5" i="16"/>
  <c r="GP5" i="16"/>
  <c r="GP2" i="16" s="1"/>
  <c r="GG5" i="16"/>
  <c r="GD5" i="16"/>
  <c r="GA5" i="16"/>
  <c r="FX5" i="16"/>
  <c r="FU5" i="16"/>
  <c r="FR5" i="16"/>
  <c r="FO5" i="16"/>
  <c r="FL5" i="16"/>
  <c r="FL2" i="16" s="1"/>
  <c r="FI5" i="16"/>
  <c r="FF5" i="16"/>
  <c r="EZ5" i="16"/>
  <c r="EW5" i="16"/>
  <c r="ET5" i="16"/>
  <c r="EQ5" i="16"/>
  <c r="EN5" i="16"/>
  <c r="EK5" i="16"/>
  <c r="EH5" i="16"/>
  <c r="EH2" i="16" s="1"/>
  <c r="DV5" i="16"/>
  <c r="DS5" i="16"/>
  <c r="DS2" i="16" s="1"/>
  <c r="DM5" i="16"/>
  <c r="DJ5" i="16"/>
  <c r="DD5" i="16"/>
  <c r="FX2" i="16"/>
  <c r="H68" i="16"/>
  <c r="H67" i="16"/>
  <c r="H66" i="16"/>
  <c r="H65" i="16"/>
  <c r="H64" i="16"/>
  <c r="H63" i="16"/>
  <c r="H59" i="16" s="1"/>
  <c r="H62" i="16"/>
  <c r="H55" i="16" s="1"/>
  <c r="H51" i="16" s="1"/>
  <c r="H61" i="16"/>
  <c r="H60" i="16"/>
  <c r="H58" i="16"/>
  <c r="H57" i="16"/>
  <c r="H56" i="16"/>
  <c r="K54" i="16"/>
  <c r="H54" i="16"/>
  <c r="K53" i="16"/>
  <c r="H53" i="16"/>
  <c r="E53" i="16"/>
  <c r="K52" i="16"/>
  <c r="K50" i="16" s="1"/>
  <c r="K51" i="16"/>
  <c r="E51" i="16"/>
  <c r="E50" i="16"/>
  <c r="H49" i="16"/>
  <c r="H48" i="16"/>
  <c r="H46" i="16" s="1"/>
  <c r="E48" i="16"/>
  <c r="H47" i="16"/>
  <c r="E47" i="16"/>
  <c r="E46" i="16"/>
  <c r="K45" i="16"/>
  <c r="E45" i="16"/>
  <c r="K44" i="16"/>
  <c r="E44" i="16"/>
  <c r="E52" i="16" s="1"/>
  <c r="E42" i="16" s="1"/>
  <c r="K43" i="16"/>
  <c r="H43" i="16"/>
  <c r="K42" i="16"/>
  <c r="K41" i="16"/>
  <c r="K40" i="16"/>
  <c r="H40" i="16"/>
  <c r="H39" i="16"/>
  <c r="K38" i="16"/>
  <c r="H38" i="16"/>
  <c r="E38" i="16"/>
  <c r="K37" i="16"/>
  <c r="H37" i="16"/>
  <c r="Q36" i="16"/>
  <c r="N36" i="16"/>
  <c r="K36" i="16"/>
  <c r="H36" i="16"/>
  <c r="E36" i="16"/>
  <c r="Q35" i="16"/>
  <c r="N35" i="16"/>
  <c r="K35" i="16"/>
  <c r="H35" i="16"/>
  <c r="E35" i="16"/>
  <c r="E37" i="16" s="1"/>
  <c r="E30" i="16" s="1"/>
  <c r="Q34" i="16"/>
  <c r="N34" i="16"/>
  <c r="K34" i="16"/>
  <c r="K46" i="16" s="1"/>
  <c r="K11" i="16" s="1"/>
  <c r="K16" i="16" s="1"/>
  <c r="H34" i="16"/>
  <c r="E34" i="16"/>
  <c r="Q33" i="16"/>
  <c r="N33" i="16"/>
  <c r="K33" i="16"/>
  <c r="H33" i="16"/>
  <c r="E33" i="16"/>
  <c r="K32" i="16"/>
  <c r="H32" i="16"/>
  <c r="E32" i="16"/>
  <c r="K31" i="16"/>
  <c r="K28" i="16" s="1"/>
  <c r="H31" i="16"/>
  <c r="K30" i="16"/>
  <c r="H30" i="16"/>
  <c r="Q29" i="16"/>
  <c r="N29" i="16"/>
  <c r="K29" i="16"/>
  <c r="H29" i="16"/>
  <c r="H16" i="16" s="1"/>
  <c r="H11" i="16" s="1"/>
  <c r="Q28" i="16"/>
  <c r="N28" i="16"/>
  <c r="H28" i="16"/>
  <c r="Q27" i="16"/>
  <c r="N27" i="16"/>
  <c r="K27" i="16"/>
  <c r="H27" i="16"/>
  <c r="Q26" i="16"/>
  <c r="N26" i="16"/>
  <c r="K26" i="16"/>
  <c r="H26" i="16"/>
  <c r="E26" i="16"/>
  <c r="E25" i="16"/>
  <c r="Q24" i="16"/>
  <c r="Q21" i="16" s="1"/>
  <c r="N24" i="16"/>
  <c r="N21" i="16" s="1"/>
  <c r="K24" i="16"/>
  <c r="H24" i="16"/>
  <c r="E24" i="16"/>
  <c r="K23" i="16"/>
  <c r="H23" i="16"/>
  <c r="K22" i="16"/>
  <c r="H22" i="16"/>
  <c r="K21" i="16"/>
  <c r="K19" i="16" s="1"/>
  <c r="K20" i="16"/>
  <c r="H20" i="16"/>
  <c r="H19" i="16"/>
  <c r="H18" i="16"/>
  <c r="E18" i="16"/>
  <c r="T17" i="16"/>
  <c r="Q17" i="16"/>
  <c r="N17" i="16"/>
  <c r="H17" i="16"/>
  <c r="E17" i="16"/>
  <c r="T16" i="16"/>
  <c r="Q16" i="16"/>
  <c r="N16" i="16"/>
  <c r="E16" i="16"/>
  <c r="T15" i="16"/>
  <c r="Q15" i="16"/>
  <c r="N15" i="16"/>
  <c r="H15" i="16"/>
  <c r="E15" i="16"/>
  <c r="T14" i="16"/>
  <c r="Q14" i="16"/>
  <c r="N14" i="16"/>
  <c r="E14" i="16"/>
  <c r="E11" i="16" s="1"/>
  <c r="T13" i="16"/>
  <c r="Q13" i="16"/>
  <c r="K13" i="16"/>
  <c r="E13" i="16"/>
  <c r="K12" i="16"/>
  <c r="E12" i="16"/>
  <c r="T10" i="16"/>
  <c r="Q10" i="16"/>
  <c r="N10" i="16"/>
  <c r="K10" i="16"/>
  <c r="E10" i="16"/>
  <c r="N9" i="16"/>
  <c r="K9" i="16"/>
  <c r="H9" i="16"/>
  <c r="E9" i="16"/>
  <c r="T8" i="16"/>
  <c r="T7" i="16" s="1"/>
  <c r="T2" i="16" s="1"/>
  <c r="Q8" i="16"/>
  <c r="Q7" i="16" s="1"/>
  <c r="N8" i="16"/>
  <c r="N7" i="16" s="1"/>
  <c r="K8" i="16"/>
  <c r="H8" i="16"/>
  <c r="E8" i="16"/>
  <c r="K7" i="16"/>
  <c r="H7" i="16"/>
  <c r="E7" i="16"/>
  <c r="E6" i="16" s="1"/>
  <c r="K6" i="16"/>
  <c r="H6" i="16"/>
  <c r="T5" i="16"/>
  <c r="Q5" i="16"/>
  <c r="Q2" i="16" s="1"/>
  <c r="N5" i="16"/>
  <c r="N2" i="16" s="1"/>
  <c r="K5" i="16"/>
  <c r="H5" i="16"/>
  <c r="E5" i="16"/>
  <c r="E22" i="16" s="1"/>
  <c r="H67" i="15"/>
  <c r="H63" i="15" s="1"/>
  <c r="H66" i="15"/>
  <c r="H65" i="15"/>
  <c r="H64" i="15"/>
  <c r="H62" i="15"/>
  <c r="H61" i="15"/>
  <c r="H60" i="15"/>
  <c r="H58" i="15"/>
  <c r="H57" i="15"/>
  <c r="H56" i="15"/>
  <c r="K54" i="15"/>
  <c r="H54" i="15"/>
  <c r="K53" i="15"/>
  <c r="K51" i="15" s="1"/>
  <c r="H53" i="15"/>
  <c r="E53" i="15"/>
  <c r="K52" i="15"/>
  <c r="E51" i="15"/>
  <c r="DA50" i="15"/>
  <c r="K50" i="15"/>
  <c r="E50" i="15"/>
  <c r="H49" i="15"/>
  <c r="CU48" i="15"/>
  <c r="H48" i="15"/>
  <c r="H46" i="15" s="1"/>
  <c r="E48" i="15"/>
  <c r="H47" i="15"/>
  <c r="E47" i="15"/>
  <c r="DA46" i="15"/>
  <c r="Z46" i="15"/>
  <c r="E46" i="15"/>
  <c r="K45" i="15"/>
  <c r="E45" i="15"/>
  <c r="E42" i="15" s="1"/>
  <c r="DA44" i="15"/>
  <c r="DA25" i="15" s="1"/>
  <c r="Z44" i="15"/>
  <c r="K44" i="15"/>
  <c r="E44" i="15"/>
  <c r="DA43" i="15"/>
  <c r="CU43" i="15"/>
  <c r="Z43" i="15"/>
  <c r="K43" i="15"/>
  <c r="H43" i="15"/>
  <c r="DA42" i="15"/>
  <c r="CU42" i="15"/>
  <c r="Z42" i="15"/>
  <c r="W42" i="15"/>
  <c r="K42" i="15"/>
  <c r="HE41" i="15"/>
  <c r="DA41" i="15"/>
  <c r="CU41" i="15"/>
  <c r="K41" i="15"/>
  <c r="HE40" i="15"/>
  <c r="HE37" i="15" s="1"/>
  <c r="DA40" i="15"/>
  <c r="CU40" i="15"/>
  <c r="K40" i="15"/>
  <c r="H40" i="15"/>
  <c r="HE39" i="15"/>
  <c r="DA39" i="15"/>
  <c r="DA24" i="15" s="1"/>
  <c r="CU39" i="15"/>
  <c r="H39" i="15"/>
  <c r="HE38" i="15"/>
  <c r="DA38" i="15"/>
  <c r="CU38" i="15"/>
  <c r="AG38" i="15"/>
  <c r="AF38" i="15"/>
  <c r="AE38" i="15"/>
  <c r="AD38" i="15"/>
  <c r="AC38" i="15"/>
  <c r="K38" i="15"/>
  <c r="H38" i="15"/>
  <c r="H21" i="15" s="1"/>
  <c r="E38" i="15"/>
  <c r="DA37" i="15"/>
  <c r="CU37" i="15"/>
  <c r="BZ37" i="15"/>
  <c r="AG37" i="15"/>
  <c r="K37" i="15"/>
  <c r="H37" i="15"/>
  <c r="HE36" i="15"/>
  <c r="HE33" i="15" s="1"/>
  <c r="DA36" i="15"/>
  <c r="CU36" i="15"/>
  <c r="BN36" i="15"/>
  <c r="BK36" i="15"/>
  <c r="BE36" i="15"/>
  <c r="BB36" i="15"/>
  <c r="AV36" i="15"/>
  <c r="AS36" i="15"/>
  <c r="AM36" i="15"/>
  <c r="AJ36" i="15"/>
  <c r="AF36" i="15"/>
  <c r="Z36" i="15"/>
  <c r="W36" i="15"/>
  <c r="Q36" i="15"/>
  <c r="N36" i="15"/>
  <c r="K36" i="15"/>
  <c r="H36" i="15"/>
  <c r="E36" i="15"/>
  <c r="HE35" i="15"/>
  <c r="DA35" i="15"/>
  <c r="CU35" i="15"/>
  <c r="BN35" i="15"/>
  <c r="BK35" i="15"/>
  <c r="BE35" i="15"/>
  <c r="BB35" i="15"/>
  <c r="AV35" i="15"/>
  <c r="AS35" i="15"/>
  <c r="AM35" i="15"/>
  <c r="AJ35" i="15"/>
  <c r="AE35" i="15"/>
  <c r="AD35" i="15"/>
  <c r="AC35" i="15"/>
  <c r="Z35" i="15"/>
  <c r="W35" i="15"/>
  <c r="Q35" i="15"/>
  <c r="N35" i="15"/>
  <c r="K35" i="15"/>
  <c r="H35" i="15"/>
  <c r="E35" i="15"/>
  <c r="E30" i="15" s="1"/>
  <c r="HE34" i="15"/>
  <c r="DA34" i="15"/>
  <c r="CU34" i="15"/>
  <c r="BN34" i="15"/>
  <c r="BK34" i="15"/>
  <c r="BE34" i="15"/>
  <c r="BB34" i="15"/>
  <c r="AV34" i="15"/>
  <c r="AS34" i="15"/>
  <c r="AM34" i="15"/>
  <c r="AJ34" i="15"/>
  <c r="Q34" i="15"/>
  <c r="N34" i="15"/>
  <c r="K34" i="15"/>
  <c r="K46" i="15" s="1"/>
  <c r="K11" i="15" s="1"/>
  <c r="H34" i="15"/>
  <c r="E34" i="15"/>
  <c r="DA33" i="15"/>
  <c r="CU33" i="15"/>
  <c r="BZ33" i="15"/>
  <c r="BN33" i="15"/>
  <c r="BK33" i="15"/>
  <c r="BE33" i="15"/>
  <c r="BB33" i="15"/>
  <c r="AV33" i="15"/>
  <c r="AS33" i="15"/>
  <c r="AM33" i="15"/>
  <c r="AJ33" i="15"/>
  <c r="Z33" i="15"/>
  <c r="W33" i="15"/>
  <c r="Q33" i="15"/>
  <c r="N33" i="15"/>
  <c r="K33" i="15"/>
  <c r="H33" i="15"/>
  <c r="E33" i="15"/>
  <c r="HE32" i="15"/>
  <c r="DA32" i="15"/>
  <c r="CU32" i="15"/>
  <c r="CU44" i="15" s="1"/>
  <c r="CF32" i="15"/>
  <c r="CC32" i="15"/>
  <c r="BZ32" i="15"/>
  <c r="BW32" i="15"/>
  <c r="BN32" i="15"/>
  <c r="BK32" i="15"/>
  <c r="BE32" i="15"/>
  <c r="BB32" i="15"/>
  <c r="AV32" i="15"/>
  <c r="AS32" i="15"/>
  <c r="AM32" i="15"/>
  <c r="AJ32" i="15"/>
  <c r="Z32" i="15"/>
  <c r="W32" i="15"/>
  <c r="K32" i="15"/>
  <c r="H32" i="15"/>
  <c r="E32" i="15"/>
  <c r="HE31" i="15"/>
  <c r="DA31" i="15"/>
  <c r="CU31" i="15"/>
  <c r="CU24" i="15" s="1"/>
  <c r="CL31" i="15"/>
  <c r="CL30" i="15" s="1"/>
  <c r="CF31" i="15"/>
  <c r="CC31" i="15"/>
  <c r="BZ31" i="15"/>
  <c r="BN31" i="15"/>
  <c r="BK31" i="15"/>
  <c r="BE31" i="15"/>
  <c r="BB31" i="15"/>
  <c r="AV31" i="15"/>
  <c r="AS31" i="15"/>
  <c r="AM31" i="15"/>
  <c r="AJ31" i="15"/>
  <c r="Z31" i="15"/>
  <c r="W31" i="15"/>
  <c r="K31" i="15"/>
  <c r="K28" i="15" s="1"/>
  <c r="H31" i="15"/>
  <c r="HE30" i="15"/>
  <c r="DA30" i="15"/>
  <c r="CU30" i="15"/>
  <c r="CO30" i="15"/>
  <c r="CF30" i="15"/>
  <c r="CC30" i="15"/>
  <c r="BZ30" i="15"/>
  <c r="BN30" i="15"/>
  <c r="BK30" i="15"/>
  <c r="BE30" i="15"/>
  <c r="BB30" i="15"/>
  <c r="AV30" i="15"/>
  <c r="AS30" i="15"/>
  <c r="AM30" i="15"/>
  <c r="AJ30" i="15"/>
  <c r="Z30" i="15"/>
  <c r="W30" i="15"/>
  <c r="K30" i="15"/>
  <c r="H30" i="15"/>
  <c r="HE29" i="15"/>
  <c r="DA29" i="15"/>
  <c r="CU29" i="15"/>
  <c r="CO29" i="15"/>
  <c r="CF29" i="15"/>
  <c r="CC29" i="15"/>
  <c r="BZ29" i="15"/>
  <c r="BT29" i="15"/>
  <c r="BN29" i="15"/>
  <c r="BK29" i="15"/>
  <c r="BE29" i="15"/>
  <c r="BB29" i="15"/>
  <c r="AV29" i="15"/>
  <c r="AS29" i="15"/>
  <c r="AM29" i="15"/>
  <c r="AM25" i="15" s="1"/>
  <c r="AJ29" i="15"/>
  <c r="Z29" i="15"/>
  <c r="W29" i="15"/>
  <c r="Q29" i="15"/>
  <c r="N29" i="15"/>
  <c r="K29" i="15"/>
  <c r="H29" i="15"/>
  <c r="H22" i="15" s="1"/>
  <c r="HE28" i="15"/>
  <c r="DA28" i="15"/>
  <c r="CU28" i="15"/>
  <c r="CO28" i="15"/>
  <c r="CL28" i="15"/>
  <c r="CL29" i="15" s="1"/>
  <c r="CF28" i="15"/>
  <c r="CC28" i="15"/>
  <c r="BZ28" i="15"/>
  <c r="BN28" i="15"/>
  <c r="BK28" i="15"/>
  <c r="BE28" i="15"/>
  <c r="BB28" i="15"/>
  <c r="AV28" i="15"/>
  <c r="AS28" i="15"/>
  <c r="AM28" i="15"/>
  <c r="AJ28" i="15"/>
  <c r="AG28" i="15"/>
  <c r="AF28" i="15"/>
  <c r="AE28" i="15"/>
  <c r="AD28" i="15"/>
  <c r="AD27" i="15" s="1"/>
  <c r="AC28" i="15"/>
  <c r="AC27" i="15" s="1"/>
  <c r="Z28" i="15"/>
  <c r="W28" i="15"/>
  <c r="Q28" i="15"/>
  <c r="N28" i="15"/>
  <c r="H28" i="15"/>
  <c r="HE27" i="15"/>
  <c r="HB27" i="15"/>
  <c r="GM27" i="15"/>
  <c r="FI27" i="15"/>
  <c r="ET27" i="15"/>
  <c r="EE27" i="15"/>
  <c r="DA27" i="15"/>
  <c r="CU27" i="15"/>
  <c r="CO27" i="15"/>
  <c r="CL27" i="15"/>
  <c r="CF27" i="15"/>
  <c r="CC27" i="15"/>
  <c r="BZ27" i="15"/>
  <c r="BW27" i="15"/>
  <c r="BT27" i="15"/>
  <c r="BN27" i="15"/>
  <c r="BK27" i="15"/>
  <c r="BK26" i="15" s="1"/>
  <c r="BE27" i="15"/>
  <c r="BE26" i="15" s="1"/>
  <c r="BB27" i="15"/>
  <c r="BB26" i="15" s="1"/>
  <c r="AV27" i="15"/>
  <c r="AS27" i="15"/>
  <c r="AM27" i="15"/>
  <c r="AJ27" i="15"/>
  <c r="AG27" i="15"/>
  <c r="AF27" i="15"/>
  <c r="AE27" i="15"/>
  <c r="Z27" i="15"/>
  <c r="W27" i="15"/>
  <c r="Q27" i="15"/>
  <c r="N27" i="15"/>
  <c r="K27" i="15"/>
  <c r="H27" i="15"/>
  <c r="HB26" i="15"/>
  <c r="GM26" i="15"/>
  <c r="GM24" i="15" s="1"/>
  <c r="FI26" i="15"/>
  <c r="ET26" i="15"/>
  <c r="EE26" i="15"/>
  <c r="DP26" i="15"/>
  <c r="DP24" i="15" s="1"/>
  <c r="DG26" i="15"/>
  <c r="DA26" i="15"/>
  <c r="DA23" i="15" s="1"/>
  <c r="CX26" i="15"/>
  <c r="CU26" i="15"/>
  <c r="CO26" i="15"/>
  <c r="CL26" i="15"/>
  <c r="CF26" i="15"/>
  <c r="CC26" i="15"/>
  <c r="BZ26" i="15"/>
  <c r="BW26" i="15"/>
  <c r="BT26" i="15"/>
  <c r="BN26" i="15"/>
  <c r="AV26" i="15"/>
  <c r="AS26" i="15"/>
  <c r="AM26" i="15"/>
  <c r="AJ26" i="15"/>
  <c r="Q26" i="15"/>
  <c r="N26" i="15"/>
  <c r="K26" i="15"/>
  <c r="H26" i="15"/>
  <c r="E26" i="15"/>
  <c r="HE25" i="15"/>
  <c r="HB25" i="15"/>
  <c r="HB23" i="15" s="1"/>
  <c r="GM25" i="15"/>
  <c r="FI25" i="15"/>
  <c r="ET25" i="15"/>
  <c r="EE25" i="15"/>
  <c r="DP25" i="15"/>
  <c r="CX25" i="15"/>
  <c r="CU25" i="15"/>
  <c r="CO25" i="15"/>
  <c r="CO23" i="15" s="1"/>
  <c r="CL25" i="15"/>
  <c r="CF25" i="15"/>
  <c r="CF24" i="15" s="1"/>
  <c r="CC25" i="15"/>
  <c r="BZ25" i="15"/>
  <c r="BW25" i="15"/>
  <c r="BT25" i="15"/>
  <c r="BN25" i="15"/>
  <c r="BK25" i="15"/>
  <c r="AJ25" i="15"/>
  <c r="AG25" i="15"/>
  <c r="AF25" i="15"/>
  <c r="AE25" i="15"/>
  <c r="AD25" i="15"/>
  <c r="AC25" i="15"/>
  <c r="K25" i="15"/>
  <c r="H25" i="15"/>
  <c r="E25" i="15"/>
  <c r="HB24" i="15"/>
  <c r="FI24" i="15"/>
  <c r="ET24" i="15"/>
  <c r="EE24" i="15"/>
  <c r="CX24" i="15"/>
  <c r="CO24" i="15"/>
  <c r="CL24" i="15"/>
  <c r="CC24" i="15"/>
  <c r="BZ24" i="15"/>
  <c r="BW24" i="15"/>
  <c r="BN24" i="15"/>
  <c r="BK24" i="15"/>
  <c r="BE24" i="15"/>
  <c r="BB24" i="15"/>
  <c r="AV24" i="15"/>
  <c r="AS24" i="15"/>
  <c r="AM24" i="15"/>
  <c r="AJ24" i="15"/>
  <c r="AG24" i="15"/>
  <c r="AF24" i="15"/>
  <c r="AE24" i="15"/>
  <c r="AD24" i="15"/>
  <c r="AC24" i="15"/>
  <c r="Q24" i="15"/>
  <c r="N24" i="15"/>
  <c r="K24" i="15"/>
  <c r="H24" i="15"/>
  <c r="E24" i="15"/>
  <c r="GM23" i="15"/>
  <c r="FI23" i="15"/>
  <c r="ET23" i="15"/>
  <c r="EE23" i="15"/>
  <c r="DP23" i="15"/>
  <c r="DG23" i="15"/>
  <c r="CR23" i="15"/>
  <c r="CL23" i="15"/>
  <c r="BZ23" i="15"/>
  <c r="BW23" i="15"/>
  <c r="AG23" i="15"/>
  <c r="AF23" i="15"/>
  <c r="AE23" i="15"/>
  <c r="AD23" i="15"/>
  <c r="AC23" i="15"/>
  <c r="K23" i="15"/>
  <c r="H23" i="15"/>
  <c r="HB22" i="15"/>
  <c r="HB16" i="15" s="1"/>
  <c r="GM22" i="15"/>
  <c r="GM16" i="15" s="1"/>
  <c r="FI22" i="15"/>
  <c r="ET22" i="15"/>
  <c r="EE22" i="15"/>
  <c r="DP22" i="15"/>
  <c r="DD21" i="15"/>
  <c r="CR22" i="15"/>
  <c r="CO22" i="15"/>
  <c r="CL22" i="15"/>
  <c r="CF22" i="15"/>
  <c r="CC22" i="15"/>
  <c r="BZ22" i="15"/>
  <c r="BW22" i="15"/>
  <c r="K22" i="15"/>
  <c r="HB21" i="15"/>
  <c r="GM21" i="15"/>
  <c r="FI21" i="15"/>
  <c r="ET21" i="15"/>
  <c r="EE21" i="15"/>
  <c r="DP21" i="15"/>
  <c r="BZ21" i="15"/>
  <c r="BW21" i="15"/>
  <c r="AG21" i="15"/>
  <c r="AF21" i="15"/>
  <c r="AE21" i="15"/>
  <c r="AD21" i="15"/>
  <c r="AC21" i="15"/>
  <c r="K21" i="15"/>
  <c r="HB20" i="15"/>
  <c r="GM20" i="15"/>
  <c r="GA20" i="15"/>
  <c r="FL20" i="15"/>
  <c r="FI20" i="15"/>
  <c r="EW20" i="15"/>
  <c r="ET20" i="15"/>
  <c r="EH20" i="15"/>
  <c r="EE20" i="15"/>
  <c r="DS20" i="15"/>
  <c r="DP20" i="15"/>
  <c r="DP11" i="15" s="1"/>
  <c r="DP5" i="15" s="1"/>
  <c r="DG20" i="15"/>
  <c r="DG11" i="15" s="1"/>
  <c r="DD20" i="15"/>
  <c r="BZ20" i="15"/>
  <c r="BW20" i="15"/>
  <c r="BT20" i="15"/>
  <c r="AG20" i="15"/>
  <c r="AF20" i="15"/>
  <c r="AE20" i="15"/>
  <c r="AD20" i="15"/>
  <c r="AC20" i="15"/>
  <c r="Z20" i="15"/>
  <c r="W20" i="15"/>
  <c r="K20" i="15"/>
  <c r="H20" i="15"/>
  <c r="HB19" i="15"/>
  <c r="GM19" i="15"/>
  <c r="GA19" i="15"/>
  <c r="FL19" i="15"/>
  <c r="FI19" i="15"/>
  <c r="EW19" i="15"/>
  <c r="ET19" i="15"/>
  <c r="EH19" i="15"/>
  <c r="EE19" i="15"/>
  <c r="DS19" i="15"/>
  <c r="DP19" i="15"/>
  <c r="CX19" i="15"/>
  <c r="BZ19" i="15"/>
  <c r="BW19" i="15"/>
  <c r="BT19" i="15"/>
  <c r="AG19" i="15"/>
  <c r="AF19" i="15"/>
  <c r="AE19" i="15"/>
  <c r="AD19" i="15"/>
  <c r="AC19" i="15"/>
  <c r="K19" i="15"/>
  <c r="H19" i="15"/>
  <c r="H16" i="15" s="1"/>
  <c r="HB18" i="15"/>
  <c r="GP18" i="15"/>
  <c r="GM18" i="15"/>
  <c r="GA18" i="15"/>
  <c r="FL18" i="15"/>
  <c r="FI18" i="15"/>
  <c r="EW18" i="15"/>
  <c r="ET18" i="15"/>
  <c r="EH18" i="15"/>
  <c r="EE18" i="15"/>
  <c r="DS18" i="15"/>
  <c r="DP18" i="15"/>
  <c r="CX18" i="15"/>
  <c r="BZ18" i="15"/>
  <c r="BZ16" i="15" s="1"/>
  <c r="BW18" i="15"/>
  <c r="BT18" i="15"/>
  <c r="AG18" i="15"/>
  <c r="AF18" i="15"/>
  <c r="AE18" i="15"/>
  <c r="AD18" i="15"/>
  <c r="AC18" i="15"/>
  <c r="H18" i="15"/>
  <c r="E18" i="15"/>
  <c r="HB17" i="15"/>
  <c r="GP17" i="15"/>
  <c r="GM17" i="15"/>
  <c r="FI17" i="15"/>
  <c r="ET17" i="15"/>
  <c r="EE17" i="15"/>
  <c r="DP17" i="15"/>
  <c r="DD17" i="15"/>
  <c r="CX17" i="15"/>
  <c r="BZ17" i="15"/>
  <c r="BW17" i="15"/>
  <c r="BT17" i="15"/>
  <c r="BQ17" i="15"/>
  <c r="BN17" i="15"/>
  <c r="BK17" i="15"/>
  <c r="BH17" i="15"/>
  <c r="BE17" i="15"/>
  <c r="BB17" i="15"/>
  <c r="AY17" i="15"/>
  <c r="AV17" i="15"/>
  <c r="AS17" i="15"/>
  <c r="AP17" i="15"/>
  <c r="AM17" i="15"/>
  <c r="AJ17" i="15"/>
  <c r="AG17" i="15"/>
  <c r="AF17" i="15"/>
  <c r="AE17" i="15"/>
  <c r="AD17" i="15"/>
  <c r="AC17" i="15"/>
  <c r="T17" i="15"/>
  <c r="Q17" i="15"/>
  <c r="N17" i="15"/>
  <c r="H17" i="15"/>
  <c r="E17" i="15"/>
  <c r="GA16" i="15"/>
  <c r="FL16" i="15"/>
  <c r="FI16" i="15"/>
  <c r="EW16" i="15"/>
  <c r="ET16" i="15"/>
  <c r="EH16" i="15"/>
  <c r="EE16" i="15"/>
  <c r="DG16" i="15"/>
  <c r="DD16" i="15"/>
  <c r="CX16" i="15"/>
  <c r="BW16" i="15"/>
  <c r="BT16" i="15"/>
  <c r="BQ16" i="15"/>
  <c r="BN16" i="15"/>
  <c r="BK16" i="15"/>
  <c r="BH16" i="15"/>
  <c r="BE16" i="15"/>
  <c r="BB16" i="15"/>
  <c r="AY16" i="15"/>
  <c r="AV16" i="15"/>
  <c r="AS16" i="15"/>
  <c r="AP16" i="15"/>
  <c r="AM16" i="15"/>
  <c r="AJ16" i="15"/>
  <c r="AG16" i="15"/>
  <c r="AF16" i="15"/>
  <c r="AE16" i="15"/>
  <c r="AD16" i="15"/>
  <c r="AC16" i="15"/>
  <c r="T16" i="15"/>
  <c r="Q16" i="15"/>
  <c r="N16" i="15"/>
  <c r="E16" i="15"/>
  <c r="HB15" i="15"/>
  <c r="GP15" i="15"/>
  <c r="GM15" i="15"/>
  <c r="FI15" i="15"/>
  <c r="ET15" i="15"/>
  <c r="DP15" i="15"/>
  <c r="DD15" i="15"/>
  <c r="DD7" i="15" s="1"/>
  <c r="CX15" i="15"/>
  <c r="CX11" i="15" s="1"/>
  <c r="CI15" i="15"/>
  <c r="CF15" i="15"/>
  <c r="CC15" i="15"/>
  <c r="BW15" i="15"/>
  <c r="BT15" i="15"/>
  <c r="BQ15" i="15"/>
  <c r="BN15" i="15"/>
  <c r="BK15" i="15"/>
  <c r="BH15" i="15"/>
  <c r="BE15" i="15"/>
  <c r="BB15" i="15"/>
  <c r="AY15" i="15"/>
  <c r="AV15" i="15"/>
  <c r="AS15" i="15"/>
  <c r="AP15" i="15"/>
  <c r="AM15" i="15"/>
  <c r="AJ15" i="15"/>
  <c r="T15" i="15"/>
  <c r="Q15" i="15"/>
  <c r="N15" i="15"/>
  <c r="H15" i="15"/>
  <c r="E15" i="15"/>
  <c r="HE14" i="15"/>
  <c r="HB14" i="15"/>
  <c r="GP14" i="15"/>
  <c r="GY14" i="15" s="1"/>
  <c r="GM14" i="15"/>
  <c r="GA14" i="15"/>
  <c r="GJ14" i="15" s="1"/>
  <c r="FL14" i="15"/>
  <c r="FI14" i="15"/>
  <c r="FF14" i="15"/>
  <c r="EW14" i="15"/>
  <c r="ET14" i="15"/>
  <c r="EQ14" i="15"/>
  <c r="EH14" i="15"/>
  <c r="EE14" i="15"/>
  <c r="EB14" i="15"/>
  <c r="DY14" i="15"/>
  <c r="DS14" i="15"/>
  <c r="EB15" i="15" s="1"/>
  <c r="DP14" i="15"/>
  <c r="DD14" i="15"/>
  <c r="CX14" i="15"/>
  <c r="CL14" i="15"/>
  <c r="CI14" i="15"/>
  <c r="CF14" i="15"/>
  <c r="CC14" i="15"/>
  <c r="BW14" i="15"/>
  <c r="BT14" i="15"/>
  <c r="BQ14" i="15"/>
  <c r="BN14" i="15"/>
  <c r="BK14" i="15"/>
  <c r="BH14" i="15"/>
  <c r="BE14" i="15"/>
  <c r="BB14" i="15"/>
  <c r="AY14" i="15"/>
  <c r="AV14" i="15"/>
  <c r="AS14" i="15"/>
  <c r="AP14" i="15"/>
  <c r="AM14" i="15"/>
  <c r="AJ14" i="15"/>
  <c r="AG14" i="15"/>
  <c r="AF14" i="15"/>
  <c r="AE14" i="15"/>
  <c r="AD14" i="15"/>
  <c r="AC14" i="15"/>
  <c r="Z14" i="15"/>
  <c r="W14" i="15"/>
  <c r="T14" i="15"/>
  <c r="Q14" i="15"/>
  <c r="N14" i="15"/>
  <c r="E14" i="15"/>
  <c r="E11" i="15" s="1"/>
  <c r="HB13" i="15"/>
  <c r="GY13" i="15"/>
  <c r="GV13" i="15"/>
  <c r="GP13" i="15"/>
  <c r="GM13" i="15"/>
  <c r="GJ13" i="15"/>
  <c r="GG13" i="15"/>
  <c r="GA13" i="15"/>
  <c r="FL13" i="15"/>
  <c r="FI13" i="15"/>
  <c r="FF13" i="15"/>
  <c r="FC13" i="15"/>
  <c r="EW13" i="15"/>
  <c r="ET13" i="15"/>
  <c r="ET2" i="15" s="1"/>
  <c r="EQ13" i="15"/>
  <c r="EN13" i="15"/>
  <c r="EH13" i="15"/>
  <c r="EE13" i="15"/>
  <c r="EB13" i="15"/>
  <c r="DY13" i="15"/>
  <c r="DS13" i="15"/>
  <c r="DP13" i="15"/>
  <c r="DD13" i="15"/>
  <c r="CX13" i="15"/>
  <c r="CU13" i="15"/>
  <c r="CU12" i="15" s="1"/>
  <c r="CO13" i="15"/>
  <c r="CI13" i="15"/>
  <c r="CF13" i="15"/>
  <c r="CC13" i="15"/>
  <c r="BW13" i="15"/>
  <c r="BT13" i="15"/>
  <c r="BQ13" i="15"/>
  <c r="BN13" i="15"/>
  <c r="BK13" i="15"/>
  <c r="BH13" i="15"/>
  <c r="BE13" i="15"/>
  <c r="BB13" i="15"/>
  <c r="AY13" i="15"/>
  <c r="AV13" i="15"/>
  <c r="AS13" i="15"/>
  <c r="AP13" i="15"/>
  <c r="AM13" i="15"/>
  <c r="AJ13" i="15"/>
  <c r="AG13" i="15"/>
  <c r="AF13" i="15"/>
  <c r="Z13" i="15"/>
  <c r="W13" i="15"/>
  <c r="T13" i="15"/>
  <c r="Q13" i="15"/>
  <c r="K13" i="15"/>
  <c r="E13" i="15"/>
  <c r="HB12" i="15"/>
  <c r="GY12" i="15"/>
  <c r="GV12" i="15"/>
  <c r="GP12" i="15"/>
  <c r="GM12" i="15"/>
  <c r="GJ12" i="15"/>
  <c r="GG12" i="15"/>
  <c r="GA12" i="15"/>
  <c r="FL12" i="15"/>
  <c r="FI12" i="15"/>
  <c r="FF12" i="15"/>
  <c r="FC12" i="15"/>
  <c r="EW12" i="15"/>
  <c r="ET12" i="15"/>
  <c r="EQ12" i="15"/>
  <c r="EN12" i="15"/>
  <c r="EH12" i="15"/>
  <c r="EE12" i="15"/>
  <c r="EB12" i="15"/>
  <c r="DY12" i="15"/>
  <c r="DS12" i="15"/>
  <c r="DP12" i="15"/>
  <c r="DD12" i="15"/>
  <c r="DA12" i="15"/>
  <c r="DA11" i="15" s="1"/>
  <c r="DA10" i="15" s="1"/>
  <c r="CX12" i="15"/>
  <c r="CO12" i="15"/>
  <c r="CI12" i="15"/>
  <c r="CF12" i="15"/>
  <c r="CC12" i="15"/>
  <c r="BZ12" i="15"/>
  <c r="BZ11" i="15" s="1"/>
  <c r="BZ10" i="15" s="1"/>
  <c r="BW12" i="15"/>
  <c r="BT12" i="15"/>
  <c r="BQ12" i="15"/>
  <c r="BN12" i="15"/>
  <c r="BK12" i="15"/>
  <c r="BH12" i="15"/>
  <c r="BE12" i="15"/>
  <c r="BB12" i="15"/>
  <c r="AY12" i="15"/>
  <c r="AV12" i="15"/>
  <c r="AS12" i="15"/>
  <c r="AP12" i="15"/>
  <c r="AM12" i="15"/>
  <c r="AJ12" i="15"/>
  <c r="AG12" i="15"/>
  <c r="AF12" i="15"/>
  <c r="K12" i="15"/>
  <c r="E12" i="15"/>
  <c r="HE11" i="15"/>
  <c r="HB11" i="15"/>
  <c r="GY11" i="15"/>
  <c r="GV11" i="15"/>
  <c r="GP11" i="15"/>
  <c r="GP7" i="15" s="1"/>
  <c r="GM11" i="15"/>
  <c r="GJ11" i="15"/>
  <c r="GG11" i="15"/>
  <c r="GA11" i="15"/>
  <c r="FL11" i="15"/>
  <c r="FI11" i="15"/>
  <c r="FF11" i="15"/>
  <c r="FC11" i="15"/>
  <c r="EW11" i="15"/>
  <c r="ET11" i="15"/>
  <c r="EQ11" i="15"/>
  <c r="EN11" i="15"/>
  <c r="EH11" i="15"/>
  <c r="EE11" i="15"/>
  <c r="EB11" i="15"/>
  <c r="DY11" i="15"/>
  <c r="DS11" i="15"/>
  <c r="DD11" i="15"/>
  <c r="DD10" i="15" s="1"/>
  <c r="CO11" i="15"/>
  <c r="CL11" i="15"/>
  <c r="CL12" i="15" s="1"/>
  <c r="CI11" i="15"/>
  <c r="CF11" i="15"/>
  <c r="CC11" i="15"/>
  <c r="BT11" i="15"/>
  <c r="BQ11" i="15"/>
  <c r="BN11" i="15"/>
  <c r="BK11" i="15"/>
  <c r="BH11" i="15"/>
  <c r="BE11" i="15"/>
  <c r="BB11" i="15"/>
  <c r="AY11" i="15"/>
  <c r="AV11" i="15"/>
  <c r="AS11" i="15"/>
  <c r="AP11" i="15"/>
  <c r="AM11" i="15"/>
  <c r="AJ11" i="15"/>
  <c r="AG11" i="15"/>
  <c r="AG26" i="15" s="1"/>
  <c r="AG30" i="15" s="1"/>
  <c r="AF11" i="15"/>
  <c r="AF26" i="15" s="1"/>
  <c r="AF30" i="15" s="1"/>
  <c r="AE11" i="15"/>
  <c r="AE26" i="15" s="1"/>
  <c r="AE30" i="15" s="1"/>
  <c r="AD11" i="15"/>
  <c r="AD26" i="15" s="1"/>
  <c r="AD30" i="15" s="1"/>
  <c r="AC11" i="15"/>
  <c r="AC26" i="15" s="1"/>
  <c r="AC30" i="15" s="1"/>
  <c r="Z11" i="15"/>
  <c r="W11" i="15"/>
  <c r="HE10" i="15"/>
  <c r="HB10" i="15"/>
  <c r="GY10" i="15"/>
  <c r="GV10" i="15"/>
  <c r="GP10" i="15"/>
  <c r="GM10" i="15"/>
  <c r="GM2" i="15" s="1"/>
  <c r="GJ10" i="15"/>
  <c r="GG10" i="15"/>
  <c r="GA10" i="15"/>
  <c r="FL10" i="15"/>
  <c r="FI10" i="15"/>
  <c r="FF10" i="15"/>
  <c r="FC10" i="15"/>
  <c r="EW10" i="15"/>
  <c r="EW7" i="15" s="1"/>
  <c r="ET10" i="15"/>
  <c r="EQ10" i="15"/>
  <c r="EN10" i="15"/>
  <c r="EH10" i="15"/>
  <c r="EE10" i="15"/>
  <c r="EE2" i="15" s="1"/>
  <c r="EB10" i="15"/>
  <c r="DY10" i="15"/>
  <c r="DS10" i="15"/>
  <c r="DS7" i="15" s="1"/>
  <c r="DP10" i="15"/>
  <c r="DG10" i="15"/>
  <c r="CX10" i="15"/>
  <c r="CU10" i="15"/>
  <c r="CO10" i="15"/>
  <c r="CL10" i="15"/>
  <c r="CI10" i="15"/>
  <c r="CF10" i="15"/>
  <c r="CC10" i="15"/>
  <c r="CF23" i="15" s="1"/>
  <c r="BW2" i="15"/>
  <c r="BT10" i="15"/>
  <c r="BQ10" i="15"/>
  <c r="BN10" i="15"/>
  <c r="BK10" i="15"/>
  <c r="BH10" i="15"/>
  <c r="BE10" i="15"/>
  <c r="BB10" i="15"/>
  <c r="BE25" i="15" s="1"/>
  <c r="AY10" i="15"/>
  <c r="AV10" i="15"/>
  <c r="AS10" i="15"/>
  <c r="AV25" i="15" s="1"/>
  <c r="AP10" i="15"/>
  <c r="AM10" i="15"/>
  <c r="AJ10" i="15"/>
  <c r="Z10" i="15"/>
  <c r="W10" i="15"/>
  <c r="T10" i="15"/>
  <c r="Q10" i="15"/>
  <c r="N10" i="15"/>
  <c r="K10" i="15"/>
  <c r="E10" i="15"/>
  <c r="HE9" i="15"/>
  <c r="HB9" i="15"/>
  <c r="GY9" i="15"/>
  <c r="GV9" i="15"/>
  <c r="GP9" i="15"/>
  <c r="GM9" i="15"/>
  <c r="GJ9" i="15"/>
  <c r="GG9" i="15"/>
  <c r="GA9" i="15"/>
  <c r="FL9" i="15"/>
  <c r="FI9" i="15"/>
  <c r="FF9" i="15"/>
  <c r="FC9" i="15"/>
  <c r="EW9" i="15"/>
  <c r="ET9" i="15"/>
  <c r="EQ9" i="15"/>
  <c r="EN9" i="15"/>
  <c r="EH9" i="15"/>
  <c r="EE9" i="15"/>
  <c r="EB9" i="15"/>
  <c r="DY9" i="15"/>
  <c r="DS9" i="15"/>
  <c r="DP9" i="15"/>
  <c r="DM9" i="15"/>
  <c r="DD9" i="15"/>
  <c r="DA9" i="15"/>
  <c r="CX9" i="15"/>
  <c r="CU9" i="15"/>
  <c r="CO9" i="15"/>
  <c r="CO7" i="15" s="1"/>
  <c r="CL9" i="15"/>
  <c r="CI9" i="15"/>
  <c r="CF9" i="15"/>
  <c r="CC9" i="15"/>
  <c r="BZ9" i="15"/>
  <c r="BW9" i="15"/>
  <c r="BT9" i="15"/>
  <c r="BT28" i="15" s="1"/>
  <c r="BQ9" i="15"/>
  <c r="BN9" i="15"/>
  <c r="BK9" i="15"/>
  <c r="BH9" i="15"/>
  <c r="BE9" i="15"/>
  <c r="BB9" i="15"/>
  <c r="AY9" i="15"/>
  <c r="AV9" i="15"/>
  <c r="AS9" i="15"/>
  <c r="AP9" i="15"/>
  <c r="AM9" i="15"/>
  <c r="AJ9" i="15"/>
  <c r="AG9" i="15"/>
  <c r="AF9" i="15"/>
  <c r="AE9" i="15"/>
  <c r="AD9" i="15"/>
  <c r="AC9" i="15"/>
  <c r="Z9" i="15"/>
  <c r="W9" i="15"/>
  <c r="N9" i="15"/>
  <c r="K9" i="15"/>
  <c r="H9" i="15"/>
  <c r="E9" i="15"/>
  <c r="HE8" i="15"/>
  <c r="HE7" i="15" s="1"/>
  <c r="HB8" i="15"/>
  <c r="GY8" i="15"/>
  <c r="GY6" i="15" s="1"/>
  <c r="GV8" i="15"/>
  <c r="GP8" i="15"/>
  <c r="GM8" i="15"/>
  <c r="GJ8" i="15"/>
  <c r="GG8" i="15"/>
  <c r="GA8" i="15"/>
  <c r="GA7" i="15" s="1"/>
  <c r="FL8" i="15"/>
  <c r="FI8" i="15"/>
  <c r="FF8" i="15"/>
  <c r="FC8" i="15"/>
  <c r="EW8" i="15"/>
  <c r="ET8" i="15"/>
  <c r="ET6" i="15" s="1"/>
  <c r="EQ8" i="15"/>
  <c r="EQ6" i="15" s="1"/>
  <c r="EN8" i="15"/>
  <c r="EN6" i="15" s="1"/>
  <c r="EH8" i="15"/>
  <c r="EE8" i="15"/>
  <c r="EB8" i="15"/>
  <c r="DY8" i="15"/>
  <c r="DS8" i="15"/>
  <c r="DP8" i="15"/>
  <c r="DM8" i="15"/>
  <c r="DM6" i="15" s="1"/>
  <c r="DJ8" i="15"/>
  <c r="DD8" i="15"/>
  <c r="DA8" i="15"/>
  <c r="CX8" i="15"/>
  <c r="CU8" i="15"/>
  <c r="CO8" i="15"/>
  <c r="CL8" i="15"/>
  <c r="CI8" i="15"/>
  <c r="CF8" i="15"/>
  <c r="CC8" i="15"/>
  <c r="BZ8" i="15"/>
  <c r="BW8" i="15"/>
  <c r="BT8" i="15"/>
  <c r="BQ8" i="15"/>
  <c r="BN8" i="15"/>
  <c r="BK8" i="15"/>
  <c r="BH8" i="15"/>
  <c r="BE8" i="15"/>
  <c r="BB8" i="15"/>
  <c r="AY8" i="15"/>
  <c r="AV8" i="15"/>
  <c r="AS8" i="15"/>
  <c r="AP8" i="15"/>
  <c r="AM8" i="15"/>
  <c r="AJ8" i="15"/>
  <c r="AG8" i="15"/>
  <c r="AF8" i="15"/>
  <c r="AE8" i="15"/>
  <c r="AD8" i="15"/>
  <c r="AC8" i="15"/>
  <c r="Z8" i="15"/>
  <c r="W8" i="15"/>
  <c r="T8" i="15"/>
  <c r="T7" i="15" s="1"/>
  <c r="Q8" i="15"/>
  <c r="Q7" i="15" s="1"/>
  <c r="N8" i="15"/>
  <c r="N7" i="15" s="1"/>
  <c r="K8" i="15"/>
  <c r="H8" i="15"/>
  <c r="E8" i="15"/>
  <c r="HB7" i="15"/>
  <c r="GY7" i="15"/>
  <c r="GY5" i="15" s="1"/>
  <c r="GV7" i="15"/>
  <c r="GM7" i="15"/>
  <c r="GJ7" i="15"/>
  <c r="GG7" i="15"/>
  <c r="FU7" i="15"/>
  <c r="FL7" i="15"/>
  <c r="FI7" i="15"/>
  <c r="FF7" i="15"/>
  <c r="FC7" i="15"/>
  <c r="ET7" i="15"/>
  <c r="EQ7" i="15"/>
  <c r="EQ5" i="15" s="1"/>
  <c r="EN7" i="15"/>
  <c r="EN5" i="15" s="1"/>
  <c r="EH7" i="15"/>
  <c r="EE7" i="15"/>
  <c r="EB7" i="15"/>
  <c r="DY7" i="15"/>
  <c r="DM7" i="15"/>
  <c r="DJ7" i="15"/>
  <c r="DG7" i="15"/>
  <c r="DA7" i="15"/>
  <c r="CX7" i="15"/>
  <c r="CU7" i="15"/>
  <c r="CL7" i="15"/>
  <c r="CI7" i="15"/>
  <c r="CF7" i="15"/>
  <c r="CC7" i="15"/>
  <c r="BZ7" i="15"/>
  <c r="BW7" i="15"/>
  <c r="BT7" i="15"/>
  <c r="BQ7" i="15"/>
  <c r="BN7" i="15"/>
  <c r="BK7" i="15"/>
  <c r="BH7" i="15"/>
  <c r="BE7" i="15"/>
  <c r="BB7" i="15"/>
  <c r="AY7" i="15"/>
  <c r="AV7" i="15"/>
  <c r="AS7" i="15"/>
  <c r="AP7" i="15"/>
  <c r="AM7" i="15"/>
  <c r="AJ7" i="15"/>
  <c r="Z7" i="15"/>
  <c r="W7" i="15"/>
  <c r="W6" i="15" s="1"/>
  <c r="K7" i="15"/>
  <c r="H7" i="15"/>
  <c r="E7" i="15"/>
  <c r="E6" i="15" s="1"/>
  <c r="HB6" i="15"/>
  <c r="GV6" i="15"/>
  <c r="GP6" i="15"/>
  <c r="GM6" i="15"/>
  <c r="GJ6" i="15"/>
  <c r="GG6" i="15"/>
  <c r="GD6" i="15"/>
  <c r="GA6" i="15"/>
  <c r="FU6" i="15"/>
  <c r="FR6" i="15"/>
  <c r="FL6" i="15"/>
  <c r="FI6" i="15"/>
  <c r="FF6" i="15"/>
  <c r="FC6" i="15"/>
  <c r="EZ6" i="15"/>
  <c r="EW6" i="15"/>
  <c r="EK6" i="15"/>
  <c r="EH6" i="15"/>
  <c r="EE6" i="15"/>
  <c r="EB6" i="15"/>
  <c r="DY6" i="15"/>
  <c r="DV6" i="15"/>
  <c r="DS6" i="15"/>
  <c r="DJ6" i="15"/>
  <c r="DD6" i="15"/>
  <c r="DA6" i="15"/>
  <c r="CX6" i="15"/>
  <c r="CU6" i="15"/>
  <c r="CR6" i="15"/>
  <c r="CO6" i="15"/>
  <c r="CL6" i="15"/>
  <c r="CI6" i="15"/>
  <c r="CF6" i="15"/>
  <c r="CC6" i="15"/>
  <c r="BZ6" i="15"/>
  <c r="BW6" i="15"/>
  <c r="BT6" i="15"/>
  <c r="BN6" i="15"/>
  <c r="BK6" i="15"/>
  <c r="AS6" i="15"/>
  <c r="AP6" i="15"/>
  <c r="AM6" i="15"/>
  <c r="AJ6" i="15"/>
  <c r="Z6" i="15"/>
  <c r="K6" i="15"/>
  <c r="H6" i="15"/>
  <c r="HE5" i="15"/>
  <c r="HB5" i="15"/>
  <c r="GV5" i="15"/>
  <c r="GS5" i="15"/>
  <c r="GP5" i="15"/>
  <c r="GM5" i="15"/>
  <c r="GJ5" i="15"/>
  <c r="GG5" i="15"/>
  <c r="GD5" i="15"/>
  <c r="GA5" i="15"/>
  <c r="FX5" i="15"/>
  <c r="FU5" i="15"/>
  <c r="FR5" i="15"/>
  <c r="FO5" i="15"/>
  <c r="FL5" i="15"/>
  <c r="FI5" i="15"/>
  <c r="FF5" i="15"/>
  <c r="FC5" i="15"/>
  <c r="EZ5" i="15"/>
  <c r="EW5" i="15"/>
  <c r="ET5" i="15"/>
  <c r="EK5" i="15"/>
  <c r="EH5" i="15"/>
  <c r="EE5" i="15"/>
  <c r="EB5" i="15"/>
  <c r="DY5" i="15"/>
  <c r="DV5" i="15"/>
  <c r="DS5" i="15"/>
  <c r="DM5" i="15"/>
  <c r="DJ5" i="15"/>
  <c r="DD5" i="15"/>
  <c r="DA5" i="15"/>
  <c r="CX5" i="15"/>
  <c r="CU5" i="15"/>
  <c r="CO5" i="15"/>
  <c r="CR5" i="15" s="1"/>
  <c r="CL5" i="15"/>
  <c r="CI5" i="15"/>
  <c r="CF5" i="15"/>
  <c r="CC5" i="15"/>
  <c r="BZ5" i="15"/>
  <c r="BW5" i="15"/>
  <c r="BT5" i="15"/>
  <c r="BQ5" i="15"/>
  <c r="BN5" i="15"/>
  <c r="BK5" i="15"/>
  <c r="BH5" i="15"/>
  <c r="BE5" i="15"/>
  <c r="BB5" i="15"/>
  <c r="AY5" i="15"/>
  <c r="AV5" i="15"/>
  <c r="AS5" i="15"/>
  <c r="AP5" i="15"/>
  <c r="AM5" i="15"/>
  <c r="AJ5" i="15"/>
  <c r="AG5" i="15"/>
  <c r="AF5" i="15"/>
  <c r="AE5" i="15"/>
  <c r="AD5" i="15"/>
  <c r="AC5" i="15"/>
  <c r="Z5" i="15"/>
  <c r="W5" i="15"/>
  <c r="W3" i="15" s="1"/>
  <c r="T5" i="15"/>
  <c r="Q5" i="15"/>
  <c r="N5" i="15"/>
  <c r="K5" i="15"/>
  <c r="H5" i="15"/>
  <c r="E5" i="15"/>
  <c r="HB2" i="15"/>
  <c r="FX2" i="15"/>
  <c r="FI2" i="15"/>
  <c r="B47" i="16"/>
  <c r="B47" i="17"/>
  <c r="K2" i="14"/>
  <c r="K2" i="17"/>
  <c r="H2" i="17"/>
  <c r="DA4" i="18"/>
  <c r="DA3" i="18"/>
  <c r="CU4" i="18"/>
  <c r="CU3" i="18"/>
  <c r="AG2" i="18"/>
  <c r="AF2" i="18"/>
  <c r="AE2" i="18"/>
  <c r="AD2" i="18"/>
  <c r="AC2" i="18"/>
  <c r="K2" i="18"/>
  <c r="H2" i="18"/>
  <c r="H68" i="18"/>
  <c r="H67" i="18"/>
  <c r="H66" i="18"/>
  <c r="H65" i="18"/>
  <c r="H64" i="18"/>
  <c r="H63" i="18"/>
  <c r="H59" i="18" s="1"/>
  <c r="H62" i="18"/>
  <c r="H55" i="18" s="1"/>
  <c r="H51" i="18" s="1"/>
  <c r="H61" i="18"/>
  <c r="H60" i="18"/>
  <c r="H58" i="18"/>
  <c r="H57" i="18"/>
  <c r="H56" i="18"/>
  <c r="K54" i="18"/>
  <c r="H54" i="18"/>
  <c r="K53" i="18"/>
  <c r="H53" i="18"/>
  <c r="E53" i="18"/>
  <c r="K52" i="18"/>
  <c r="K50" i="18" s="1"/>
  <c r="K51" i="18"/>
  <c r="E51" i="18"/>
  <c r="DA50" i="18"/>
  <c r="E50" i="18"/>
  <c r="H49" i="18"/>
  <c r="H47" i="18" s="1"/>
  <c r="CU48" i="18"/>
  <c r="H48" i="18"/>
  <c r="H46" i="18" s="1"/>
  <c r="E48" i="18"/>
  <c r="E47" i="18"/>
  <c r="DA46" i="18"/>
  <c r="Z46" i="18"/>
  <c r="K46" i="18"/>
  <c r="K11" i="18" s="1"/>
  <c r="E46" i="18"/>
  <c r="K45" i="18"/>
  <c r="E45" i="18"/>
  <c r="DA44" i="18"/>
  <c r="CU44" i="18"/>
  <c r="CU11" i="18" s="1"/>
  <c r="Z44" i="18"/>
  <c r="K44" i="18"/>
  <c r="E44" i="18"/>
  <c r="E52" i="18" s="1"/>
  <c r="E42" i="18" s="1"/>
  <c r="DA43" i="18"/>
  <c r="CU43" i="18"/>
  <c r="Z43" i="18"/>
  <c r="K43" i="18"/>
  <c r="H43" i="18"/>
  <c r="DA42" i="18"/>
  <c r="CU42" i="18"/>
  <c r="Z42" i="18"/>
  <c r="W42" i="18"/>
  <c r="W38" i="18" s="1"/>
  <c r="W26" i="18" s="1"/>
  <c r="K42" i="18"/>
  <c r="HE41" i="18"/>
  <c r="DA41" i="18"/>
  <c r="CU41" i="18"/>
  <c r="K41" i="18"/>
  <c r="HE40" i="18"/>
  <c r="DA40" i="18"/>
  <c r="CU40" i="18"/>
  <c r="K40" i="18"/>
  <c r="H40" i="18"/>
  <c r="HE39" i="18"/>
  <c r="HE37" i="18" s="1"/>
  <c r="HE33" i="18" s="1"/>
  <c r="DA39" i="18"/>
  <c r="CU39" i="18"/>
  <c r="H39" i="18"/>
  <c r="HE38" i="18"/>
  <c r="DA38" i="18"/>
  <c r="DA10" i="18" s="1"/>
  <c r="CU38" i="18"/>
  <c r="AG38" i="18"/>
  <c r="AF38" i="18"/>
  <c r="AE38" i="18"/>
  <c r="AD38" i="18"/>
  <c r="AC38" i="18"/>
  <c r="K38" i="18"/>
  <c r="H38" i="18"/>
  <c r="E38" i="18"/>
  <c r="DA37" i="18"/>
  <c r="CU37" i="18"/>
  <c r="BZ37" i="18"/>
  <c r="AG37" i="18"/>
  <c r="K37" i="18"/>
  <c r="H37" i="18"/>
  <c r="HE36" i="18"/>
  <c r="DA36" i="18"/>
  <c r="CU36" i="18"/>
  <c r="BN36" i="18"/>
  <c r="BK36" i="18"/>
  <c r="BE36" i="18"/>
  <c r="BB36" i="18"/>
  <c r="AV36" i="18"/>
  <c r="AS36" i="18"/>
  <c r="AM36" i="18"/>
  <c r="AJ36" i="18"/>
  <c r="AF36" i="18"/>
  <c r="Z36" i="18"/>
  <c r="Z41" i="18" s="1"/>
  <c r="W36" i="18"/>
  <c r="Q36" i="18"/>
  <c r="N36" i="18"/>
  <c r="K36" i="18"/>
  <c r="K20" i="18" s="1"/>
  <c r="H36" i="18"/>
  <c r="E36" i="18"/>
  <c r="HE35" i="18"/>
  <c r="DA35" i="18"/>
  <c r="CU35" i="18"/>
  <c r="BN35" i="18"/>
  <c r="BK35" i="18"/>
  <c r="BE35" i="18"/>
  <c r="BB35" i="18"/>
  <c r="AV35" i="18"/>
  <c r="AS35" i="18"/>
  <c r="AM35" i="18"/>
  <c r="AJ35" i="18"/>
  <c r="AE35" i="18"/>
  <c r="AD35" i="18"/>
  <c r="AC35" i="18"/>
  <c r="Z35" i="18"/>
  <c r="W35" i="18"/>
  <c r="Q35" i="18"/>
  <c r="N35" i="18"/>
  <c r="K35" i="18"/>
  <c r="H35" i="18"/>
  <c r="E35" i="18"/>
  <c r="HE34" i="18"/>
  <c r="DA34" i="18"/>
  <c r="DA24" i="18" s="1"/>
  <c r="CU34" i="18"/>
  <c r="CU25" i="18" s="1"/>
  <c r="BN34" i="18"/>
  <c r="BK34" i="18"/>
  <c r="BE34" i="18"/>
  <c r="BB34" i="18"/>
  <c r="AV34" i="18"/>
  <c r="AS34" i="18"/>
  <c r="AM34" i="18"/>
  <c r="AJ34" i="18"/>
  <c r="Q34" i="18"/>
  <c r="N34" i="18"/>
  <c r="K34" i="18"/>
  <c r="H34" i="18"/>
  <c r="E34" i="18"/>
  <c r="CL6" i="18" s="1"/>
  <c r="CL2" i="18" s="1"/>
  <c r="DA33" i="18"/>
  <c r="CU33" i="18"/>
  <c r="BN33" i="18"/>
  <c r="BK33" i="18"/>
  <c r="BE33" i="18"/>
  <c r="BB33" i="18"/>
  <c r="AV33" i="18"/>
  <c r="AS33" i="18"/>
  <c r="AM33" i="18"/>
  <c r="AJ33" i="18"/>
  <c r="Z33" i="18"/>
  <c r="W33" i="18"/>
  <c r="Q33" i="18"/>
  <c r="N33" i="18"/>
  <c r="K33" i="18"/>
  <c r="H33" i="18"/>
  <c r="E33" i="18"/>
  <c r="HE32" i="18"/>
  <c r="DA32" i="18"/>
  <c r="CU32" i="18"/>
  <c r="CF32" i="18"/>
  <c r="CC32" i="18"/>
  <c r="BZ32" i="18"/>
  <c r="BW32" i="18"/>
  <c r="BN32" i="18"/>
  <c r="BK32" i="18"/>
  <c r="BE32" i="18"/>
  <c r="BB32" i="18"/>
  <c r="AV32" i="18"/>
  <c r="AS32" i="18"/>
  <c r="AM32" i="18"/>
  <c r="AJ32" i="18"/>
  <c r="Z32" i="18"/>
  <c r="W32" i="18"/>
  <c r="K32" i="18"/>
  <c r="H32" i="18"/>
  <c r="H15" i="18" s="1"/>
  <c r="E32" i="18"/>
  <c r="E37" i="18" s="1"/>
  <c r="E30" i="18" s="1"/>
  <c r="HE31" i="18"/>
  <c r="DA31" i="18"/>
  <c r="CU31" i="18"/>
  <c r="CL31" i="18"/>
  <c r="CF31" i="18"/>
  <c r="CC31" i="18"/>
  <c r="BZ31" i="18"/>
  <c r="BN31" i="18"/>
  <c r="BK31" i="18"/>
  <c r="BE31" i="18"/>
  <c r="BB31" i="18"/>
  <c r="AV31" i="18"/>
  <c r="AS31" i="18"/>
  <c r="AM31" i="18"/>
  <c r="AJ31" i="18"/>
  <c r="Z31" i="18"/>
  <c r="W31" i="18"/>
  <c r="K31" i="18"/>
  <c r="K25" i="18" s="1"/>
  <c r="H31" i="18"/>
  <c r="HE30" i="18"/>
  <c r="DA30" i="18"/>
  <c r="CU30" i="18"/>
  <c r="CU24" i="18" s="1"/>
  <c r="CO30" i="18"/>
  <c r="CL30" i="18"/>
  <c r="CF30" i="18"/>
  <c r="CC30" i="18"/>
  <c r="BZ30" i="18"/>
  <c r="BN30" i="18"/>
  <c r="BK30" i="18"/>
  <c r="BE30" i="18"/>
  <c r="BB30" i="18"/>
  <c r="AV30" i="18"/>
  <c r="AS30" i="18"/>
  <c r="AM30" i="18"/>
  <c r="AJ30" i="18"/>
  <c r="Z30" i="18"/>
  <c r="W30" i="18"/>
  <c r="K30" i="18"/>
  <c r="H30" i="18"/>
  <c r="HE29" i="18"/>
  <c r="DA29" i="18"/>
  <c r="CU29" i="18"/>
  <c r="CO29" i="18"/>
  <c r="CL29" i="18"/>
  <c r="CF29" i="18"/>
  <c r="CC29" i="18"/>
  <c r="BZ29" i="18"/>
  <c r="BT29" i="18"/>
  <c r="BN29" i="18"/>
  <c r="BK29" i="18"/>
  <c r="BE29" i="18"/>
  <c r="BB29" i="18"/>
  <c r="AV29" i="18"/>
  <c r="AS29" i="18"/>
  <c r="AM29" i="18"/>
  <c r="AJ29" i="18"/>
  <c r="AJ25" i="18" s="1"/>
  <c r="AJ21" i="18" s="1"/>
  <c r="Z29" i="18"/>
  <c r="Z28" i="18" s="1"/>
  <c r="W29" i="18"/>
  <c r="W28" i="18" s="1"/>
  <c r="W41" i="18" s="1"/>
  <c r="Q29" i="18"/>
  <c r="N29" i="18"/>
  <c r="K29" i="18"/>
  <c r="H29" i="18"/>
  <c r="H25" i="18" s="1"/>
  <c r="HE28" i="18"/>
  <c r="HE27" i="18" s="1"/>
  <c r="DA28" i="18"/>
  <c r="CU28" i="18"/>
  <c r="CO28" i="18"/>
  <c r="CL28" i="18"/>
  <c r="CF28" i="18"/>
  <c r="CC28" i="18"/>
  <c r="BZ28" i="18"/>
  <c r="BT28" i="18"/>
  <c r="BN28" i="18"/>
  <c r="BK28" i="18"/>
  <c r="BE28" i="18"/>
  <c r="BB28" i="18"/>
  <c r="AV28" i="18"/>
  <c r="AS28" i="18"/>
  <c r="AM28" i="18"/>
  <c r="AJ28" i="18"/>
  <c r="AG28" i="18"/>
  <c r="AF28" i="18"/>
  <c r="AF27" i="18" s="1"/>
  <c r="AE28" i="18"/>
  <c r="AE27" i="18" s="1"/>
  <c r="AD28" i="18"/>
  <c r="AC28" i="18"/>
  <c r="Q28" i="18"/>
  <c r="N28" i="18"/>
  <c r="K28" i="18"/>
  <c r="H28" i="18"/>
  <c r="HB27" i="18"/>
  <c r="GM27" i="18"/>
  <c r="FI27" i="18"/>
  <c r="ET27" i="18"/>
  <c r="EE27" i="18"/>
  <c r="DA27" i="18"/>
  <c r="DA23" i="18" s="1"/>
  <c r="CU27" i="18"/>
  <c r="CO27" i="18"/>
  <c r="CL27" i="18"/>
  <c r="CF27" i="18"/>
  <c r="CC27" i="18"/>
  <c r="BZ27" i="18"/>
  <c r="BZ17" i="18" s="1"/>
  <c r="BW27" i="18"/>
  <c r="BT27" i="18"/>
  <c r="BN27" i="18"/>
  <c r="BN26" i="18" s="1"/>
  <c r="BK27" i="18"/>
  <c r="BE27" i="18"/>
  <c r="BB27" i="18"/>
  <c r="AV27" i="18"/>
  <c r="AV26" i="18" s="1"/>
  <c r="AS27" i="18"/>
  <c r="AS26" i="18" s="1"/>
  <c r="AM27" i="18"/>
  <c r="AM26" i="18" s="1"/>
  <c r="AJ27" i="18"/>
  <c r="AJ26" i="18" s="1"/>
  <c r="AG27" i="18"/>
  <c r="AD27" i="18"/>
  <c r="AC27" i="18"/>
  <c r="Z27" i="18"/>
  <c r="Z39" i="18" s="1"/>
  <c r="W27" i="18"/>
  <c r="W39" i="18" s="1"/>
  <c r="Q27" i="18"/>
  <c r="Q26" i="18" s="1"/>
  <c r="Q21" i="18" s="1"/>
  <c r="N27" i="18"/>
  <c r="N26" i="18" s="1"/>
  <c r="N21" i="18" s="1"/>
  <c r="K27" i="18"/>
  <c r="H27" i="18"/>
  <c r="HB26" i="18"/>
  <c r="GM26" i="18"/>
  <c r="FI26" i="18"/>
  <c r="ET26" i="18"/>
  <c r="EE26" i="18"/>
  <c r="EE24" i="18" s="1"/>
  <c r="DP26" i="18"/>
  <c r="DG26" i="18"/>
  <c r="DA26" i="18"/>
  <c r="CX26" i="18"/>
  <c r="CU26" i="18"/>
  <c r="CO26" i="18"/>
  <c r="CL26" i="18"/>
  <c r="CF26" i="18"/>
  <c r="CC26" i="18"/>
  <c r="BZ26" i="18"/>
  <c r="BW26" i="18"/>
  <c r="BT26" i="18"/>
  <c r="BK26" i="18"/>
  <c r="BE26" i="18"/>
  <c r="BB26" i="18"/>
  <c r="AD26" i="18"/>
  <c r="AD30" i="18" s="1"/>
  <c r="K26" i="18"/>
  <c r="H26" i="18"/>
  <c r="E26" i="18"/>
  <c r="HE25" i="18"/>
  <c r="HB25" i="18"/>
  <c r="GM25" i="18"/>
  <c r="GM23" i="18" s="1"/>
  <c r="FI25" i="18"/>
  <c r="FI23" i="18" s="1"/>
  <c r="ET25" i="18"/>
  <c r="ET23" i="18" s="1"/>
  <c r="EE25" i="18"/>
  <c r="EE23" i="18" s="1"/>
  <c r="DP25" i="18"/>
  <c r="DP23" i="18" s="1"/>
  <c r="DA25" i="18"/>
  <c r="CX25" i="18"/>
  <c r="CO25" i="18"/>
  <c r="CL25" i="18"/>
  <c r="CF25" i="18"/>
  <c r="CC25" i="18"/>
  <c r="CC24" i="18" s="1"/>
  <c r="BZ25" i="18"/>
  <c r="BZ33" i="18" s="1"/>
  <c r="BZ10" i="18" s="1"/>
  <c r="BW25" i="18"/>
  <c r="BT25" i="18"/>
  <c r="BE25" i="18"/>
  <c r="BB25" i="18"/>
  <c r="AV25" i="18"/>
  <c r="AS25" i="18"/>
  <c r="AM25" i="18"/>
  <c r="AG25" i="18"/>
  <c r="AF25" i="18"/>
  <c r="AE25" i="18"/>
  <c r="AD25" i="18"/>
  <c r="AC25" i="18"/>
  <c r="E25" i="18"/>
  <c r="HB24" i="18"/>
  <c r="GM24" i="18"/>
  <c r="FI24" i="18"/>
  <c r="ET24" i="18"/>
  <c r="DP24" i="18"/>
  <c r="CX24" i="18"/>
  <c r="CO24" i="18"/>
  <c r="CL24" i="18"/>
  <c r="CF24" i="18"/>
  <c r="BZ24" i="18"/>
  <c r="BW24" i="18"/>
  <c r="BN24" i="18"/>
  <c r="BK24" i="18"/>
  <c r="BE24" i="18"/>
  <c r="BB24" i="18"/>
  <c r="AV24" i="18"/>
  <c r="AS24" i="18"/>
  <c r="AM24" i="18"/>
  <c r="AJ24" i="18"/>
  <c r="AG24" i="18"/>
  <c r="AF24" i="18"/>
  <c r="AE24" i="18"/>
  <c r="AD24" i="18"/>
  <c r="AC24" i="18"/>
  <c r="Q24" i="18"/>
  <c r="N24" i="18"/>
  <c r="K24" i="18"/>
  <c r="H24" i="18"/>
  <c r="E24" i="18"/>
  <c r="HB23" i="18"/>
  <c r="DG23" i="18"/>
  <c r="DG20" i="18" s="1"/>
  <c r="DD23" i="18"/>
  <c r="CR23" i="18"/>
  <c r="CO23" i="18"/>
  <c r="BZ23" i="18"/>
  <c r="BW23" i="18"/>
  <c r="AG23" i="18"/>
  <c r="AF23" i="18"/>
  <c r="AE23" i="18"/>
  <c r="AD23" i="18"/>
  <c r="AC23" i="18"/>
  <c r="K23" i="18"/>
  <c r="H23" i="18"/>
  <c r="HB22" i="18"/>
  <c r="GM22" i="18"/>
  <c r="FI22" i="18"/>
  <c r="FI16" i="18" s="1"/>
  <c r="ET22" i="18"/>
  <c r="ET16" i="18" s="1"/>
  <c r="EE22" i="18"/>
  <c r="DP22" i="18"/>
  <c r="DD22" i="18"/>
  <c r="CO22" i="18"/>
  <c r="CR22" i="18" s="1"/>
  <c r="CL22" i="18"/>
  <c r="CF22" i="18"/>
  <c r="CC22" i="18"/>
  <c r="BZ22" i="18"/>
  <c r="BW22" i="18"/>
  <c r="K22" i="18"/>
  <c r="HB21" i="18"/>
  <c r="GM21" i="18"/>
  <c r="FI21" i="18"/>
  <c r="ET21" i="18"/>
  <c r="EE21" i="18"/>
  <c r="DP21" i="18"/>
  <c r="DD21" i="18"/>
  <c r="BZ21" i="18"/>
  <c r="BW21" i="18"/>
  <c r="BE21" i="18"/>
  <c r="BB21" i="18"/>
  <c r="AG21" i="18"/>
  <c r="AF21" i="18"/>
  <c r="AE21" i="18"/>
  <c r="AD21" i="18"/>
  <c r="AC21" i="18"/>
  <c r="K21" i="18"/>
  <c r="K19" i="18" s="1"/>
  <c r="HB20" i="18"/>
  <c r="GM20" i="18"/>
  <c r="GA20" i="18"/>
  <c r="FL20" i="18"/>
  <c r="FI20" i="18"/>
  <c r="EW20" i="18"/>
  <c r="ET20" i="18"/>
  <c r="EH20" i="18"/>
  <c r="EE20" i="18"/>
  <c r="DS20" i="18"/>
  <c r="DP20" i="18"/>
  <c r="DD20" i="18"/>
  <c r="BZ20" i="18"/>
  <c r="BW20" i="18"/>
  <c r="BT20" i="18"/>
  <c r="AG20" i="18"/>
  <c r="AF20" i="18"/>
  <c r="AE20" i="18"/>
  <c r="AD20" i="18"/>
  <c r="AC20" i="18"/>
  <c r="Z20" i="18"/>
  <c r="W20" i="18"/>
  <c r="H20" i="18"/>
  <c r="HB19" i="18"/>
  <c r="GP19" i="18"/>
  <c r="GM19" i="18"/>
  <c r="GA19" i="18"/>
  <c r="GA18" i="18" s="1"/>
  <c r="FL19" i="18"/>
  <c r="FI19" i="18"/>
  <c r="EW19" i="18"/>
  <c r="ET19" i="18"/>
  <c r="EH19" i="18"/>
  <c r="EE19" i="18"/>
  <c r="DS19" i="18"/>
  <c r="DP19" i="18"/>
  <c r="DP11" i="18" s="1"/>
  <c r="DP6" i="18" s="1"/>
  <c r="CX19" i="18"/>
  <c r="BZ19" i="18"/>
  <c r="BZ16" i="18" s="1"/>
  <c r="BW19" i="18"/>
  <c r="AG19" i="18"/>
  <c r="AF19" i="18"/>
  <c r="AE19" i="18"/>
  <c r="AD19" i="18"/>
  <c r="AC19" i="18"/>
  <c r="Z19" i="18"/>
  <c r="H19" i="18"/>
  <c r="HB18" i="18"/>
  <c r="GP18" i="18"/>
  <c r="GP17" i="18" s="1"/>
  <c r="GM18" i="18"/>
  <c r="FL18" i="18"/>
  <c r="FI18" i="18"/>
  <c r="EW18" i="18"/>
  <c r="ET18" i="18"/>
  <c r="EH18" i="18"/>
  <c r="EE18" i="18"/>
  <c r="DS18" i="18"/>
  <c r="DP18" i="18"/>
  <c r="CX18" i="18"/>
  <c r="BZ18" i="18"/>
  <c r="BW18" i="18"/>
  <c r="BT18" i="18"/>
  <c r="AG18" i="18"/>
  <c r="AF18" i="18"/>
  <c r="AE18" i="18"/>
  <c r="AD18" i="18"/>
  <c r="AC18" i="18"/>
  <c r="H18" i="18"/>
  <c r="E18" i="18"/>
  <c r="BT19" i="18" s="1"/>
  <c r="HB17" i="18"/>
  <c r="GM17" i="18"/>
  <c r="FI17" i="18"/>
  <c r="ET17" i="18"/>
  <c r="EE17" i="18"/>
  <c r="DP17" i="18"/>
  <c r="DD17" i="18"/>
  <c r="CX17" i="18"/>
  <c r="BW17" i="18"/>
  <c r="BW15" i="18" s="1"/>
  <c r="BT17" i="18"/>
  <c r="BT11" i="18" s="1"/>
  <c r="BQ17" i="18"/>
  <c r="BN17" i="18"/>
  <c r="BK17" i="18"/>
  <c r="BH17" i="18"/>
  <c r="BE17" i="18"/>
  <c r="BB17" i="18"/>
  <c r="AY17" i="18"/>
  <c r="AV17" i="18"/>
  <c r="AS17" i="18"/>
  <c r="AP17" i="18"/>
  <c r="AM17" i="18"/>
  <c r="AJ17" i="18"/>
  <c r="AG17" i="18"/>
  <c r="AF17" i="18"/>
  <c r="AE17" i="18"/>
  <c r="AD17" i="18"/>
  <c r="AC17" i="18"/>
  <c r="Z17" i="18"/>
  <c r="W17" i="18"/>
  <c r="T17" i="18"/>
  <c r="Q17" i="18"/>
  <c r="N17" i="18"/>
  <c r="H17" i="18"/>
  <c r="E17" i="18"/>
  <c r="HB16" i="18"/>
  <c r="GM16" i="18"/>
  <c r="GA16" i="18"/>
  <c r="FL16" i="18"/>
  <c r="EW16" i="18"/>
  <c r="EH16" i="18"/>
  <c r="EE16" i="18"/>
  <c r="DP16" i="18"/>
  <c r="DD16" i="18"/>
  <c r="CX16" i="18"/>
  <c r="BW16" i="18"/>
  <c r="BT16" i="18"/>
  <c r="BQ16" i="18"/>
  <c r="BN16" i="18"/>
  <c r="BK16" i="18"/>
  <c r="BH16" i="18"/>
  <c r="BE16" i="18"/>
  <c r="BB16" i="18"/>
  <c r="AY16" i="18"/>
  <c r="AV16" i="18"/>
  <c r="AS16" i="18"/>
  <c r="AP16" i="18"/>
  <c r="AM16" i="18"/>
  <c r="AJ16" i="18"/>
  <c r="AG16" i="18"/>
  <c r="AF16" i="18"/>
  <c r="AE16" i="18"/>
  <c r="AD16" i="18"/>
  <c r="AC16" i="18"/>
  <c r="T16" i="18"/>
  <c r="Q16" i="18"/>
  <c r="N16" i="18"/>
  <c r="H16" i="18"/>
  <c r="H11" i="18" s="1"/>
  <c r="E16" i="18"/>
  <c r="HB15" i="18"/>
  <c r="GP15" i="18"/>
  <c r="GM15" i="18"/>
  <c r="FI15" i="18"/>
  <c r="ET15" i="18"/>
  <c r="EB15" i="18"/>
  <c r="DP15" i="18"/>
  <c r="DD15" i="18"/>
  <c r="CX15" i="18"/>
  <c r="CI15" i="18"/>
  <c r="CF15" i="18"/>
  <c r="CC15" i="18"/>
  <c r="BT15" i="18"/>
  <c r="BQ15" i="18"/>
  <c r="BN15" i="18"/>
  <c r="BK15" i="18"/>
  <c r="BH15" i="18"/>
  <c r="BE15" i="18"/>
  <c r="BB15" i="18"/>
  <c r="AY15" i="18"/>
  <c r="AV15" i="18"/>
  <c r="AS15" i="18"/>
  <c r="AP15" i="18"/>
  <c r="AM15" i="18"/>
  <c r="AJ15" i="18"/>
  <c r="T15" i="18"/>
  <c r="Q15" i="18"/>
  <c r="N15" i="18"/>
  <c r="E15" i="18"/>
  <c r="HE14" i="18"/>
  <c r="HB14" i="18"/>
  <c r="GP14" i="18"/>
  <c r="GY14" i="18" s="1"/>
  <c r="GM14" i="18"/>
  <c r="GA14" i="18"/>
  <c r="GJ14" i="18" s="1"/>
  <c r="FL14" i="18"/>
  <c r="FU7" i="18" s="1"/>
  <c r="FI14" i="18"/>
  <c r="EW14" i="18"/>
  <c r="FF14" i="18" s="1"/>
  <c r="ET14" i="18"/>
  <c r="EH14" i="18"/>
  <c r="EQ14" i="18" s="1"/>
  <c r="EE14" i="18"/>
  <c r="EB14" i="18"/>
  <c r="DY14" i="18"/>
  <c r="DS14" i="18"/>
  <c r="DP14" i="18"/>
  <c r="DD14" i="18"/>
  <c r="CX14" i="18"/>
  <c r="CL14" i="18"/>
  <c r="CI14" i="18"/>
  <c r="CF14" i="18"/>
  <c r="CC14" i="18"/>
  <c r="BW14" i="18"/>
  <c r="BT14" i="18"/>
  <c r="BQ14" i="18"/>
  <c r="BN14" i="18"/>
  <c r="BK14" i="18"/>
  <c r="BH14" i="18"/>
  <c r="BE14" i="18"/>
  <c r="BB14" i="18"/>
  <c r="AY14" i="18"/>
  <c r="AV14" i="18"/>
  <c r="AS14" i="18"/>
  <c r="AP14" i="18"/>
  <c r="AM14" i="18"/>
  <c r="AJ14" i="18"/>
  <c r="AG14" i="18"/>
  <c r="AF14" i="18"/>
  <c r="AE14" i="18"/>
  <c r="AD14" i="18"/>
  <c r="AC14" i="18"/>
  <c r="Z14" i="18"/>
  <c r="W14" i="18"/>
  <c r="T14" i="18"/>
  <c r="Q14" i="18"/>
  <c r="N14" i="18"/>
  <c r="E14" i="18"/>
  <c r="HB13" i="18"/>
  <c r="HB2" i="18" s="1"/>
  <c r="GY13" i="18"/>
  <c r="GV13" i="18"/>
  <c r="GP13" i="18"/>
  <c r="GM13" i="18"/>
  <c r="GJ13" i="18"/>
  <c r="GG13" i="18"/>
  <c r="GA13" i="18"/>
  <c r="FL13" i="18"/>
  <c r="FI13" i="18"/>
  <c r="FF13" i="18"/>
  <c r="FC13" i="18"/>
  <c r="EW13" i="18"/>
  <c r="ET13" i="18"/>
  <c r="EQ13" i="18"/>
  <c r="EN13" i="18"/>
  <c r="EH13" i="18"/>
  <c r="EE13" i="18"/>
  <c r="EB13" i="18"/>
  <c r="DY13" i="18"/>
  <c r="DS13" i="18"/>
  <c r="DP13" i="18"/>
  <c r="DD13" i="18"/>
  <c r="CX13" i="18"/>
  <c r="CU13" i="18"/>
  <c r="CU12" i="18" s="1"/>
  <c r="CO13" i="18"/>
  <c r="CL13" i="18"/>
  <c r="CI13" i="18"/>
  <c r="CF13" i="18"/>
  <c r="CC13" i="18"/>
  <c r="BW13" i="18"/>
  <c r="BT13" i="18"/>
  <c r="BQ13" i="18"/>
  <c r="BN13" i="18"/>
  <c r="BK13" i="18"/>
  <c r="BH13" i="18"/>
  <c r="BE13" i="18"/>
  <c r="BB13" i="18"/>
  <c r="AY13" i="18"/>
  <c r="AV13" i="18"/>
  <c r="AS13" i="18"/>
  <c r="AP13" i="18"/>
  <c r="AM13" i="18"/>
  <c r="AJ13" i="18"/>
  <c r="AG13" i="18"/>
  <c r="AF13" i="18"/>
  <c r="Z13" i="18"/>
  <c r="W13" i="18"/>
  <c r="T13" i="18"/>
  <c r="Q13" i="18"/>
  <c r="K13" i="18"/>
  <c r="K12" i="18" s="1"/>
  <c r="E13" i="18"/>
  <c r="HB12" i="18"/>
  <c r="GY12" i="18"/>
  <c r="GV12" i="18"/>
  <c r="GP12" i="18"/>
  <c r="GP7" i="18" s="1"/>
  <c r="GM12" i="18"/>
  <c r="GJ12" i="18"/>
  <c r="GG12" i="18"/>
  <c r="GA12" i="18"/>
  <c r="FL12" i="18"/>
  <c r="FI12" i="18"/>
  <c r="FF12" i="18"/>
  <c r="FC12" i="18"/>
  <c r="EW12" i="18"/>
  <c r="ET12" i="18"/>
  <c r="EQ12" i="18"/>
  <c r="EN12" i="18"/>
  <c r="EH12" i="18"/>
  <c r="EE12" i="18"/>
  <c r="EB12" i="18"/>
  <c r="DY12" i="18"/>
  <c r="DS12" i="18"/>
  <c r="DP12" i="18"/>
  <c r="DD12" i="18"/>
  <c r="DA12" i="18"/>
  <c r="CX12" i="18"/>
  <c r="CO12" i="18"/>
  <c r="CL12" i="18"/>
  <c r="CI12" i="18"/>
  <c r="CF12" i="18"/>
  <c r="CC12" i="18"/>
  <c r="BZ12" i="18"/>
  <c r="BT12" i="18"/>
  <c r="BQ12" i="18"/>
  <c r="BN12" i="18"/>
  <c r="BK12" i="18"/>
  <c r="BQ6" i="18" s="1"/>
  <c r="BH12" i="18"/>
  <c r="BE12" i="18"/>
  <c r="BB12" i="18"/>
  <c r="AY12" i="18"/>
  <c r="AV12" i="18"/>
  <c r="AS12" i="18"/>
  <c r="AP12" i="18"/>
  <c r="AM12" i="18"/>
  <c r="AJ12" i="18"/>
  <c r="AG12" i="18"/>
  <c r="AF12" i="18"/>
  <c r="E12" i="18"/>
  <c r="HE11" i="18"/>
  <c r="HB11" i="18"/>
  <c r="GY11" i="18"/>
  <c r="GV11" i="18"/>
  <c r="GP11" i="18"/>
  <c r="GM11" i="18"/>
  <c r="GJ11" i="18"/>
  <c r="GG11" i="18"/>
  <c r="GA11" i="18"/>
  <c r="FL11" i="18"/>
  <c r="FI11" i="18"/>
  <c r="FF11" i="18"/>
  <c r="FC11" i="18"/>
  <c r="EW11" i="18"/>
  <c r="ET11" i="18"/>
  <c r="EQ11" i="18"/>
  <c r="EN11" i="18"/>
  <c r="EH11" i="18"/>
  <c r="EE11" i="18"/>
  <c r="EB11" i="18"/>
  <c r="DY11" i="18"/>
  <c r="DS11" i="18"/>
  <c r="DD11" i="18"/>
  <c r="DA11" i="18"/>
  <c r="CX11" i="18"/>
  <c r="CO11" i="18"/>
  <c r="CL11" i="18"/>
  <c r="CI11" i="18"/>
  <c r="CF11" i="18"/>
  <c r="CC11" i="18"/>
  <c r="BZ11" i="18"/>
  <c r="BQ11" i="18"/>
  <c r="BN11" i="18"/>
  <c r="BK11" i="18"/>
  <c r="BH11" i="18"/>
  <c r="BE11" i="18"/>
  <c r="BB11" i="18"/>
  <c r="AY11" i="18"/>
  <c r="AV11" i="18"/>
  <c r="AS11" i="18"/>
  <c r="AP11" i="18"/>
  <c r="AM11" i="18"/>
  <c r="AJ11" i="18"/>
  <c r="AG11" i="18"/>
  <c r="AG26" i="18" s="1"/>
  <c r="AG30" i="18" s="1"/>
  <c r="AF11" i="18"/>
  <c r="AF26" i="18" s="1"/>
  <c r="AE11" i="18"/>
  <c r="AE26" i="18" s="1"/>
  <c r="AD11" i="18"/>
  <c r="AC11" i="18"/>
  <c r="AC26" i="18" s="1"/>
  <c r="AC30" i="18" s="1"/>
  <c r="Z11" i="18"/>
  <c r="W11" i="18"/>
  <c r="E11" i="18"/>
  <c r="HE10" i="18"/>
  <c r="HB10" i="18"/>
  <c r="GY10" i="18"/>
  <c r="GV10" i="18"/>
  <c r="GP10" i="18"/>
  <c r="GM10" i="18"/>
  <c r="GJ10" i="18"/>
  <c r="GG10" i="18"/>
  <c r="GA10" i="18"/>
  <c r="FL10" i="18"/>
  <c r="FI10" i="18"/>
  <c r="FF10" i="18"/>
  <c r="FC10" i="18"/>
  <c r="EW10" i="18"/>
  <c r="ET10" i="18"/>
  <c r="EQ10" i="18"/>
  <c r="EN10" i="18"/>
  <c r="EH10" i="18"/>
  <c r="EE10" i="18"/>
  <c r="EB10" i="18"/>
  <c r="DY10" i="18"/>
  <c r="DS10" i="18"/>
  <c r="DP10" i="18"/>
  <c r="DG10" i="18"/>
  <c r="DD10" i="18"/>
  <c r="CX10" i="18"/>
  <c r="CU10" i="18"/>
  <c r="CO10" i="18"/>
  <c r="CL10" i="18"/>
  <c r="CI10" i="18"/>
  <c r="CF10" i="18"/>
  <c r="CC10" i="18"/>
  <c r="BQ10" i="18"/>
  <c r="BN10" i="18"/>
  <c r="BK10" i="18"/>
  <c r="BH10" i="18"/>
  <c r="BE10" i="18"/>
  <c r="BB10" i="18"/>
  <c r="AY10" i="18"/>
  <c r="AV10" i="18"/>
  <c r="AS10" i="18"/>
  <c r="AS6" i="18" s="1"/>
  <c r="AP10" i="18"/>
  <c r="AP6" i="18" s="1"/>
  <c r="AP2" i="18" s="1"/>
  <c r="AM10" i="18"/>
  <c r="AM6" i="18" s="1"/>
  <c r="AJ10" i="18"/>
  <c r="AJ6" i="18" s="1"/>
  <c r="Z10" i="18"/>
  <c r="W10" i="18"/>
  <c r="T10" i="18"/>
  <c r="Q10" i="18"/>
  <c r="N10" i="18"/>
  <c r="K10" i="18"/>
  <c r="E10" i="18"/>
  <c r="BT10" i="18" s="1"/>
  <c r="HE9" i="18"/>
  <c r="HB9" i="18"/>
  <c r="GY9" i="18"/>
  <c r="GV9" i="18"/>
  <c r="GP9" i="18"/>
  <c r="GM9" i="18"/>
  <c r="GJ9" i="18"/>
  <c r="GG9" i="18"/>
  <c r="GA9" i="18"/>
  <c r="FL9" i="18"/>
  <c r="FI9" i="18"/>
  <c r="FF9" i="18"/>
  <c r="FC9" i="18"/>
  <c r="EW9" i="18"/>
  <c r="ET9" i="18"/>
  <c r="EQ9" i="18"/>
  <c r="EN9" i="18"/>
  <c r="EH9" i="18"/>
  <c r="EE9" i="18"/>
  <c r="EB9" i="18"/>
  <c r="DY9" i="18"/>
  <c r="DS9" i="18"/>
  <c r="DP9" i="18"/>
  <c r="DM9" i="18"/>
  <c r="DD9" i="18"/>
  <c r="DA9" i="18"/>
  <c r="CX9" i="18"/>
  <c r="CU9" i="18"/>
  <c r="CO9" i="18"/>
  <c r="CL9" i="18"/>
  <c r="CI9" i="18"/>
  <c r="CF9" i="18"/>
  <c r="CC9" i="18"/>
  <c r="BZ9" i="18"/>
  <c r="BW9" i="18"/>
  <c r="BT9" i="18"/>
  <c r="BQ9" i="18"/>
  <c r="BN9" i="18"/>
  <c r="BK9" i="18"/>
  <c r="BH9" i="18"/>
  <c r="BE9" i="18"/>
  <c r="BB9" i="18"/>
  <c r="AY9" i="18"/>
  <c r="AV9" i="18"/>
  <c r="AS9" i="18"/>
  <c r="AP9" i="18"/>
  <c r="AM9" i="18"/>
  <c r="AJ9" i="18"/>
  <c r="AG9" i="18"/>
  <c r="AG32" i="18" s="1"/>
  <c r="AF9" i="18"/>
  <c r="AE9" i="18"/>
  <c r="AD9" i="18"/>
  <c r="AC9" i="18"/>
  <c r="AC32" i="18" s="1"/>
  <c r="Z9" i="18"/>
  <c r="W9" i="18"/>
  <c r="N9" i="18"/>
  <c r="K9" i="18"/>
  <c r="H9" i="18"/>
  <c r="E9" i="18"/>
  <c r="HE8" i="18"/>
  <c r="HE7" i="18" s="1"/>
  <c r="HB8" i="18"/>
  <c r="GY8" i="18"/>
  <c r="GV8" i="18"/>
  <c r="GP8" i="18"/>
  <c r="GM8" i="18"/>
  <c r="GM6" i="18" s="1"/>
  <c r="GJ8" i="18"/>
  <c r="GG8" i="18"/>
  <c r="GA8" i="18"/>
  <c r="FL8" i="18"/>
  <c r="FL7" i="18" s="1"/>
  <c r="FI8" i="18"/>
  <c r="FI6" i="18" s="1"/>
  <c r="FF8" i="18"/>
  <c r="FF6" i="18" s="1"/>
  <c r="FC8" i="18"/>
  <c r="FC6" i="18" s="1"/>
  <c r="EW8" i="18"/>
  <c r="EW7" i="18" s="1"/>
  <c r="EW2" i="18" s="1"/>
  <c r="ET8" i="18"/>
  <c r="EQ8" i="18"/>
  <c r="EN8" i="18"/>
  <c r="EH8" i="18"/>
  <c r="EH7" i="18" s="1"/>
  <c r="EH2" i="18" s="1"/>
  <c r="EE8" i="18"/>
  <c r="EE6" i="18" s="1"/>
  <c r="EB8" i="18"/>
  <c r="EB6" i="18" s="1"/>
  <c r="DY8" i="18"/>
  <c r="DY6" i="18" s="1"/>
  <c r="DS8" i="18"/>
  <c r="DS7" i="18" s="1"/>
  <c r="DS2" i="18" s="1"/>
  <c r="DP8" i="18"/>
  <c r="DM8" i="18"/>
  <c r="DM6" i="18" s="1"/>
  <c r="DJ8" i="18"/>
  <c r="DJ6" i="18" s="1"/>
  <c r="DD8" i="18"/>
  <c r="DA8" i="18"/>
  <c r="CX8" i="18"/>
  <c r="CU8" i="18"/>
  <c r="CO8" i="18"/>
  <c r="CO6" i="18" s="1"/>
  <c r="CL8" i="18"/>
  <c r="CI8" i="18"/>
  <c r="CF8" i="18"/>
  <c r="CC8" i="18"/>
  <c r="BZ8" i="18"/>
  <c r="BW8" i="18"/>
  <c r="BT8" i="18"/>
  <c r="BT22" i="18" s="1"/>
  <c r="BQ8" i="18"/>
  <c r="BQ7" i="18" s="1"/>
  <c r="BN8" i="18"/>
  <c r="BK8" i="18"/>
  <c r="BH8" i="18"/>
  <c r="BE8" i="18"/>
  <c r="BB8" i="18"/>
  <c r="AY8" i="18"/>
  <c r="AV8" i="18"/>
  <c r="AS8" i="18"/>
  <c r="AS7" i="18" s="1"/>
  <c r="AP8" i="18"/>
  <c r="AM8" i="18"/>
  <c r="AJ8" i="18"/>
  <c r="AG8" i="18"/>
  <c r="AF8" i="18"/>
  <c r="AE8" i="18"/>
  <c r="AD8" i="18"/>
  <c r="AC8" i="18"/>
  <c r="Z8" i="18"/>
  <c r="W8" i="18"/>
  <c r="T8" i="18"/>
  <c r="Q8" i="18"/>
  <c r="N8" i="18"/>
  <c r="K8" i="18"/>
  <c r="H8" i="18"/>
  <c r="E8" i="18"/>
  <c r="E21" i="18" s="1"/>
  <c r="HB7" i="18"/>
  <c r="GY7" i="18"/>
  <c r="GV7" i="18"/>
  <c r="GM7" i="18"/>
  <c r="GJ7" i="18"/>
  <c r="GJ5" i="18" s="1"/>
  <c r="GG7" i="18"/>
  <c r="GG5" i="18" s="1"/>
  <c r="FI7" i="18"/>
  <c r="FI5" i="18" s="1"/>
  <c r="FF7" i="18"/>
  <c r="FF5" i="18" s="1"/>
  <c r="FC7" i="18"/>
  <c r="FC5" i="18" s="1"/>
  <c r="ET7" i="18"/>
  <c r="ET5" i="18" s="1"/>
  <c r="EQ7" i="18"/>
  <c r="EN7" i="18"/>
  <c r="EN5" i="18" s="1"/>
  <c r="EE7" i="18"/>
  <c r="EB7" i="18"/>
  <c r="DY7" i="18"/>
  <c r="DP7" i="18"/>
  <c r="DM7" i="18"/>
  <c r="DJ7" i="18"/>
  <c r="DA7" i="18"/>
  <c r="CX7" i="18"/>
  <c r="CU7" i="18"/>
  <c r="CO7" i="18"/>
  <c r="CL7" i="18"/>
  <c r="CI7" i="18"/>
  <c r="CF7" i="18"/>
  <c r="CC7" i="18"/>
  <c r="BZ7" i="18"/>
  <c r="BT7" i="18"/>
  <c r="BN7" i="18"/>
  <c r="BK7" i="18"/>
  <c r="BH7" i="18"/>
  <c r="BE7" i="18"/>
  <c r="BB7" i="18"/>
  <c r="AY7" i="18"/>
  <c r="AV7" i="18"/>
  <c r="AP7" i="18"/>
  <c r="AM7" i="18"/>
  <c r="AJ7" i="18"/>
  <c r="Z7" i="18"/>
  <c r="W7" i="18"/>
  <c r="T7" i="18"/>
  <c r="Q7" i="18"/>
  <c r="N7" i="18"/>
  <c r="K7" i="18"/>
  <c r="H7" i="18"/>
  <c r="E7" i="18"/>
  <c r="E6" i="18" s="1"/>
  <c r="E22" i="18" s="1"/>
  <c r="HB6" i="18"/>
  <c r="GY6" i="18"/>
  <c r="GV6" i="18"/>
  <c r="GP6" i="18"/>
  <c r="GP2" i="18" s="1"/>
  <c r="GJ6" i="18"/>
  <c r="GG6" i="18"/>
  <c r="GD6" i="18"/>
  <c r="GA6" i="18"/>
  <c r="FU6" i="18"/>
  <c r="FR6" i="18"/>
  <c r="FL6" i="18"/>
  <c r="EZ6" i="18"/>
  <c r="EW6" i="18"/>
  <c r="ET6" i="18"/>
  <c r="EQ6" i="18"/>
  <c r="EN6" i="18"/>
  <c r="EK6" i="18"/>
  <c r="EH6" i="18"/>
  <c r="DV6" i="18"/>
  <c r="DS6" i="18"/>
  <c r="DD6" i="18"/>
  <c r="DA6" i="18"/>
  <c r="CX6" i="18"/>
  <c r="CU6" i="18"/>
  <c r="CR6" i="18"/>
  <c r="BZ6" i="18"/>
  <c r="BW6" i="18"/>
  <c r="BT6" i="18"/>
  <c r="BH6" i="18"/>
  <c r="BE6" i="18"/>
  <c r="BB6" i="18"/>
  <c r="AY6" i="18"/>
  <c r="AV6" i="18"/>
  <c r="AV2" i="18" s="1"/>
  <c r="Z6" i="18"/>
  <c r="W6" i="18"/>
  <c r="K6" i="18"/>
  <c r="H6" i="18"/>
  <c r="H10" i="18" s="1"/>
  <c r="HE5" i="18"/>
  <c r="HB5" i="18"/>
  <c r="GY5" i="18"/>
  <c r="GV5" i="18"/>
  <c r="GS5" i="18"/>
  <c r="GP5" i="18"/>
  <c r="GM5" i="18"/>
  <c r="GD5" i="18"/>
  <c r="GA5" i="18"/>
  <c r="FX5" i="18"/>
  <c r="FU5" i="18"/>
  <c r="FR5" i="18"/>
  <c r="FO5" i="18"/>
  <c r="FL5" i="18"/>
  <c r="EZ5" i="18"/>
  <c r="EW5" i="18"/>
  <c r="EQ5" i="18"/>
  <c r="EK5" i="18"/>
  <c r="EH5" i="18"/>
  <c r="EE5" i="18"/>
  <c r="EB5" i="18"/>
  <c r="DY5" i="18"/>
  <c r="DV5" i="18"/>
  <c r="DS5" i="18"/>
  <c r="DM5" i="18"/>
  <c r="DJ5" i="18"/>
  <c r="DD5" i="18"/>
  <c r="DA5" i="18"/>
  <c r="CX5" i="18"/>
  <c r="CX23" i="18" s="1"/>
  <c r="CU5" i="18"/>
  <c r="CO5" i="18"/>
  <c r="CR5" i="18" s="1"/>
  <c r="CL5" i="18"/>
  <c r="CI5" i="18"/>
  <c r="CF5" i="18"/>
  <c r="CC5" i="18"/>
  <c r="BZ5" i="18"/>
  <c r="BW5" i="18"/>
  <c r="BW11" i="18" s="1"/>
  <c r="BT5" i="18"/>
  <c r="BQ5" i="18"/>
  <c r="BN5" i="18"/>
  <c r="BK5" i="18"/>
  <c r="BH5" i="18"/>
  <c r="BH2" i="18" s="1"/>
  <c r="BE5" i="18"/>
  <c r="BE2" i="18" s="1"/>
  <c r="BB5" i="18"/>
  <c r="BB2" i="18" s="1"/>
  <c r="AY5" i="18"/>
  <c r="AY2" i="18" s="1"/>
  <c r="AV5" i="18"/>
  <c r="AS5" i="18"/>
  <c r="AP5" i="18"/>
  <c r="AM5" i="18"/>
  <c r="AJ5" i="18"/>
  <c r="AJ2" i="18" s="1"/>
  <c r="AG5" i="18"/>
  <c r="AG33" i="18" s="1"/>
  <c r="AF5" i="18"/>
  <c r="AE5" i="18"/>
  <c r="AD5" i="18"/>
  <c r="AD34" i="18" s="1"/>
  <c r="AC5" i="18"/>
  <c r="Z5" i="18"/>
  <c r="W5" i="18"/>
  <c r="W19" i="18" s="1"/>
  <c r="T5" i="18"/>
  <c r="Q5" i="18"/>
  <c r="N5" i="18"/>
  <c r="N2" i="18" s="1"/>
  <c r="K5" i="18"/>
  <c r="H5" i="18"/>
  <c r="E5" i="18"/>
  <c r="GM2" i="18"/>
  <c r="FX2" i="18"/>
  <c r="EQ2" i="18"/>
  <c r="AM2" i="18"/>
  <c r="T2" i="18"/>
  <c r="Q2" i="18"/>
  <c r="H68" i="17"/>
  <c r="H67" i="17"/>
  <c r="H66" i="17"/>
  <c r="H65" i="17"/>
  <c r="H64" i="17"/>
  <c r="H63" i="17"/>
  <c r="H59" i="17" s="1"/>
  <c r="H62" i="17"/>
  <c r="H55" i="17" s="1"/>
  <c r="H61" i="17"/>
  <c r="H60" i="17"/>
  <c r="H58" i="17"/>
  <c r="H57" i="17"/>
  <c r="H56" i="17"/>
  <c r="K54" i="17"/>
  <c r="H54" i="17"/>
  <c r="K53" i="17"/>
  <c r="H53" i="17"/>
  <c r="E53" i="17"/>
  <c r="K52" i="17"/>
  <c r="K50" i="17" s="1"/>
  <c r="E52" i="17"/>
  <c r="E42" i="17" s="1"/>
  <c r="K51" i="17"/>
  <c r="E51" i="17"/>
  <c r="DA50" i="17"/>
  <c r="E50" i="17"/>
  <c r="H49" i="17"/>
  <c r="H47" i="17" s="1"/>
  <c r="H48" i="17"/>
  <c r="H46" i="17" s="1"/>
  <c r="E48" i="17"/>
  <c r="E47" i="17"/>
  <c r="DA46" i="17"/>
  <c r="Z46" i="17"/>
  <c r="K46" i="17"/>
  <c r="E46" i="17"/>
  <c r="K45" i="17"/>
  <c r="E45" i="17"/>
  <c r="DA44" i="17"/>
  <c r="Z44" i="17"/>
  <c r="K44" i="17"/>
  <c r="E44" i="17"/>
  <c r="DA43" i="17"/>
  <c r="Z43" i="17"/>
  <c r="K43" i="17"/>
  <c r="H43" i="17"/>
  <c r="DA42" i="17"/>
  <c r="Z42" i="17"/>
  <c r="W42" i="17"/>
  <c r="K42" i="17"/>
  <c r="HE41" i="17"/>
  <c r="DA41" i="17"/>
  <c r="Z41" i="17"/>
  <c r="K41" i="17"/>
  <c r="HE40" i="17"/>
  <c r="DA40" i="17"/>
  <c r="K40" i="17"/>
  <c r="H40" i="17"/>
  <c r="HE39" i="17"/>
  <c r="HE37" i="17" s="1"/>
  <c r="HE33" i="17" s="1"/>
  <c r="HE23" i="17" s="1"/>
  <c r="DA39" i="17"/>
  <c r="H39" i="17"/>
  <c r="HE38" i="17"/>
  <c r="DA38" i="17"/>
  <c r="DA10" i="17" s="1"/>
  <c r="AG38" i="17"/>
  <c r="AF38" i="17"/>
  <c r="AE38" i="17"/>
  <c r="AD38" i="17"/>
  <c r="AC38" i="17"/>
  <c r="W38" i="17"/>
  <c r="K38" i="17"/>
  <c r="H38" i="17"/>
  <c r="E38" i="17"/>
  <c r="DA37" i="17"/>
  <c r="BZ37" i="17"/>
  <c r="AG37" i="17"/>
  <c r="K37" i="17"/>
  <c r="H37" i="17"/>
  <c r="HE36" i="17"/>
  <c r="DA36" i="17"/>
  <c r="BN36" i="17"/>
  <c r="BK36" i="17"/>
  <c r="BE36" i="17"/>
  <c r="BB36" i="17"/>
  <c r="AV36" i="17"/>
  <c r="AS36" i="17"/>
  <c r="AM36" i="17"/>
  <c r="AJ36" i="17"/>
  <c r="AF36" i="17"/>
  <c r="Z36" i="17"/>
  <c r="W36" i="17"/>
  <c r="Q36" i="17"/>
  <c r="N36" i="17"/>
  <c r="K36" i="17"/>
  <c r="K20" i="17" s="1"/>
  <c r="H36" i="17"/>
  <c r="E36" i="17"/>
  <c r="HE35" i="17"/>
  <c r="DA35" i="17"/>
  <c r="BN35" i="17"/>
  <c r="BK35" i="17"/>
  <c r="BE35" i="17"/>
  <c r="BB35" i="17"/>
  <c r="AV35" i="17"/>
  <c r="AS35" i="17"/>
  <c r="AM35" i="17"/>
  <c r="AJ35" i="17"/>
  <c r="AE35" i="17"/>
  <c r="AD35" i="17"/>
  <c r="AC35" i="17"/>
  <c r="Z35" i="17"/>
  <c r="W35" i="17"/>
  <c r="Q35" i="17"/>
  <c r="N35" i="17"/>
  <c r="K35" i="17"/>
  <c r="H35" i="17"/>
  <c r="E35" i="17"/>
  <c r="HE34" i="17"/>
  <c r="DA34" i="17"/>
  <c r="BN34" i="17"/>
  <c r="BK34" i="17"/>
  <c r="BE34" i="17"/>
  <c r="BB34" i="17"/>
  <c r="AV34" i="17"/>
  <c r="AS34" i="17"/>
  <c r="AM34" i="17"/>
  <c r="AJ34" i="17"/>
  <c r="Q34" i="17"/>
  <c r="N34" i="17"/>
  <c r="K34" i="17"/>
  <c r="H34" i="17"/>
  <c r="E34" i="17"/>
  <c r="DA33" i="17"/>
  <c r="BN33" i="17"/>
  <c r="BK33" i="17"/>
  <c r="BE33" i="17"/>
  <c r="BB33" i="17"/>
  <c r="AV33" i="17"/>
  <c r="AS33" i="17"/>
  <c r="AM33" i="17"/>
  <c r="AJ33" i="17"/>
  <c r="Z33" i="17"/>
  <c r="W33" i="17"/>
  <c r="Q33" i="17"/>
  <c r="N33" i="17"/>
  <c r="K33" i="17"/>
  <c r="H33" i="17"/>
  <c r="H22" i="17" s="1"/>
  <c r="E33" i="17"/>
  <c r="HE32" i="17"/>
  <c r="DA32" i="17"/>
  <c r="CF32" i="17"/>
  <c r="CC32" i="17"/>
  <c r="BZ32" i="17"/>
  <c r="BW32" i="17"/>
  <c r="BN32" i="17"/>
  <c r="BK32" i="17"/>
  <c r="BE32" i="17"/>
  <c r="BB32" i="17"/>
  <c r="AV32" i="17"/>
  <c r="AS32" i="17"/>
  <c r="AM32" i="17"/>
  <c r="AJ32" i="17"/>
  <c r="Z32" i="17"/>
  <c r="W32" i="17"/>
  <c r="K32" i="17"/>
  <c r="H32" i="17"/>
  <c r="E32" i="17"/>
  <c r="HE31" i="17"/>
  <c r="DA31" i="17"/>
  <c r="CL31" i="17"/>
  <c r="CF31" i="17"/>
  <c r="CC31" i="17"/>
  <c r="BZ31" i="17"/>
  <c r="BN31" i="17"/>
  <c r="BK31" i="17"/>
  <c r="BE31" i="17"/>
  <c r="BB31" i="17"/>
  <c r="AV31" i="17"/>
  <c r="AS31" i="17"/>
  <c r="AM31" i="17"/>
  <c r="AJ31" i="17"/>
  <c r="Z31" i="17"/>
  <c r="Z38" i="17" s="1"/>
  <c r="W31" i="17"/>
  <c r="K31" i="17"/>
  <c r="H31" i="17"/>
  <c r="HE30" i="17"/>
  <c r="DA30" i="17"/>
  <c r="CO30" i="17"/>
  <c r="CL30" i="17"/>
  <c r="CF30" i="17"/>
  <c r="CC30" i="17"/>
  <c r="BZ30" i="17"/>
  <c r="BN30" i="17"/>
  <c r="BK30" i="17"/>
  <c r="BE30" i="17"/>
  <c r="BB30" i="17"/>
  <c r="AV30" i="17"/>
  <c r="AS30" i="17"/>
  <c r="AM30" i="17"/>
  <c r="AJ30" i="17"/>
  <c r="AE30" i="17"/>
  <c r="Z30" i="17"/>
  <c r="W30" i="17"/>
  <c r="K30" i="17"/>
  <c r="H30" i="17"/>
  <c r="HE29" i="17"/>
  <c r="DA29" i="17"/>
  <c r="CO29" i="17"/>
  <c r="CL29" i="17"/>
  <c r="CF29" i="17"/>
  <c r="CC29" i="17"/>
  <c r="BZ29" i="17"/>
  <c r="BT29" i="17"/>
  <c r="BN29" i="17"/>
  <c r="BK29" i="17"/>
  <c r="BE29" i="17"/>
  <c r="BB29" i="17"/>
  <c r="AV29" i="17"/>
  <c r="AS29" i="17"/>
  <c r="AM29" i="17"/>
  <c r="AJ29" i="17"/>
  <c r="AJ25" i="17" s="1"/>
  <c r="AJ21" i="17" s="1"/>
  <c r="Z29" i="17"/>
  <c r="Z28" i="17" s="1"/>
  <c r="W29" i="17"/>
  <c r="W28" i="17" s="1"/>
  <c r="Q29" i="17"/>
  <c r="N29" i="17"/>
  <c r="K29" i="17"/>
  <c r="H29" i="17"/>
  <c r="HE28" i="17"/>
  <c r="HE27" i="17" s="1"/>
  <c r="DA28" i="17"/>
  <c r="CO28" i="17"/>
  <c r="CL28" i="17"/>
  <c r="CF28" i="17"/>
  <c r="CC28" i="17"/>
  <c r="BZ28" i="17"/>
  <c r="BT28" i="17"/>
  <c r="BN28" i="17"/>
  <c r="BK28" i="17"/>
  <c r="BE28" i="17"/>
  <c r="BB28" i="17"/>
  <c r="AV28" i="17"/>
  <c r="AS28" i="17"/>
  <c r="AM28" i="17"/>
  <c r="AJ28" i="17"/>
  <c r="AG28" i="17"/>
  <c r="AG27" i="17" s="1"/>
  <c r="AF28" i="17"/>
  <c r="AF27" i="17" s="1"/>
  <c r="AE28" i="17"/>
  <c r="AE27" i="17" s="1"/>
  <c r="AD28" i="17"/>
  <c r="AC28" i="17"/>
  <c r="Q28" i="17"/>
  <c r="N28" i="17"/>
  <c r="K28" i="17"/>
  <c r="H28" i="17"/>
  <c r="HB27" i="17"/>
  <c r="GM27" i="17"/>
  <c r="FI27" i="17"/>
  <c r="ET27" i="17"/>
  <c r="EE27" i="17"/>
  <c r="DA27" i="17"/>
  <c r="CO27" i="17"/>
  <c r="CL27" i="17"/>
  <c r="CF27" i="17"/>
  <c r="CC27" i="17"/>
  <c r="BZ27" i="17"/>
  <c r="BW27" i="17"/>
  <c r="BT27" i="17"/>
  <c r="BN27" i="17"/>
  <c r="BN26" i="17" s="1"/>
  <c r="BK27" i="17"/>
  <c r="BE27" i="17"/>
  <c r="BB27" i="17"/>
  <c r="AV27" i="17"/>
  <c r="AV26" i="17" s="1"/>
  <c r="AS27" i="17"/>
  <c r="AS26" i="17" s="1"/>
  <c r="AM27" i="17"/>
  <c r="AM26" i="17" s="1"/>
  <c r="AJ27" i="17"/>
  <c r="AJ26" i="17" s="1"/>
  <c r="AD27" i="17"/>
  <c r="AC27" i="17"/>
  <c r="Z27" i="17"/>
  <c r="W27" i="17"/>
  <c r="Q27" i="17"/>
  <c r="Q26" i="17" s="1"/>
  <c r="Q21" i="17" s="1"/>
  <c r="N27" i="17"/>
  <c r="N26" i="17" s="1"/>
  <c r="K27" i="17"/>
  <c r="H27" i="17"/>
  <c r="HB26" i="17"/>
  <c r="GM26" i="17"/>
  <c r="FI26" i="17"/>
  <c r="ET26" i="17"/>
  <c r="ET24" i="17" s="1"/>
  <c r="EE26" i="17"/>
  <c r="EE24" i="17" s="1"/>
  <c r="DP26" i="17"/>
  <c r="DG26" i="17"/>
  <c r="DA26" i="17"/>
  <c r="CX26" i="17"/>
  <c r="CO26" i="17"/>
  <c r="CL26" i="17"/>
  <c r="CF26" i="17"/>
  <c r="CC26" i="17"/>
  <c r="BZ26" i="17"/>
  <c r="BW26" i="17"/>
  <c r="BT26" i="17"/>
  <c r="BK26" i="17"/>
  <c r="BE26" i="17"/>
  <c r="BB26" i="17"/>
  <c r="AF26" i="17"/>
  <c r="AE26" i="17"/>
  <c r="AD26" i="17"/>
  <c r="AD30" i="17" s="1"/>
  <c r="K26" i="17"/>
  <c r="H26" i="17"/>
  <c r="E26" i="17"/>
  <c r="HE25" i="17"/>
  <c r="HB25" i="17"/>
  <c r="GM25" i="17"/>
  <c r="GM23" i="17" s="1"/>
  <c r="FI25" i="17"/>
  <c r="FI23" i="17" s="1"/>
  <c r="ET25" i="17"/>
  <c r="ET23" i="17" s="1"/>
  <c r="EE25" i="17"/>
  <c r="EE23" i="17" s="1"/>
  <c r="DP25" i="17"/>
  <c r="DP23" i="17" s="1"/>
  <c r="DA25" i="17"/>
  <c r="CX25" i="17"/>
  <c r="CO25" i="17"/>
  <c r="CL25" i="17"/>
  <c r="CF25" i="17"/>
  <c r="CC25" i="17"/>
  <c r="CC24" i="17" s="1"/>
  <c r="BZ25" i="17"/>
  <c r="BZ33" i="17" s="1"/>
  <c r="BZ10" i="17" s="1"/>
  <c r="BW25" i="17"/>
  <c r="BT25" i="17"/>
  <c r="BE25" i="17"/>
  <c r="BB25" i="17"/>
  <c r="AV25" i="17"/>
  <c r="AV21" i="17" s="1"/>
  <c r="AS25" i="17"/>
  <c r="AS21" i="17" s="1"/>
  <c r="AM25" i="17"/>
  <c r="AM21" i="17" s="1"/>
  <c r="AG25" i="17"/>
  <c r="AF25" i="17"/>
  <c r="AE25" i="17"/>
  <c r="AD25" i="17"/>
  <c r="AC25" i="17"/>
  <c r="E25" i="17"/>
  <c r="HB24" i="17"/>
  <c r="GM24" i="17"/>
  <c r="FI24" i="17"/>
  <c r="DP24" i="17"/>
  <c r="CX24" i="17"/>
  <c r="CO24" i="17"/>
  <c r="CL24" i="17"/>
  <c r="CF24" i="17"/>
  <c r="BZ24" i="17"/>
  <c r="BW24" i="17"/>
  <c r="BN24" i="17"/>
  <c r="BK24" i="17"/>
  <c r="BE24" i="17"/>
  <c r="BE21" i="17" s="1"/>
  <c r="BB24" i="17"/>
  <c r="BB21" i="17" s="1"/>
  <c r="AV24" i="17"/>
  <c r="AS24" i="17"/>
  <c r="AM24" i="17"/>
  <c r="AJ24" i="17"/>
  <c r="AG24" i="17"/>
  <c r="AF24" i="17"/>
  <c r="AE24" i="17"/>
  <c r="AD24" i="17"/>
  <c r="AC24" i="17"/>
  <c r="Q24" i="17"/>
  <c r="N24" i="17"/>
  <c r="K24" i="17"/>
  <c r="H24" i="17"/>
  <c r="E24" i="17"/>
  <c r="HB23" i="17"/>
  <c r="DG23" i="17"/>
  <c r="DG20" i="17" s="1"/>
  <c r="DD23" i="17"/>
  <c r="DA23" i="17"/>
  <c r="CR23" i="17"/>
  <c r="CO23" i="17"/>
  <c r="BZ23" i="17"/>
  <c r="BW23" i="17"/>
  <c r="AG23" i="17"/>
  <c r="AF23" i="17"/>
  <c r="AE23" i="17"/>
  <c r="AD23" i="17"/>
  <c r="AC23" i="17"/>
  <c r="K23" i="17"/>
  <c r="H23" i="17"/>
  <c r="HB22" i="17"/>
  <c r="GM22" i="17"/>
  <c r="FI22" i="17"/>
  <c r="FI16" i="17" s="1"/>
  <c r="ET22" i="17"/>
  <c r="ET16" i="17" s="1"/>
  <c r="EE22" i="17"/>
  <c r="DP22" i="17"/>
  <c r="DD22" i="17"/>
  <c r="CO22" i="17"/>
  <c r="CR22" i="17" s="1"/>
  <c r="CL22" i="17"/>
  <c r="CF22" i="17"/>
  <c r="CC22" i="17"/>
  <c r="BZ22" i="17"/>
  <c r="BW22" i="17"/>
  <c r="K22" i="17"/>
  <c r="HB21" i="17"/>
  <c r="GM21" i="17"/>
  <c r="FI21" i="17"/>
  <c r="ET21" i="17"/>
  <c r="EE21" i="17"/>
  <c r="DP21" i="17"/>
  <c r="DD21" i="17"/>
  <c r="BZ21" i="17"/>
  <c r="BW21" i="17"/>
  <c r="AG21" i="17"/>
  <c r="AF21" i="17"/>
  <c r="AE21" i="17"/>
  <c r="AD21" i="17"/>
  <c r="AD33" i="17" s="1"/>
  <c r="AC21" i="17"/>
  <c r="K21" i="17"/>
  <c r="K19" i="17" s="1"/>
  <c r="HB20" i="17"/>
  <c r="GM20" i="17"/>
  <c r="GA20" i="17"/>
  <c r="FL20" i="17"/>
  <c r="FI20" i="17"/>
  <c r="EW20" i="17"/>
  <c r="ET20" i="17"/>
  <c r="EH20" i="17"/>
  <c r="EE20" i="17"/>
  <c r="DS20" i="17"/>
  <c r="DP20" i="17"/>
  <c r="DD20" i="17"/>
  <c r="BZ20" i="17"/>
  <c r="BW20" i="17"/>
  <c r="BT20" i="17"/>
  <c r="AG20" i="17"/>
  <c r="AF20" i="17"/>
  <c r="AE20" i="17"/>
  <c r="AD20" i="17"/>
  <c r="AC20" i="17"/>
  <c r="Z20" i="17"/>
  <c r="Z17" i="17" s="1"/>
  <c r="W20" i="17"/>
  <c r="H20" i="17"/>
  <c r="HB19" i="17"/>
  <c r="GP19" i="17"/>
  <c r="GM19" i="17"/>
  <c r="GA19" i="17"/>
  <c r="FL19" i="17"/>
  <c r="FI19" i="17"/>
  <c r="EW19" i="17"/>
  <c r="ET19" i="17"/>
  <c r="EH19" i="17"/>
  <c r="EE19" i="17"/>
  <c r="DS19" i="17"/>
  <c r="DP19" i="17"/>
  <c r="DP11" i="17" s="1"/>
  <c r="CX19" i="17"/>
  <c r="BZ19" i="17"/>
  <c r="BW19" i="17"/>
  <c r="AG19" i="17"/>
  <c r="AF19" i="17"/>
  <c r="AE19" i="17"/>
  <c r="AD19" i="17"/>
  <c r="AC19" i="17"/>
  <c r="H19" i="17"/>
  <c r="HB18" i="17"/>
  <c r="GP18" i="17"/>
  <c r="GP17" i="17" s="1"/>
  <c r="GM18" i="17"/>
  <c r="GA18" i="17"/>
  <c r="FL18" i="17"/>
  <c r="FI18" i="17"/>
  <c r="EW18" i="17"/>
  <c r="ET18" i="17"/>
  <c r="EH18" i="17"/>
  <c r="EE18" i="17"/>
  <c r="DS18" i="17"/>
  <c r="DP18" i="17"/>
  <c r="CX18" i="17"/>
  <c r="BZ18" i="17"/>
  <c r="BW18" i="17"/>
  <c r="BT18" i="17"/>
  <c r="AG18" i="17"/>
  <c r="AF18" i="17"/>
  <c r="AE18" i="17"/>
  <c r="AD18" i="17"/>
  <c r="AC18" i="17"/>
  <c r="H18" i="17"/>
  <c r="E18" i="17"/>
  <c r="BT19" i="17" s="1"/>
  <c r="HB17" i="17"/>
  <c r="GM17" i="17"/>
  <c r="FI17" i="17"/>
  <c r="ET17" i="17"/>
  <c r="EE17" i="17"/>
  <c r="DP17" i="17"/>
  <c r="DD17" i="17"/>
  <c r="CX17" i="17"/>
  <c r="BW17" i="17"/>
  <c r="BT17" i="17"/>
  <c r="BT11" i="17" s="1"/>
  <c r="BQ17" i="17"/>
  <c r="BN17" i="17"/>
  <c r="BK17" i="17"/>
  <c r="BH17" i="17"/>
  <c r="BE17" i="17"/>
  <c r="BB17" i="17"/>
  <c r="AY17" i="17"/>
  <c r="AV17" i="17"/>
  <c r="AS17" i="17"/>
  <c r="AP17" i="17"/>
  <c r="AP2" i="17" s="1"/>
  <c r="AM17" i="17"/>
  <c r="AM2" i="17" s="1"/>
  <c r="AJ17" i="17"/>
  <c r="AG17" i="17"/>
  <c r="AF17" i="17"/>
  <c r="AE17" i="17"/>
  <c r="AD17" i="17"/>
  <c r="AC17" i="17"/>
  <c r="W17" i="17"/>
  <c r="T17" i="17"/>
  <c r="Q17" i="17"/>
  <c r="N17" i="17"/>
  <c r="H17" i="17"/>
  <c r="E17" i="17"/>
  <c r="HB16" i="17"/>
  <c r="GM16" i="17"/>
  <c r="GA16" i="17"/>
  <c r="FL16" i="17"/>
  <c r="EW16" i="17"/>
  <c r="EH16" i="17"/>
  <c r="EE16" i="17"/>
  <c r="DP16" i="17"/>
  <c r="DD16" i="17"/>
  <c r="CX16" i="17"/>
  <c r="BZ16" i="17"/>
  <c r="BW16" i="17"/>
  <c r="BT16" i="17"/>
  <c r="BQ16" i="17"/>
  <c r="BN16" i="17"/>
  <c r="BK16" i="17"/>
  <c r="BH16" i="17"/>
  <c r="BE16" i="17"/>
  <c r="BB16" i="17"/>
  <c r="AY16" i="17"/>
  <c r="AV16" i="17"/>
  <c r="AS16" i="17"/>
  <c r="AP16" i="17"/>
  <c r="AM16" i="17"/>
  <c r="AJ16" i="17"/>
  <c r="AG16" i="17"/>
  <c r="AF16" i="17"/>
  <c r="AE16" i="17"/>
  <c r="AD16" i="17"/>
  <c r="AC16" i="17"/>
  <c r="T16" i="17"/>
  <c r="Q16" i="17"/>
  <c r="N16" i="17"/>
  <c r="H16" i="17"/>
  <c r="E16" i="17"/>
  <c r="HB15" i="17"/>
  <c r="GP15" i="17"/>
  <c r="GM15" i="17"/>
  <c r="FI15" i="17"/>
  <c r="ET15" i="17"/>
  <c r="ET2" i="17" s="1"/>
  <c r="EB15" i="17"/>
  <c r="DP15" i="17"/>
  <c r="DD15" i="17"/>
  <c r="CX15" i="17"/>
  <c r="CI15" i="17"/>
  <c r="CF15" i="17"/>
  <c r="CC15" i="17"/>
  <c r="BZ15" i="17"/>
  <c r="BT15" i="17"/>
  <c r="BQ15" i="17"/>
  <c r="BN15" i="17"/>
  <c r="BK15" i="17"/>
  <c r="BH15" i="17"/>
  <c r="BE15" i="17"/>
  <c r="BB15" i="17"/>
  <c r="AY15" i="17"/>
  <c r="AV15" i="17"/>
  <c r="AS15" i="17"/>
  <c r="AP15" i="17"/>
  <c r="AM15" i="17"/>
  <c r="AJ15" i="17"/>
  <c r="T15" i="17"/>
  <c r="Q15" i="17"/>
  <c r="N15" i="17"/>
  <c r="E15" i="17"/>
  <c r="HE14" i="17"/>
  <c r="HB14" i="17"/>
  <c r="GP14" i="17"/>
  <c r="GY14" i="17" s="1"/>
  <c r="GM14" i="17"/>
  <c r="GA14" i="17"/>
  <c r="GJ14" i="17" s="1"/>
  <c r="FL14" i="17"/>
  <c r="FU7" i="17" s="1"/>
  <c r="FI14" i="17"/>
  <c r="FF14" i="17"/>
  <c r="EW14" i="17"/>
  <c r="ET14" i="17"/>
  <c r="EH14" i="17"/>
  <c r="EQ14" i="17" s="1"/>
  <c r="EE14" i="17"/>
  <c r="EB14" i="17"/>
  <c r="DY14" i="17"/>
  <c r="DS14" i="17"/>
  <c r="DP14" i="17"/>
  <c r="DP6" i="17" s="1"/>
  <c r="DD14" i="17"/>
  <c r="CX14" i="17"/>
  <c r="CL14" i="17"/>
  <c r="CI14" i="17"/>
  <c r="CF14" i="17"/>
  <c r="CC14" i="17"/>
  <c r="BW14" i="17"/>
  <c r="BT14" i="17"/>
  <c r="BQ14" i="17"/>
  <c r="BN14" i="17"/>
  <c r="BK14" i="17"/>
  <c r="BH14" i="17"/>
  <c r="BE14" i="17"/>
  <c r="BB14" i="17"/>
  <c r="AY14" i="17"/>
  <c r="AV14" i="17"/>
  <c r="AS14" i="17"/>
  <c r="AP14" i="17"/>
  <c r="AM14" i="17"/>
  <c r="AJ14" i="17"/>
  <c r="AG14" i="17"/>
  <c r="AF14" i="17"/>
  <c r="AE14" i="17"/>
  <c r="AD14" i="17"/>
  <c r="AC14" i="17"/>
  <c r="Z14" i="17"/>
  <c r="W14" i="17"/>
  <c r="T14" i="17"/>
  <c r="Q14" i="17"/>
  <c r="N14" i="17"/>
  <c r="E14" i="17"/>
  <c r="HB13" i="17"/>
  <c r="GY13" i="17"/>
  <c r="GV13" i="17"/>
  <c r="GP13" i="17"/>
  <c r="GM13" i="17"/>
  <c r="GM2" i="17" s="1"/>
  <c r="GJ13" i="17"/>
  <c r="GG13" i="17"/>
  <c r="GA13" i="17"/>
  <c r="FL13" i="17"/>
  <c r="FI13" i="17"/>
  <c r="FF13" i="17"/>
  <c r="FC13" i="17"/>
  <c r="EW13" i="17"/>
  <c r="ET13" i="17"/>
  <c r="EQ13" i="17"/>
  <c r="EN13" i="17"/>
  <c r="EH13" i="17"/>
  <c r="EE13" i="17"/>
  <c r="EB13" i="17"/>
  <c r="DY13" i="17"/>
  <c r="DS13" i="17"/>
  <c r="DP13" i="17"/>
  <c r="DD13" i="17"/>
  <c r="CX13" i="17"/>
  <c r="CO13" i="17"/>
  <c r="CI13" i="17"/>
  <c r="CF13" i="17"/>
  <c r="CC13" i="17"/>
  <c r="BW13" i="17"/>
  <c r="BT13" i="17"/>
  <c r="BQ13" i="17"/>
  <c r="BN13" i="17"/>
  <c r="BK13" i="17"/>
  <c r="BH13" i="17"/>
  <c r="BE13" i="17"/>
  <c r="BB13" i="17"/>
  <c r="AY13" i="17"/>
  <c r="AV13" i="17"/>
  <c r="AS13" i="17"/>
  <c r="AP13" i="17"/>
  <c r="AM13" i="17"/>
  <c r="AJ13" i="17"/>
  <c r="AG13" i="17"/>
  <c r="AF13" i="17"/>
  <c r="Z13" i="17"/>
  <c r="W13" i="17"/>
  <c r="T13" i="17"/>
  <c r="Q13" i="17"/>
  <c r="K13" i="17"/>
  <c r="K12" i="17" s="1"/>
  <c r="E13" i="17"/>
  <c r="HB12" i="17"/>
  <c r="GY12" i="17"/>
  <c r="GV12" i="17"/>
  <c r="GP12" i="17"/>
  <c r="GP7" i="17" s="1"/>
  <c r="GM12" i="17"/>
  <c r="GJ12" i="17"/>
  <c r="GG12" i="17"/>
  <c r="GA12" i="17"/>
  <c r="FL12" i="17"/>
  <c r="FI12" i="17"/>
  <c r="FF12" i="17"/>
  <c r="FC12" i="17"/>
  <c r="EW12" i="17"/>
  <c r="ET12" i="17"/>
  <c r="EQ12" i="17"/>
  <c r="EN12" i="17"/>
  <c r="EH12" i="17"/>
  <c r="EE12" i="17"/>
  <c r="EB12" i="17"/>
  <c r="DY12" i="17"/>
  <c r="DS12" i="17"/>
  <c r="DP12" i="17"/>
  <c r="DD12" i="17"/>
  <c r="DA12" i="17"/>
  <c r="CX12" i="17"/>
  <c r="CO12" i="17"/>
  <c r="CL12" i="17"/>
  <c r="CL13" i="17" s="1"/>
  <c r="CI12" i="17"/>
  <c r="CF12" i="17"/>
  <c r="CC12" i="17"/>
  <c r="BZ12" i="17"/>
  <c r="BT12" i="17"/>
  <c r="BQ12" i="17"/>
  <c r="BN12" i="17"/>
  <c r="BK12" i="17"/>
  <c r="BH12" i="17"/>
  <c r="BE12" i="17"/>
  <c r="BB12" i="17"/>
  <c r="AY12" i="17"/>
  <c r="AV12" i="17"/>
  <c r="AS12" i="17"/>
  <c r="AP12" i="17"/>
  <c r="AM12" i="17"/>
  <c r="AJ12" i="17"/>
  <c r="AG12" i="17"/>
  <c r="AF12" i="17"/>
  <c r="E12" i="17"/>
  <c r="HE11" i="17"/>
  <c r="HB11" i="17"/>
  <c r="GY11" i="17"/>
  <c r="GV11" i="17"/>
  <c r="GP11" i="17"/>
  <c r="GM11" i="17"/>
  <c r="GJ11" i="17"/>
  <c r="GG11" i="17"/>
  <c r="GA11" i="17"/>
  <c r="FL11" i="17"/>
  <c r="FI11" i="17"/>
  <c r="FF11" i="17"/>
  <c r="FC11" i="17"/>
  <c r="EW11" i="17"/>
  <c r="ET11" i="17"/>
  <c r="EQ11" i="17"/>
  <c r="EN11" i="17"/>
  <c r="EH11" i="17"/>
  <c r="EE11" i="17"/>
  <c r="EB11" i="17"/>
  <c r="DY11" i="17"/>
  <c r="DS11" i="17"/>
  <c r="DD11" i="17"/>
  <c r="DD10" i="17" s="1"/>
  <c r="DA11" i="17"/>
  <c r="CX11" i="17"/>
  <c r="CO11" i="17"/>
  <c r="CL11" i="17"/>
  <c r="CI11" i="17"/>
  <c r="CF11" i="17"/>
  <c r="CC11" i="17"/>
  <c r="BZ11" i="17"/>
  <c r="BQ11" i="17"/>
  <c r="BN11" i="17"/>
  <c r="BK11" i="17"/>
  <c r="BH11" i="17"/>
  <c r="BE11" i="17"/>
  <c r="BB11" i="17"/>
  <c r="AY11" i="17"/>
  <c r="AV11" i="17"/>
  <c r="AS11" i="17"/>
  <c r="AP11" i="17"/>
  <c r="AM11" i="17"/>
  <c r="AJ11" i="17"/>
  <c r="AG11" i="17"/>
  <c r="AG26" i="17" s="1"/>
  <c r="AF11" i="17"/>
  <c r="AE11" i="17"/>
  <c r="AD11" i="17"/>
  <c r="AC11" i="17"/>
  <c r="AC26" i="17" s="1"/>
  <c r="AC30" i="17" s="1"/>
  <c r="AC33" i="17" s="1"/>
  <c r="Z11" i="17"/>
  <c r="W11" i="17"/>
  <c r="H11" i="17"/>
  <c r="E11" i="17"/>
  <c r="HE10" i="17"/>
  <c r="HB10" i="17"/>
  <c r="GY10" i="17"/>
  <c r="GV10" i="17"/>
  <c r="GP10" i="17"/>
  <c r="GM10" i="17"/>
  <c r="GJ10" i="17"/>
  <c r="GG10" i="17"/>
  <c r="GA10" i="17"/>
  <c r="FL10" i="17"/>
  <c r="FI10" i="17"/>
  <c r="FF10" i="17"/>
  <c r="FC10" i="17"/>
  <c r="EW10" i="17"/>
  <c r="ET10" i="17"/>
  <c r="EQ10" i="17"/>
  <c r="EN10" i="17"/>
  <c r="EH10" i="17"/>
  <c r="EE10" i="17"/>
  <c r="EB10" i="17"/>
  <c r="DY10" i="17"/>
  <c r="DS10" i="17"/>
  <c r="DP10" i="17"/>
  <c r="DG10" i="17"/>
  <c r="CX10" i="17"/>
  <c r="CO10" i="17"/>
  <c r="CL10" i="17"/>
  <c r="CI10" i="17"/>
  <c r="CF10" i="17"/>
  <c r="CC10" i="17"/>
  <c r="BQ10" i="17"/>
  <c r="BN10" i="17"/>
  <c r="BK10" i="17"/>
  <c r="BH10" i="17"/>
  <c r="BE10" i="17"/>
  <c r="BB10" i="17"/>
  <c r="AY10" i="17"/>
  <c r="AV10" i="17"/>
  <c r="AS10" i="17"/>
  <c r="AS6" i="17" s="1"/>
  <c r="AP10" i="17"/>
  <c r="AP6" i="17" s="1"/>
  <c r="AM10" i="17"/>
  <c r="AM6" i="17" s="1"/>
  <c r="AJ10" i="17"/>
  <c r="AJ6" i="17" s="1"/>
  <c r="Z10" i="17"/>
  <c r="W10" i="17"/>
  <c r="T10" i="17"/>
  <c r="Q10" i="17"/>
  <c r="N10" i="17"/>
  <c r="K10" i="17"/>
  <c r="E10" i="17"/>
  <c r="HE9" i="17"/>
  <c r="HB9" i="17"/>
  <c r="GY9" i="17"/>
  <c r="GV9" i="17"/>
  <c r="GP9" i="17"/>
  <c r="GM9" i="17"/>
  <c r="GJ9" i="17"/>
  <c r="GG9" i="17"/>
  <c r="GA9" i="17"/>
  <c r="FL9" i="17"/>
  <c r="FI9" i="17"/>
  <c r="FF9" i="17"/>
  <c r="FC9" i="17"/>
  <c r="EW9" i="17"/>
  <c r="ET9" i="17"/>
  <c r="EQ9" i="17"/>
  <c r="EN9" i="17"/>
  <c r="EH9" i="17"/>
  <c r="EE9" i="17"/>
  <c r="EB9" i="17"/>
  <c r="DY9" i="17"/>
  <c r="DS9" i="17"/>
  <c r="DP9" i="17"/>
  <c r="DM9" i="17"/>
  <c r="DD9" i="17"/>
  <c r="DA9" i="17"/>
  <c r="CX9" i="17"/>
  <c r="CO9" i="17"/>
  <c r="CL9" i="17"/>
  <c r="CI9" i="17"/>
  <c r="CF9" i="17"/>
  <c r="CC9" i="17"/>
  <c r="BZ9" i="17"/>
  <c r="BW9" i="17"/>
  <c r="BT9" i="17"/>
  <c r="BQ9" i="17"/>
  <c r="BN9" i="17"/>
  <c r="BK9" i="17"/>
  <c r="BH9" i="17"/>
  <c r="BE9" i="17"/>
  <c r="BB9" i="17"/>
  <c r="AY9" i="17"/>
  <c r="AV9" i="17"/>
  <c r="AS9" i="17"/>
  <c r="AP9" i="17"/>
  <c r="AM9" i="17"/>
  <c r="AJ9" i="17"/>
  <c r="AG9" i="17"/>
  <c r="AF9" i="17"/>
  <c r="AE9" i="17"/>
  <c r="AD9" i="17"/>
  <c r="AC9" i="17"/>
  <c r="Z9" i="17"/>
  <c r="W9" i="17"/>
  <c r="N9" i="17"/>
  <c r="K9" i="17"/>
  <c r="H9" i="17"/>
  <c r="E9" i="17"/>
  <c r="HE8" i="17"/>
  <c r="HE7" i="17" s="1"/>
  <c r="HB8" i="17"/>
  <c r="GY8" i="17"/>
  <c r="GV8" i="17"/>
  <c r="GP8" i="17"/>
  <c r="GM8" i="17"/>
  <c r="GM6" i="17" s="1"/>
  <c r="GJ8" i="17"/>
  <c r="GG8" i="17"/>
  <c r="GA8" i="17"/>
  <c r="FL8" i="17"/>
  <c r="FI8" i="17"/>
  <c r="FI6" i="17" s="1"/>
  <c r="FF8" i="17"/>
  <c r="FF6" i="17" s="1"/>
  <c r="FC8" i="17"/>
  <c r="FC6" i="17" s="1"/>
  <c r="EW8" i="17"/>
  <c r="ET8" i="17"/>
  <c r="EQ8" i="17"/>
  <c r="EN8" i="17"/>
  <c r="EH8" i="17"/>
  <c r="EE8" i="17"/>
  <c r="EE6" i="17" s="1"/>
  <c r="EB8" i="17"/>
  <c r="EB6" i="17" s="1"/>
  <c r="DY8" i="17"/>
  <c r="DY6" i="17" s="1"/>
  <c r="DS8" i="17"/>
  <c r="DP8" i="17"/>
  <c r="DM8" i="17"/>
  <c r="DM6" i="17" s="1"/>
  <c r="DJ8" i="17"/>
  <c r="DJ6" i="17" s="1"/>
  <c r="DD8" i="17"/>
  <c r="DA8" i="17"/>
  <c r="CX8" i="17"/>
  <c r="CO8" i="17"/>
  <c r="CO6" i="17" s="1"/>
  <c r="CL8" i="17"/>
  <c r="CI8" i="17"/>
  <c r="CF8" i="17"/>
  <c r="CC8" i="17"/>
  <c r="BZ8" i="17"/>
  <c r="BW8" i="17"/>
  <c r="BT8" i="17"/>
  <c r="BQ8" i="17"/>
  <c r="BN8" i="17"/>
  <c r="BK8" i="17"/>
  <c r="BH8" i="17"/>
  <c r="BE8" i="17"/>
  <c r="BB8" i="17"/>
  <c r="AY8" i="17"/>
  <c r="AV8" i="17"/>
  <c r="AS8" i="17"/>
  <c r="AP8" i="17"/>
  <c r="AM8" i="17"/>
  <c r="AJ8" i="17"/>
  <c r="AG8" i="17"/>
  <c r="AF8" i="17"/>
  <c r="AE8" i="17"/>
  <c r="AD8" i="17"/>
  <c r="AC8" i="17"/>
  <c r="Z8" i="17"/>
  <c r="W8" i="17"/>
  <c r="T8" i="17"/>
  <c r="Q8" i="17"/>
  <c r="N8" i="17"/>
  <c r="K8" i="17"/>
  <c r="H8" i="17"/>
  <c r="E8" i="17"/>
  <c r="E21" i="17" s="1"/>
  <c r="HB7" i="17"/>
  <c r="GY7" i="17"/>
  <c r="GV7" i="17"/>
  <c r="GM7" i="17"/>
  <c r="GJ7" i="17"/>
  <c r="GJ5" i="17" s="1"/>
  <c r="GG7" i="17"/>
  <c r="GG5" i="17" s="1"/>
  <c r="FI7" i="17"/>
  <c r="FI5" i="17" s="1"/>
  <c r="FF7" i="17"/>
  <c r="FF5" i="17" s="1"/>
  <c r="FC7" i="17"/>
  <c r="FC5" i="17" s="1"/>
  <c r="EW7" i="17"/>
  <c r="ET7" i="17"/>
  <c r="ET5" i="17" s="1"/>
  <c r="EQ7" i="17"/>
  <c r="EN7" i="17"/>
  <c r="EN5" i="17" s="1"/>
  <c r="EE7" i="17"/>
  <c r="EB7" i="17"/>
  <c r="DY7" i="17"/>
  <c r="DS7" i="17"/>
  <c r="DP7" i="17"/>
  <c r="DM7" i="17"/>
  <c r="DJ7" i="17"/>
  <c r="DA7" i="17"/>
  <c r="CX7" i="17"/>
  <c r="CX6" i="17" s="1"/>
  <c r="CO7" i="17"/>
  <c r="CL7" i="17"/>
  <c r="CI7" i="17"/>
  <c r="CF7" i="17"/>
  <c r="CC7" i="17"/>
  <c r="BZ7" i="17"/>
  <c r="BT7" i="17"/>
  <c r="BQ7" i="17"/>
  <c r="BN7" i="17"/>
  <c r="BK7" i="17"/>
  <c r="BH7" i="17"/>
  <c r="BE7" i="17"/>
  <c r="BB7" i="17"/>
  <c r="AY7" i="17"/>
  <c r="AV7" i="17"/>
  <c r="AS7" i="17"/>
  <c r="AS2" i="17" s="1"/>
  <c r="AP7" i="17"/>
  <c r="AM7" i="17"/>
  <c r="AJ7" i="17"/>
  <c r="Z7" i="17"/>
  <c r="W7" i="17"/>
  <c r="T7" i="17"/>
  <c r="Q7" i="17"/>
  <c r="N7" i="17"/>
  <c r="K7" i="17"/>
  <c r="H7" i="17"/>
  <c r="E7" i="17"/>
  <c r="E6" i="17" s="1"/>
  <c r="E22" i="17" s="1"/>
  <c r="E4" i="17" s="1"/>
  <c r="HB6" i="17"/>
  <c r="GY6" i="17"/>
  <c r="GV6" i="17"/>
  <c r="GP6" i="17"/>
  <c r="GJ6" i="17"/>
  <c r="GG6" i="17"/>
  <c r="GD6" i="17"/>
  <c r="GA6" i="17"/>
  <c r="FU6" i="17"/>
  <c r="FR6" i="17"/>
  <c r="FL6" i="17"/>
  <c r="EZ6" i="17"/>
  <c r="EW6" i="17"/>
  <c r="ET6" i="17"/>
  <c r="EQ6" i="17"/>
  <c r="EN6" i="17"/>
  <c r="EK6" i="17"/>
  <c r="EH6" i="17"/>
  <c r="DV6" i="17"/>
  <c r="DS6" i="17"/>
  <c r="DD6" i="17"/>
  <c r="DA6" i="17"/>
  <c r="CR6" i="17"/>
  <c r="BZ6" i="17"/>
  <c r="BW6" i="17"/>
  <c r="BT6" i="17"/>
  <c r="BH6" i="17"/>
  <c r="BE6" i="17"/>
  <c r="BB6" i="17"/>
  <c r="AY6" i="17"/>
  <c r="AV6" i="17"/>
  <c r="AV2" i="17" s="1"/>
  <c r="Z6" i="17"/>
  <c r="Z19" i="17" s="1"/>
  <c r="W6" i="17"/>
  <c r="K6" i="17"/>
  <c r="H6" i="17"/>
  <c r="HE5" i="17"/>
  <c r="HB5" i="17"/>
  <c r="GY5" i="17"/>
  <c r="GV5" i="17"/>
  <c r="GS5" i="17"/>
  <c r="GP5" i="17"/>
  <c r="GP2" i="17" s="1"/>
  <c r="GM5" i="17"/>
  <c r="GD5" i="17"/>
  <c r="GA5" i="17"/>
  <c r="FX5" i="17"/>
  <c r="FU5" i="17"/>
  <c r="FR5" i="17"/>
  <c r="FO5" i="17"/>
  <c r="FL5" i="17"/>
  <c r="EZ5" i="17"/>
  <c r="EW5" i="17"/>
  <c r="EW2" i="17" s="1"/>
  <c r="EQ5" i="17"/>
  <c r="EK5" i="17"/>
  <c r="EH5" i="17"/>
  <c r="EE5" i="17"/>
  <c r="EB5" i="17"/>
  <c r="DY5" i="17"/>
  <c r="DV5" i="17"/>
  <c r="DS5" i="17"/>
  <c r="DM5" i="17"/>
  <c r="DJ5" i="17"/>
  <c r="DD5" i="17"/>
  <c r="DA5" i="17"/>
  <c r="CX5" i="17"/>
  <c r="CO5" i="17"/>
  <c r="CR5" i="17" s="1"/>
  <c r="CL5" i="17"/>
  <c r="CI5" i="17"/>
  <c r="CF5" i="17"/>
  <c r="CC5" i="17"/>
  <c r="BZ5" i="17"/>
  <c r="BW5" i="17"/>
  <c r="BT5" i="17"/>
  <c r="BQ5" i="17"/>
  <c r="BN5" i="17"/>
  <c r="BK5" i="17"/>
  <c r="BH5" i="17"/>
  <c r="BE5" i="17"/>
  <c r="BB5" i="17"/>
  <c r="AY5" i="17"/>
  <c r="AY2" i="17" s="1"/>
  <c r="AV5" i="17"/>
  <c r="AS5" i="17"/>
  <c r="AP5" i="17"/>
  <c r="AM5" i="17"/>
  <c r="AJ5" i="17"/>
  <c r="AG5" i="17"/>
  <c r="AF5" i="17"/>
  <c r="AE5" i="17"/>
  <c r="AD5" i="17"/>
  <c r="AC5" i="17"/>
  <c r="Z5" i="17"/>
  <c r="W5" i="17"/>
  <c r="T5" i="17"/>
  <c r="Q5" i="17"/>
  <c r="N5" i="17"/>
  <c r="K5" i="17"/>
  <c r="H5" i="17"/>
  <c r="E5" i="17"/>
  <c r="E23" i="17" s="1"/>
  <c r="FX2" i="17"/>
  <c r="DS2" i="17"/>
  <c r="EB2" i="17" s="1"/>
  <c r="T2" i="17"/>
  <c r="Q2" i="17"/>
  <c r="HE25" i="14"/>
  <c r="HE41" i="14"/>
  <c r="HE40" i="14"/>
  <c r="HE39" i="14"/>
  <c r="HE38" i="14"/>
  <c r="HE36" i="14"/>
  <c r="HE35" i="14"/>
  <c r="HE34" i="14"/>
  <c r="HE32" i="14"/>
  <c r="HE31" i="14"/>
  <c r="HE30" i="14"/>
  <c r="HE29" i="14"/>
  <c r="HE28" i="14"/>
  <c r="HE27" i="14"/>
  <c r="HE14" i="14"/>
  <c r="HE11" i="14"/>
  <c r="HE10" i="14"/>
  <c r="HE9" i="14"/>
  <c r="HE8" i="14"/>
  <c r="HE7" i="14" s="1"/>
  <c r="H2" i="6"/>
  <c r="H2" i="8"/>
  <c r="HE41" i="1"/>
  <c r="HE40" i="1"/>
  <c r="HE39" i="1"/>
  <c r="HE38" i="1"/>
  <c r="HE36" i="1"/>
  <c r="HE35" i="1"/>
  <c r="HE32" i="1"/>
  <c r="HE31" i="1"/>
  <c r="HE30" i="1"/>
  <c r="HE29" i="1"/>
  <c r="HE10" i="1"/>
  <c r="HE9" i="1"/>
  <c r="HE11" i="1"/>
  <c r="GD5" i="14"/>
  <c r="CC28" i="14"/>
  <c r="CO9" i="1"/>
  <c r="CL30" i="1"/>
  <c r="CL27" i="1"/>
  <c r="CL10" i="1"/>
  <c r="CL29" i="1"/>
  <c r="CO19" i="1" s="1"/>
  <c r="CL31" i="14"/>
  <c r="CL13" i="14"/>
  <c r="CL14" i="14"/>
  <c r="CL29" i="14"/>
  <c r="CL30" i="14" s="1"/>
  <c r="CL12" i="14"/>
  <c r="CL28" i="14"/>
  <c r="CL11" i="14"/>
  <c r="J5" i="5"/>
  <c r="J6" i="5"/>
  <c r="AD35" i="14"/>
  <c r="B108" i="18"/>
  <c r="B108" i="17"/>
  <c r="B108" i="16"/>
  <c r="B43" i="18"/>
  <c r="B42" i="18"/>
  <c r="B33" i="18"/>
  <c r="B32" i="18"/>
  <c r="B43" i="17"/>
  <c r="B42" i="17"/>
  <c r="B33" i="17"/>
  <c r="B32" i="17"/>
  <c r="B43" i="16"/>
  <c r="B42" i="16"/>
  <c r="B33" i="16"/>
  <c r="B32" i="16"/>
  <c r="K11" i="14"/>
  <c r="H13" i="9" l="1"/>
  <c r="CX20" i="10"/>
  <c r="K18" i="10"/>
  <c r="K17" i="10" s="1"/>
  <c r="E22" i="10"/>
  <c r="K18" i="11"/>
  <c r="K17" i="11" s="1"/>
  <c r="H2" i="29"/>
  <c r="Z26" i="29"/>
  <c r="W4" i="29"/>
  <c r="BZ14" i="29"/>
  <c r="W3" i="29"/>
  <c r="GJ2" i="28"/>
  <c r="GD2" i="28"/>
  <c r="DP2" i="28"/>
  <c r="W26" i="28"/>
  <c r="K18" i="28"/>
  <c r="K17" i="28" s="1"/>
  <c r="Z4" i="28"/>
  <c r="EK2" i="28"/>
  <c r="DA19" i="28" s="1"/>
  <c r="FO2" i="28"/>
  <c r="DA22" i="28" s="1"/>
  <c r="CO2" i="28"/>
  <c r="Z26" i="28"/>
  <c r="AD33" i="28"/>
  <c r="AD2" i="28" s="1"/>
  <c r="K14" i="28"/>
  <c r="K15" i="28"/>
  <c r="W4" i="26"/>
  <c r="AD34" i="26"/>
  <c r="GJ2" i="26"/>
  <c r="EQ2" i="26"/>
  <c r="DD2" i="26"/>
  <c r="Z3" i="26"/>
  <c r="H14" i="26"/>
  <c r="GS2" i="26"/>
  <c r="DA18" i="26" s="1"/>
  <c r="K16" i="30"/>
  <c r="K17" i="27"/>
  <c r="E22" i="27"/>
  <c r="E4" i="27" s="1"/>
  <c r="CX20" i="30"/>
  <c r="CX3" i="30" s="1"/>
  <c r="BT21" i="30"/>
  <c r="FO2" i="30"/>
  <c r="DA22" i="30" s="1"/>
  <c r="K2" i="30"/>
  <c r="AD32" i="30"/>
  <c r="FR2" i="30"/>
  <c r="CU23" i="30" s="1"/>
  <c r="DA4" i="30"/>
  <c r="W26" i="30"/>
  <c r="Z3" i="30"/>
  <c r="AD33" i="30"/>
  <c r="GS2" i="30"/>
  <c r="DA18" i="30" s="1"/>
  <c r="BZ13" i="30"/>
  <c r="BZ2" i="30" s="1"/>
  <c r="AF2" i="30"/>
  <c r="Z4" i="30"/>
  <c r="BW2" i="30"/>
  <c r="CX4" i="23"/>
  <c r="W26" i="23"/>
  <c r="FF2" i="23"/>
  <c r="K18" i="23"/>
  <c r="K17" i="23" s="1"/>
  <c r="Z3" i="23"/>
  <c r="EZ2" i="23"/>
  <c r="DA17" i="23" s="1"/>
  <c r="W4" i="23"/>
  <c r="BT3" i="23"/>
  <c r="AG34" i="25"/>
  <c r="K2" i="25"/>
  <c r="AE34" i="25"/>
  <c r="W26" i="25"/>
  <c r="AE33" i="25"/>
  <c r="AE2" i="25" s="1"/>
  <c r="AC2" i="25"/>
  <c r="W25" i="25"/>
  <c r="W3" i="25"/>
  <c r="DP2" i="25"/>
  <c r="DV2" i="29"/>
  <c r="DA20" i="29" s="1"/>
  <c r="EB2" i="29"/>
  <c r="EB2" i="28"/>
  <c r="CU3" i="6"/>
  <c r="DA3" i="6"/>
  <c r="DA3" i="9"/>
  <c r="FO2" i="9"/>
  <c r="DA22" i="9" s="1"/>
  <c r="FR2" i="9"/>
  <c r="CU23" i="9" s="1"/>
  <c r="GJ2" i="9"/>
  <c r="GD2" i="9"/>
  <c r="DA21" i="9" s="1"/>
  <c r="K2" i="12"/>
  <c r="AE2" i="12"/>
  <c r="AF2" i="10"/>
  <c r="CX3" i="10"/>
  <c r="CX4" i="10"/>
  <c r="CO2" i="11"/>
  <c r="EK2" i="11"/>
  <c r="DA19" i="11" s="1"/>
  <c r="BT4" i="9"/>
  <c r="BW2" i="9"/>
  <c r="CO2" i="9"/>
  <c r="GG2" i="9"/>
  <c r="CU22" i="9" s="1"/>
  <c r="W26" i="9"/>
  <c r="W3" i="10"/>
  <c r="DA18" i="10"/>
  <c r="DA19" i="10"/>
  <c r="CO2" i="10"/>
  <c r="E3" i="10"/>
  <c r="BT4" i="10"/>
  <c r="HE6" i="19"/>
  <c r="HE4" i="19" s="1"/>
  <c r="HE26" i="19"/>
  <c r="DA4" i="8"/>
  <c r="DA4" i="6"/>
  <c r="AE2" i="6"/>
  <c r="GS2" i="29"/>
  <c r="DA18" i="29" s="1"/>
  <c r="GY2" i="29"/>
  <c r="Z25" i="29"/>
  <c r="CX20" i="29"/>
  <c r="CX3" i="29" s="1"/>
  <c r="BT21" i="29"/>
  <c r="DA3" i="29"/>
  <c r="AD34" i="29"/>
  <c r="AD2" i="29" s="1"/>
  <c r="CO2" i="29"/>
  <c r="E3" i="29"/>
  <c r="AG2" i="29"/>
  <c r="H14" i="29"/>
  <c r="FC2" i="29"/>
  <c r="CU18" i="29" s="1"/>
  <c r="EK2" i="29"/>
  <c r="DA19" i="29" s="1"/>
  <c r="BT3" i="29"/>
  <c r="AF2" i="28"/>
  <c r="AG2" i="28"/>
  <c r="CX22" i="28"/>
  <c r="CX4" i="28" s="1"/>
  <c r="GS2" i="28"/>
  <c r="DA18" i="28" s="1"/>
  <c r="BT23" i="28"/>
  <c r="BT4" i="28" s="1"/>
  <c r="BW2" i="28"/>
  <c r="AG2" i="26"/>
  <c r="AC2" i="26"/>
  <c r="AF2" i="26"/>
  <c r="K18" i="26"/>
  <c r="K17" i="26" s="1"/>
  <c r="K2" i="26" s="1"/>
  <c r="DV2" i="26"/>
  <c r="DA20" i="26" s="1"/>
  <c r="DY2" i="26"/>
  <c r="CU21" i="26" s="1"/>
  <c r="H13" i="26"/>
  <c r="H2" i="26" s="1"/>
  <c r="CO19" i="26"/>
  <c r="BT23" i="26"/>
  <c r="FR2" i="26"/>
  <c r="CU23" i="26" s="1"/>
  <c r="EK2" i="26"/>
  <c r="DA19" i="26" s="1"/>
  <c r="AF2" i="24"/>
  <c r="CO2" i="24"/>
  <c r="K2" i="24"/>
  <c r="H51" i="24"/>
  <c r="FO2" i="24"/>
  <c r="DA22" i="24" s="1"/>
  <c r="Z4" i="24"/>
  <c r="FR2" i="24"/>
  <c r="CU23" i="24" s="1"/>
  <c r="FC2" i="24"/>
  <c r="CU18" i="24" s="1"/>
  <c r="DA21" i="24"/>
  <c r="W3" i="24"/>
  <c r="AE2" i="30"/>
  <c r="DD2" i="30"/>
  <c r="E20" i="30"/>
  <c r="E3" i="30" s="1"/>
  <c r="W3" i="30"/>
  <c r="H13" i="30"/>
  <c r="AG2" i="30"/>
  <c r="DP2" i="30"/>
  <c r="BT4" i="27"/>
  <c r="K15" i="27"/>
  <c r="GJ2" i="27"/>
  <c r="EN2" i="27"/>
  <c r="CU20" i="27" s="1"/>
  <c r="DA21" i="27"/>
  <c r="W3" i="27"/>
  <c r="CX20" i="27"/>
  <c r="CX3" i="27" s="1"/>
  <c r="EQ2" i="27"/>
  <c r="H51" i="27"/>
  <c r="H13" i="27" s="1"/>
  <c r="H2" i="27" s="1"/>
  <c r="FU2" i="25"/>
  <c r="FR2" i="25"/>
  <c r="CU23" i="25" s="1"/>
  <c r="FO2" i="25"/>
  <c r="DA22" i="25" s="1"/>
  <c r="CO19" i="25"/>
  <c r="H14" i="25"/>
  <c r="AG2" i="25"/>
  <c r="BW2" i="25"/>
  <c r="H51" i="25"/>
  <c r="CX20" i="25"/>
  <c r="CX3" i="25" s="1"/>
  <c r="BZ13" i="25"/>
  <c r="AD32" i="25"/>
  <c r="AD2" i="25" s="1"/>
  <c r="GV2" i="23"/>
  <c r="CU19" i="23" s="1"/>
  <c r="GY2" i="23"/>
  <c r="GS2" i="23"/>
  <c r="DA18" i="23" s="1"/>
  <c r="K2" i="23"/>
  <c r="H2" i="23"/>
  <c r="HE6" i="23" s="1"/>
  <c r="HE4" i="23" s="1"/>
  <c r="BZ15" i="23"/>
  <c r="BZ14" i="23"/>
  <c r="BZ2" i="23" s="1"/>
  <c r="AG2" i="23"/>
  <c r="W25" i="23"/>
  <c r="BT23" i="23"/>
  <c r="BT4" i="23" s="1"/>
  <c r="CR19" i="23"/>
  <c r="CX20" i="23"/>
  <c r="CX3" i="23" s="1"/>
  <c r="EK2" i="23"/>
  <c r="DA19" i="23" s="1"/>
  <c r="DA18" i="12"/>
  <c r="CU19" i="12"/>
  <c r="W25" i="12"/>
  <c r="AF2" i="12"/>
  <c r="H13" i="11"/>
  <c r="H2" i="11" s="1"/>
  <c r="AC2" i="11"/>
  <c r="Z3" i="11"/>
  <c r="BT21" i="11"/>
  <c r="BT3" i="11" s="1"/>
  <c r="DD2" i="11"/>
  <c r="DM2" i="11" s="1"/>
  <c r="CX3" i="11"/>
  <c r="DP2" i="11"/>
  <c r="DA21" i="11"/>
  <c r="E22" i="11"/>
  <c r="E4" i="11" s="1"/>
  <c r="BZ14" i="11"/>
  <c r="BZ2" i="11" s="1"/>
  <c r="K2" i="10"/>
  <c r="DA16" i="10"/>
  <c r="DA4" i="10" s="1"/>
  <c r="BT3" i="10"/>
  <c r="CU22" i="10"/>
  <c r="BZ14" i="10"/>
  <c r="Z3" i="10"/>
  <c r="AD34" i="10"/>
  <c r="AD32" i="10"/>
  <c r="CU19" i="10"/>
  <c r="Z26" i="10"/>
  <c r="Z25" i="9"/>
  <c r="Z3" i="9"/>
  <c r="CX20" i="9"/>
  <c r="CX3" i="9" s="1"/>
  <c r="DV2" i="9"/>
  <c r="DA20" i="9" s="1"/>
  <c r="EB2" i="9"/>
  <c r="GY2" i="9"/>
  <c r="GV2" i="9"/>
  <c r="CU19" i="9" s="1"/>
  <c r="GS2" i="9"/>
  <c r="DA18" i="9" s="1"/>
  <c r="EN2" i="9"/>
  <c r="CU20" i="9" s="1"/>
  <c r="EQ2" i="9"/>
  <c r="EK2" i="9"/>
  <c r="DA19" i="9" s="1"/>
  <c r="K14" i="9"/>
  <c r="K2" i="9" s="1"/>
  <c r="E22" i="9"/>
  <c r="E4" i="9" s="1"/>
  <c r="K15" i="9"/>
  <c r="HE6" i="29"/>
  <c r="HE4" i="29" s="1"/>
  <c r="HE26" i="29"/>
  <c r="HE24" i="29" s="1"/>
  <c r="Z3" i="29"/>
  <c r="DM2" i="29"/>
  <c r="DJ2" i="29"/>
  <c r="CU17" i="29" s="1"/>
  <c r="DG5" i="29"/>
  <c r="DG2" i="29" s="1"/>
  <c r="DA16" i="29" s="1"/>
  <c r="GV2" i="29"/>
  <c r="CU19" i="29" s="1"/>
  <c r="H13" i="29"/>
  <c r="FR2" i="29"/>
  <c r="CU23" i="29" s="1"/>
  <c r="EN2" i="29"/>
  <c r="CU20" i="29" s="1"/>
  <c r="AD32" i="29"/>
  <c r="GJ2" i="29"/>
  <c r="GG2" i="29"/>
  <c r="CU22" i="29" s="1"/>
  <c r="DA21" i="29"/>
  <c r="BZ2" i="29"/>
  <c r="CU15" i="29"/>
  <c r="BZ13" i="29"/>
  <c r="EN2" i="28"/>
  <c r="CU20" i="28" s="1"/>
  <c r="DA21" i="28"/>
  <c r="H51" i="28"/>
  <c r="H13" i="28" s="1"/>
  <c r="H2" i="28" s="1"/>
  <c r="AE2" i="28"/>
  <c r="E3" i="28"/>
  <c r="FC2" i="28"/>
  <c r="CU18" i="28" s="1"/>
  <c r="EZ2" i="28"/>
  <c r="DA17" i="28" s="1"/>
  <c r="FF2" i="28"/>
  <c r="DG5" i="28"/>
  <c r="DG2" i="28" s="1"/>
  <c r="DA16" i="28" s="1"/>
  <c r="GG2" i="28"/>
  <c r="CU22" i="28" s="1"/>
  <c r="AC2" i="28"/>
  <c r="CU15" i="28"/>
  <c r="GV2" i="28"/>
  <c r="CU19" i="28" s="1"/>
  <c r="DJ2" i="28"/>
  <c r="CU17" i="28" s="1"/>
  <c r="E4" i="28"/>
  <c r="BZ2" i="28"/>
  <c r="FR2" i="28"/>
  <c r="CU23" i="28" s="1"/>
  <c r="Z3" i="28"/>
  <c r="BT3" i="28"/>
  <c r="DY2" i="28"/>
  <c r="CU21" i="28" s="1"/>
  <c r="K2" i="28"/>
  <c r="CX3" i="26"/>
  <c r="DG2" i="26"/>
  <c r="DA16" i="26" s="1"/>
  <c r="DA4" i="26" s="1"/>
  <c r="DM2" i="26"/>
  <c r="DJ2" i="26"/>
  <c r="CU17" i="26" s="1"/>
  <c r="CU4" i="26" s="1"/>
  <c r="E3" i="26"/>
  <c r="AE33" i="26"/>
  <c r="BT4" i="26"/>
  <c r="BT3" i="26"/>
  <c r="AE32" i="26"/>
  <c r="AD32" i="26"/>
  <c r="AD2" i="26" s="1"/>
  <c r="DG5" i="26"/>
  <c r="BW2" i="26"/>
  <c r="DP2" i="26"/>
  <c r="H13" i="24"/>
  <c r="H2" i="24"/>
  <c r="BZ2" i="24"/>
  <c r="AE2" i="24"/>
  <c r="GS2" i="24"/>
  <c r="DA18" i="24" s="1"/>
  <c r="GY2" i="24"/>
  <c r="GV2" i="24"/>
  <c r="CU19" i="24" s="1"/>
  <c r="E3" i="24"/>
  <c r="Z3" i="24"/>
  <c r="DM2" i="24"/>
  <c r="DJ2" i="24"/>
  <c r="CU17" i="24" s="1"/>
  <c r="CU4" i="24" s="1"/>
  <c r="DG2" i="24"/>
  <c r="DA16" i="24" s="1"/>
  <c r="DA3" i="24" s="1"/>
  <c r="BT3" i="30"/>
  <c r="EQ2" i="30"/>
  <c r="EN2" i="30"/>
  <c r="CU20" i="30" s="1"/>
  <c r="EK2" i="30"/>
  <c r="DA19" i="30" s="1"/>
  <c r="DA3" i="30"/>
  <c r="AD2" i="30"/>
  <c r="AC2" i="30"/>
  <c r="CU4" i="30"/>
  <c r="CU3" i="30"/>
  <c r="H2" i="30"/>
  <c r="E4" i="30"/>
  <c r="K17" i="30"/>
  <c r="CU4" i="27"/>
  <c r="AE2" i="27"/>
  <c r="AD2" i="27"/>
  <c r="BT3" i="27"/>
  <c r="AG2" i="27"/>
  <c r="K16" i="27"/>
  <c r="FO2" i="27"/>
  <c r="DA22" i="27" s="1"/>
  <c r="FU2" i="27"/>
  <c r="FR2" i="27"/>
  <c r="CU23" i="27" s="1"/>
  <c r="CU3" i="27" s="1"/>
  <c r="AF2" i="27"/>
  <c r="Z25" i="27"/>
  <c r="BZ2" i="27"/>
  <c r="W26" i="27"/>
  <c r="BT21" i="25"/>
  <c r="BT3" i="25" s="1"/>
  <c r="BT23" i="25"/>
  <c r="BT4" i="25" s="1"/>
  <c r="DJ2" i="25"/>
  <c r="CU17" i="25" s="1"/>
  <c r="DG2" i="25"/>
  <c r="DA16" i="25" s="1"/>
  <c r="DM2" i="25"/>
  <c r="EQ2" i="25"/>
  <c r="EK2" i="25"/>
  <c r="DA19" i="25" s="1"/>
  <c r="EN2" i="25"/>
  <c r="CU20" i="25" s="1"/>
  <c r="BZ15" i="25"/>
  <c r="EB2" i="25"/>
  <c r="DY2" i="25"/>
  <c r="CU21" i="25" s="1"/>
  <c r="DV2" i="25"/>
  <c r="DA20" i="25" s="1"/>
  <c r="AF2" i="25"/>
  <c r="BZ14" i="25"/>
  <c r="E3" i="25"/>
  <c r="Z3" i="25"/>
  <c r="E4" i="25"/>
  <c r="FF2" i="25"/>
  <c r="FC2" i="25"/>
  <c r="CU18" i="25" s="1"/>
  <c r="EZ2" i="25"/>
  <c r="DA17" i="25" s="1"/>
  <c r="CX4" i="25"/>
  <c r="AE2" i="23"/>
  <c r="AC2" i="23"/>
  <c r="GJ2" i="23"/>
  <c r="GG2" i="23"/>
  <c r="CU22" i="23" s="1"/>
  <c r="DA21" i="23"/>
  <c r="AF2" i="23"/>
  <c r="DG2" i="23"/>
  <c r="DA16" i="23" s="1"/>
  <c r="DA4" i="23" s="1"/>
  <c r="DM2" i="23"/>
  <c r="DJ2" i="23"/>
  <c r="CU17" i="23" s="1"/>
  <c r="CU4" i="23" s="1"/>
  <c r="E4" i="23"/>
  <c r="AD2" i="23"/>
  <c r="H2" i="12"/>
  <c r="Z25" i="12"/>
  <c r="DA4" i="12"/>
  <c r="Z4" i="12"/>
  <c r="CU22" i="12"/>
  <c r="DA21" i="12"/>
  <c r="BT4" i="12"/>
  <c r="E3" i="12"/>
  <c r="CU18" i="12"/>
  <c r="DA17" i="12"/>
  <c r="BZ2" i="12"/>
  <c r="AG2" i="11"/>
  <c r="FR2" i="11"/>
  <c r="CU23" i="11" s="1"/>
  <c r="GG2" i="11"/>
  <c r="CU22" i="11" s="1"/>
  <c r="AD2" i="11"/>
  <c r="DY2" i="11"/>
  <c r="CU21" i="11" s="1"/>
  <c r="K2" i="11"/>
  <c r="AF2" i="11"/>
  <c r="W4" i="11"/>
  <c r="AE2" i="11"/>
  <c r="GV2" i="11"/>
  <c r="CU19" i="11" s="1"/>
  <c r="CU15" i="11"/>
  <c r="FC2" i="11"/>
  <c r="CU18" i="11" s="1"/>
  <c r="Z4" i="11"/>
  <c r="CU14" i="11"/>
  <c r="Z25" i="11"/>
  <c r="W25" i="10"/>
  <c r="W4" i="10"/>
  <c r="AE2" i="10"/>
  <c r="Z4" i="10"/>
  <c r="CU20" i="10"/>
  <c r="CU18" i="10"/>
  <c r="DA17" i="10"/>
  <c r="Z25" i="10"/>
  <c r="H13" i="10"/>
  <c r="CU17" i="10"/>
  <c r="AG2" i="10"/>
  <c r="CU14" i="10"/>
  <c r="CU15" i="10"/>
  <c r="CU21" i="10"/>
  <c r="AC32" i="10"/>
  <c r="BZ13" i="10"/>
  <c r="AC33" i="10"/>
  <c r="H2" i="10"/>
  <c r="E4" i="10"/>
  <c r="AD2" i="9"/>
  <c r="FF2" i="9"/>
  <c r="FC2" i="9"/>
  <c r="CU18" i="9" s="1"/>
  <c r="EZ2" i="9"/>
  <c r="DA17" i="9" s="1"/>
  <c r="Z4" i="9"/>
  <c r="AC34" i="9"/>
  <c r="DM2" i="9"/>
  <c r="DJ2" i="9"/>
  <c r="CU17" i="9" s="1"/>
  <c r="CU4" i="9" s="1"/>
  <c r="AC32" i="9"/>
  <c r="Z26" i="9"/>
  <c r="H2" i="9"/>
  <c r="W3" i="9"/>
  <c r="AG2" i="9"/>
  <c r="AF2" i="9"/>
  <c r="DG6" i="9"/>
  <c r="DG5" i="9"/>
  <c r="AE2" i="9"/>
  <c r="BZ13" i="9"/>
  <c r="BZ2" i="9" s="1"/>
  <c r="W4" i="9"/>
  <c r="HE23" i="21"/>
  <c r="HE24" i="21"/>
  <c r="HE23" i="20"/>
  <c r="HE24" i="20"/>
  <c r="HE23" i="19"/>
  <c r="HE24" i="19"/>
  <c r="DA21" i="21"/>
  <c r="GJ2" i="21"/>
  <c r="GG2" i="21"/>
  <c r="CU22" i="21" s="1"/>
  <c r="FF2" i="21"/>
  <c r="FC2" i="21"/>
  <c r="CU18" i="21" s="1"/>
  <c r="EZ2" i="21"/>
  <c r="DA17" i="21" s="1"/>
  <c r="DJ2" i="21"/>
  <c r="CU17" i="21" s="1"/>
  <c r="DG2" i="21"/>
  <c r="DA16" i="21" s="1"/>
  <c r="DM2" i="21"/>
  <c r="EQ2" i="21"/>
  <c r="EN2" i="21"/>
  <c r="CU20" i="21" s="1"/>
  <c r="EK2" i="21"/>
  <c r="DA19" i="21" s="1"/>
  <c r="FF2" i="20"/>
  <c r="FC2" i="20"/>
  <c r="CU18" i="20" s="1"/>
  <c r="EZ2" i="20"/>
  <c r="DA17" i="20" s="1"/>
  <c r="DA21" i="20"/>
  <c r="GJ2" i="20"/>
  <c r="GG2" i="20"/>
  <c r="CU22" i="20" s="1"/>
  <c r="EQ2" i="20"/>
  <c r="EN2" i="20"/>
  <c r="CU20" i="20" s="1"/>
  <c r="EK2" i="20"/>
  <c r="DA19" i="20" s="1"/>
  <c r="DJ2" i="20"/>
  <c r="CU17" i="20" s="1"/>
  <c r="CU4" i="20" s="1"/>
  <c r="DG2" i="20"/>
  <c r="DA16" i="20" s="1"/>
  <c r="DA4" i="20" s="1"/>
  <c r="DM2" i="20"/>
  <c r="DJ2" i="19"/>
  <c r="CU17" i="19" s="1"/>
  <c r="CU4" i="19" s="1"/>
  <c r="DM2" i="19"/>
  <c r="DG2" i="19"/>
  <c r="DA16" i="19" s="1"/>
  <c r="DA4" i="19" s="1"/>
  <c r="GY2" i="19"/>
  <c r="GV2" i="19"/>
  <c r="CU19" i="19" s="1"/>
  <c r="GS2" i="19"/>
  <c r="DA18" i="19" s="1"/>
  <c r="DA21" i="19"/>
  <c r="GJ2" i="19"/>
  <c r="GG2" i="19"/>
  <c r="CU22" i="19" s="1"/>
  <c r="EQ2" i="19"/>
  <c r="EK2" i="19"/>
  <c r="DA19" i="19" s="1"/>
  <c r="EN2" i="19"/>
  <c r="CU20" i="19" s="1"/>
  <c r="FF2" i="19"/>
  <c r="EZ2" i="19"/>
  <c r="DA17" i="19" s="1"/>
  <c r="FC2" i="19"/>
  <c r="CU18" i="19" s="1"/>
  <c r="BT4" i="21"/>
  <c r="BZ2" i="20"/>
  <c r="BT4" i="20"/>
  <c r="BZ2" i="19"/>
  <c r="W3" i="21"/>
  <c r="Z26" i="21"/>
  <c r="Z4" i="21"/>
  <c r="AE32" i="21"/>
  <c r="Z3" i="20"/>
  <c r="W3" i="20"/>
  <c r="W26" i="19"/>
  <c r="K2" i="21"/>
  <c r="K2" i="20"/>
  <c r="E3" i="20"/>
  <c r="E3" i="19"/>
  <c r="K2" i="19"/>
  <c r="AS21" i="16"/>
  <c r="Z25" i="16"/>
  <c r="CF19" i="16"/>
  <c r="AV21" i="16"/>
  <c r="AF34" i="16"/>
  <c r="BZ15" i="16"/>
  <c r="AG34" i="16"/>
  <c r="W25" i="16"/>
  <c r="AV2" i="16"/>
  <c r="AG33" i="16"/>
  <c r="AG2" i="16" s="1"/>
  <c r="BE6" i="16"/>
  <c r="BE2" i="16" s="1"/>
  <c r="CC6" i="16"/>
  <c r="CC2" i="16" s="1"/>
  <c r="BW10" i="16"/>
  <c r="BW2" i="16" s="1"/>
  <c r="AE32" i="16"/>
  <c r="AE2" i="16" s="1"/>
  <c r="AD34" i="16"/>
  <c r="AD2" i="16" s="1"/>
  <c r="Z40" i="16"/>
  <c r="Z26" i="16" s="1"/>
  <c r="CF6" i="16"/>
  <c r="CF2" i="16" s="1"/>
  <c r="BT23" i="16"/>
  <c r="AF26" i="16"/>
  <c r="AF30" i="16" s="1"/>
  <c r="AF33" i="16" s="1"/>
  <c r="AE34" i="16"/>
  <c r="AD33" i="16"/>
  <c r="Z41" i="16"/>
  <c r="BT24" i="16"/>
  <c r="BB25" i="16"/>
  <c r="BB21" i="16" s="1"/>
  <c r="BQ6" i="16"/>
  <c r="BQ2" i="16" s="1"/>
  <c r="BZ14" i="16"/>
  <c r="CF23" i="16"/>
  <c r="BK25" i="16"/>
  <c r="BK21" i="16" s="1"/>
  <c r="W39" i="16"/>
  <c r="BN25" i="16"/>
  <c r="BN21" i="16" s="1"/>
  <c r="AC32" i="16"/>
  <c r="AC2" i="16" s="1"/>
  <c r="W38" i="16"/>
  <c r="W26" i="16" s="1"/>
  <c r="Z39" i="16"/>
  <c r="BZ13" i="16"/>
  <c r="BZ2" i="16" s="1"/>
  <c r="BT21" i="16"/>
  <c r="BT3" i="16" s="1"/>
  <c r="BE25" i="16"/>
  <c r="BE21" i="16" s="1"/>
  <c r="CX23" i="16"/>
  <c r="CX4" i="16"/>
  <c r="DA14" i="16"/>
  <c r="CR19" i="16"/>
  <c r="CO19" i="16"/>
  <c r="CL13" i="16"/>
  <c r="CO2" i="16" s="1"/>
  <c r="DA25" i="16"/>
  <c r="DA15" i="16" s="1"/>
  <c r="CR2" i="16"/>
  <c r="GY2" i="16"/>
  <c r="GS2" i="16"/>
  <c r="GM2" i="16"/>
  <c r="DG5" i="16"/>
  <c r="DG2" i="16" s="1"/>
  <c r="DP2" i="16"/>
  <c r="DV2" i="16"/>
  <c r="DA20" i="16" s="1"/>
  <c r="EB2" i="16"/>
  <c r="FF2" i="16"/>
  <c r="EZ2" i="16"/>
  <c r="GA2" i="16"/>
  <c r="HE33" i="16"/>
  <c r="HE23" i="16" s="1"/>
  <c r="EK2" i="16"/>
  <c r="EQ2" i="16"/>
  <c r="FR2" i="16"/>
  <c r="CU23" i="16" s="1"/>
  <c r="FO2" i="16"/>
  <c r="FU2" i="16"/>
  <c r="EE2" i="16"/>
  <c r="DM2" i="16"/>
  <c r="HE4" i="16"/>
  <c r="HE37" i="16"/>
  <c r="DG11" i="16"/>
  <c r="DG6" i="16" s="1"/>
  <c r="DP6" i="16"/>
  <c r="H50" i="16"/>
  <c r="K15" i="16"/>
  <c r="E21" i="16"/>
  <c r="H12" i="16"/>
  <c r="H21" i="16"/>
  <c r="H25" i="16"/>
  <c r="H52" i="16"/>
  <c r="K14" i="16"/>
  <c r="K25" i="16"/>
  <c r="K18" i="16" s="1"/>
  <c r="K17" i="16" s="1"/>
  <c r="E23" i="16"/>
  <c r="E4" i="16" s="1"/>
  <c r="E20" i="16"/>
  <c r="CL13" i="15"/>
  <c r="CO2" i="15" s="1"/>
  <c r="DG6" i="15"/>
  <c r="DG5" i="15"/>
  <c r="CR2" i="15"/>
  <c r="GJ2" i="15"/>
  <c r="DP7" i="15"/>
  <c r="K17" i="15"/>
  <c r="K2" i="15" s="1"/>
  <c r="FU2" i="15"/>
  <c r="FO2" i="15"/>
  <c r="DA22" i="15" s="1"/>
  <c r="GY2" i="15"/>
  <c r="DA18" i="15"/>
  <c r="CR19" i="15"/>
  <c r="CO19" i="15"/>
  <c r="H59" i="15"/>
  <c r="H52" i="15" s="1"/>
  <c r="H55" i="15"/>
  <c r="H51" i="15" s="1"/>
  <c r="EB2" i="15"/>
  <c r="DV2" i="15"/>
  <c r="DA20" i="15" s="1"/>
  <c r="CU11" i="15"/>
  <c r="EN2" i="15" s="1"/>
  <c r="CU20" i="15" s="1"/>
  <c r="EQ2" i="15"/>
  <c r="AV6" i="15"/>
  <c r="DP6" i="15"/>
  <c r="BZ2" i="15"/>
  <c r="DP16" i="15"/>
  <c r="W4" i="15"/>
  <c r="AE2" i="15"/>
  <c r="AY6" i="15"/>
  <c r="Z4" i="15"/>
  <c r="E4" i="15"/>
  <c r="CC23" i="15"/>
  <c r="AS25" i="15"/>
  <c r="W26" i="15"/>
  <c r="BB6" i="15"/>
  <c r="Z25" i="15"/>
  <c r="Z26" i="15"/>
  <c r="BE6" i="15"/>
  <c r="BB25" i="15"/>
  <c r="BH6" i="15"/>
  <c r="BT3" i="15"/>
  <c r="Z3" i="15"/>
  <c r="E3" i="15"/>
  <c r="CX4" i="15"/>
  <c r="AC2" i="15"/>
  <c r="EK2" i="15"/>
  <c r="DA19" i="15" s="1"/>
  <c r="AD2" i="15"/>
  <c r="CO2" i="18"/>
  <c r="CR2" i="18"/>
  <c r="GV2" i="18"/>
  <c r="CU19" i="18" s="1"/>
  <c r="GY2" i="18"/>
  <c r="GS2" i="18"/>
  <c r="DA18" i="18" s="1"/>
  <c r="EB2" i="18"/>
  <c r="DY2" i="18"/>
  <c r="CU21" i="18" s="1"/>
  <c r="DV2" i="18"/>
  <c r="DA20" i="18" s="1"/>
  <c r="BQ2" i="18"/>
  <c r="AM21" i="18"/>
  <c r="CF6" i="18"/>
  <c r="CF2" i="18" s="1"/>
  <c r="CI6" i="18"/>
  <c r="CC6" i="18"/>
  <c r="CF23" i="18"/>
  <c r="CC23" i="18"/>
  <c r="CC19" i="18" s="1"/>
  <c r="K14" i="18"/>
  <c r="K15" i="18"/>
  <c r="K18" i="18"/>
  <c r="K17" i="18" s="1"/>
  <c r="K16" i="18"/>
  <c r="AE34" i="18"/>
  <c r="BZ13" i="18"/>
  <c r="BZ15" i="18"/>
  <c r="BZ14" i="18"/>
  <c r="DA14" i="18"/>
  <c r="AD33" i="18"/>
  <c r="AV21" i="18"/>
  <c r="Z16" i="18"/>
  <c r="Z4" i="18" s="1"/>
  <c r="BT23" i="18"/>
  <c r="EN2" i="18"/>
  <c r="CU20" i="18" s="1"/>
  <c r="EK2" i="18"/>
  <c r="DA19" i="18" s="1"/>
  <c r="FL2" i="18"/>
  <c r="AF33" i="18"/>
  <c r="AS21" i="18"/>
  <c r="H50" i="18"/>
  <c r="CC2" i="18"/>
  <c r="GA2" i="18"/>
  <c r="AC33" i="18"/>
  <c r="FC2" i="18"/>
  <c r="CU18" i="18" s="1"/>
  <c r="EZ2" i="18"/>
  <c r="DA17" i="18" s="1"/>
  <c r="FF2" i="18"/>
  <c r="HE3" i="18"/>
  <c r="DG16" i="18"/>
  <c r="DG7" i="18" s="1"/>
  <c r="DG11" i="18"/>
  <c r="DG6" i="18" s="1"/>
  <c r="CI2" i="18"/>
  <c r="BT21" i="18"/>
  <c r="BT3" i="18" s="1"/>
  <c r="AE30" i="18"/>
  <c r="AE32" i="18" s="1"/>
  <c r="ET2" i="18"/>
  <c r="EE2" i="18"/>
  <c r="DD7" i="18"/>
  <c r="DD2" i="18" s="1"/>
  <c r="Z38" i="18"/>
  <c r="Z25" i="18" s="1"/>
  <c r="DP5" i="18"/>
  <c r="DP2" i="18" s="1"/>
  <c r="AF30" i="18"/>
  <c r="FI2" i="18"/>
  <c r="CF19" i="18"/>
  <c r="HE23" i="18"/>
  <c r="E23" i="18"/>
  <c r="E4" i="18" s="1"/>
  <c r="AC34" i="18"/>
  <c r="AS2" i="18"/>
  <c r="GA7" i="18"/>
  <c r="CX21" i="18"/>
  <c r="AF32" i="18"/>
  <c r="AF34" i="18"/>
  <c r="H22" i="18"/>
  <c r="H14" i="18" s="1"/>
  <c r="H13" i="18" s="1"/>
  <c r="AG34" i="18"/>
  <c r="CX20" i="18"/>
  <c r="CX3" i="18" s="1"/>
  <c r="H21" i="18"/>
  <c r="H12" i="18" s="1"/>
  <c r="CL23" i="18"/>
  <c r="CL19" i="18" s="1"/>
  <c r="W40" i="18"/>
  <c r="W25" i="18" s="1"/>
  <c r="H52" i="18"/>
  <c r="Z40" i="18"/>
  <c r="Z26" i="18" s="1"/>
  <c r="BW7" i="18"/>
  <c r="BK6" i="18"/>
  <c r="BK2" i="18" s="1"/>
  <c r="BW12" i="18"/>
  <c r="BW10" i="18" s="1"/>
  <c r="BW2" i="18" s="1"/>
  <c r="DA13" i="18"/>
  <c r="W16" i="18"/>
  <c r="W4" i="18" s="1"/>
  <c r="Z18" i="18"/>
  <c r="Z3" i="18" s="1"/>
  <c r="E20" i="18"/>
  <c r="E3" i="18" s="1"/>
  <c r="BK25" i="18"/>
  <c r="BK21" i="18" s="1"/>
  <c r="W18" i="18"/>
  <c r="W3" i="18" s="1"/>
  <c r="BT24" i="18"/>
  <c r="CX22" i="18"/>
  <c r="CX4" i="18" s="1"/>
  <c r="BN6" i="18"/>
  <c r="BN2" i="18" s="1"/>
  <c r="DA15" i="18"/>
  <c r="BN25" i="18"/>
  <c r="BN21" i="18" s="1"/>
  <c r="AD32" i="18"/>
  <c r="FC2" i="17"/>
  <c r="CU18" i="17" s="1"/>
  <c r="FF2" i="17"/>
  <c r="EZ2" i="17"/>
  <c r="DA17" i="17" s="1"/>
  <c r="AF32" i="17"/>
  <c r="AG32" i="17"/>
  <c r="AG2" i="17" s="1"/>
  <c r="GY2" i="17"/>
  <c r="GV2" i="17"/>
  <c r="CU19" i="17" s="1"/>
  <c r="GS2" i="17"/>
  <c r="DA18" i="17" s="1"/>
  <c r="AC34" i="17"/>
  <c r="GA2" i="17"/>
  <c r="CI6" i="17"/>
  <c r="CI2" i="17" s="1"/>
  <c r="CF6" i="17"/>
  <c r="AG30" i="17"/>
  <c r="HE3" i="17"/>
  <c r="DA24" i="17"/>
  <c r="AD34" i="17"/>
  <c r="BQ6" i="17"/>
  <c r="BQ2" i="17" s="1"/>
  <c r="BK6" i="17"/>
  <c r="BK2" i="17" s="1"/>
  <c r="BN25" i="17"/>
  <c r="BN21" i="17" s="1"/>
  <c r="BN6" i="17"/>
  <c r="BN2" i="17" s="1"/>
  <c r="BK25" i="17"/>
  <c r="BK21" i="17" s="1"/>
  <c r="H50" i="17"/>
  <c r="H52" i="17"/>
  <c r="DY2" i="17"/>
  <c r="CU21" i="17" s="1"/>
  <c r="AE32" i="17"/>
  <c r="BT24" i="17"/>
  <c r="K25" i="17"/>
  <c r="H51" i="17"/>
  <c r="BB2" i="17"/>
  <c r="DG16" i="17"/>
  <c r="DG7" i="17" s="1"/>
  <c r="DG11" i="17"/>
  <c r="DG6" i="17" s="1"/>
  <c r="H25" i="17"/>
  <c r="H14" i="17" s="1"/>
  <c r="AE33" i="17"/>
  <c r="W26" i="17"/>
  <c r="CC6" i="17"/>
  <c r="CC2" i="17" s="1"/>
  <c r="E20" i="17"/>
  <c r="E3" i="17" s="1"/>
  <c r="BT10" i="17"/>
  <c r="BT21" i="17" s="1"/>
  <c r="BT3" i="17" s="1"/>
  <c r="N21" i="17"/>
  <c r="E37" i="17"/>
  <c r="E30" i="17" s="1"/>
  <c r="AE34" i="17"/>
  <c r="DV2" i="17"/>
  <c r="DA20" i="17" s="1"/>
  <c r="K14" i="17"/>
  <c r="K15" i="17"/>
  <c r="K18" i="17"/>
  <c r="K17" i="17" s="1"/>
  <c r="CX23" i="17"/>
  <c r="CX22" i="17"/>
  <c r="CX4" i="17" s="1"/>
  <c r="CX20" i="17"/>
  <c r="CX3" i="17" s="1"/>
  <c r="BZ13" i="17"/>
  <c r="DA14" i="17"/>
  <c r="DA15" i="17"/>
  <c r="DA13" i="17"/>
  <c r="FI2" i="17"/>
  <c r="CX21" i="17"/>
  <c r="AG33" i="17"/>
  <c r="BT22" i="17"/>
  <c r="BW15" i="17"/>
  <c r="BW11" i="17" s="1"/>
  <c r="AJ2" i="17"/>
  <c r="CF2" i="17"/>
  <c r="DP5" i="17"/>
  <c r="DP2" i="17" s="1"/>
  <c r="CC23" i="17"/>
  <c r="CC19" i="17" s="1"/>
  <c r="AF30" i="17"/>
  <c r="AF33" i="17" s="1"/>
  <c r="BZ17" i="17"/>
  <c r="BZ14" i="17" s="1"/>
  <c r="H15" i="17"/>
  <c r="H10" i="17" s="1"/>
  <c r="H21" i="17"/>
  <c r="H12" i="17" s="1"/>
  <c r="AF34" i="17"/>
  <c r="CF23" i="17"/>
  <c r="CF19" i="17" s="1"/>
  <c r="AG34" i="17"/>
  <c r="N2" i="17"/>
  <c r="BE2" i="17"/>
  <c r="BH2" i="17"/>
  <c r="BW7" i="17"/>
  <c r="W19" i="17"/>
  <c r="EE2" i="17"/>
  <c r="W39" i="17"/>
  <c r="W40" i="17"/>
  <c r="Z16" i="17"/>
  <c r="Z4" i="17" s="1"/>
  <c r="EH7" i="17"/>
  <c r="EH2" i="17" s="1"/>
  <c r="FL7" i="17"/>
  <c r="FL2" i="17" s="1"/>
  <c r="AC32" i="17"/>
  <c r="AC2" i="17" s="1"/>
  <c r="GA7" i="17"/>
  <c r="HB2" i="17"/>
  <c r="DD7" i="17"/>
  <c r="DD2" i="17" s="1"/>
  <c r="Z39" i="17"/>
  <c r="Z25" i="17" s="1"/>
  <c r="CL6" i="17"/>
  <c r="CL2" i="17" s="1"/>
  <c r="CL23" i="17"/>
  <c r="CL19" i="17" s="1"/>
  <c r="W41" i="17"/>
  <c r="K11" i="17"/>
  <c r="K16" i="17" s="1"/>
  <c r="Z40" i="17"/>
  <c r="Z26" i="17" s="1"/>
  <c r="BW12" i="17"/>
  <c r="BW10" i="17" s="1"/>
  <c r="BW2" i="17" s="1"/>
  <c r="W16" i="17"/>
  <c r="W4" i="17" s="1"/>
  <c r="Z18" i="17"/>
  <c r="Z3" i="17" s="1"/>
  <c r="BT23" i="17"/>
  <c r="AD32" i="17"/>
  <c r="AD2" i="17" s="1"/>
  <c r="W18" i="17"/>
  <c r="W3" i="17" s="1"/>
  <c r="HE37" i="14"/>
  <c r="HE33" i="14" s="1"/>
  <c r="E22" i="14"/>
  <c r="GP19" i="14"/>
  <c r="GP2" i="14" s="1"/>
  <c r="GA20" i="14"/>
  <c r="GA2" i="14" s="1"/>
  <c r="DA21" i="14" s="1"/>
  <c r="FL20" i="14"/>
  <c r="FL2" i="14" s="1"/>
  <c r="EW20" i="14"/>
  <c r="EW2" i="14" s="1"/>
  <c r="EH20" i="14"/>
  <c r="EH2" i="14" s="1"/>
  <c r="DS20" i="14"/>
  <c r="DS2" i="14" s="1"/>
  <c r="DD23" i="14"/>
  <c r="DD2" i="14" s="1"/>
  <c r="DA50" i="14"/>
  <c r="CX26" i="14"/>
  <c r="CU48" i="14"/>
  <c r="CL27" i="14"/>
  <c r="CL19" i="14" s="1"/>
  <c r="CO19" i="14" s="1"/>
  <c r="CL10" i="14"/>
  <c r="CL2" i="14" s="1"/>
  <c r="CO2" i="14" s="1"/>
  <c r="CI15" i="14"/>
  <c r="CI2" i="14" s="1"/>
  <c r="CF15" i="14"/>
  <c r="CF2" i="14" s="1"/>
  <c r="CC15" i="14"/>
  <c r="CC2" i="14" s="1"/>
  <c r="CF32" i="14"/>
  <c r="CF19" i="14" s="1"/>
  <c r="CC32" i="14"/>
  <c r="CC19" i="14" s="1"/>
  <c r="BZ37" i="14"/>
  <c r="BW32" i="14"/>
  <c r="BT29" i="14"/>
  <c r="AP17" i="14"/>
  <c r="AP2" i="14" s="1"/>
  <c r="AS17" i="14"/>
  <c r="AS2" i="14" s="1"/>
  <c r="AV17" i="14"/>
  <c r="AV2" i="14" s="1"/>
  <c r="AY17" i="14"/>
  <c r="AY2" i="14" s="1"/>
  <c r="BB17" i="14"/>
  <c r="BB2" i="14" s="1"/>
  <c r="BE17" i="14"/>
  <c r="BE2" i="14" s="1"/>
  <c r="BH17" i="14"/>
  <c r="BH2" i="14" s="1"/>
  <c r="BK17" i="14"/>
  <c r="BK2" i="14" s="1"/>
  <c r="BN17" i="14"/>
  <c r="BN2" i="14" s="1"/>
  <c r="BQ17" i="14"/>
  <c r="BQ2" i="14" s="1"/>
  <c r="BN36" i="14"/>
  <c r="BN21" i="14" s="1"/>
  <c r="BK36" i="14"/>
  <c r="BE36" i="14"/>
  <c r="BE21" i="14" s="1"/>
  <c r="BB36" i="14"/>
  <c r="AV36" i="14"/>
  <c r="AV21" i="14" s="1"/>
  <c r="AS36" i="14"/>
  <c r="AM36" i="14"/>
  <c r="AM21" i="14" s="1"/>
  <c r="AM17" i="14"/>
  <c r="AM2" i="14" s="1"/>
  <c r="AJ17" i="14"/>
  <c r="AJ2" i="14" s="1"/>
  <c r="AJ36" i="14"/>
  <c r="AG38" i="14"/>
  <c r="AF38" i="14"/>
  <c r="AE38" i="14"/>
  <c r="AD38" i="14"/>
  <c r="AC38" i="14"/>
  <c r="Z46" i="14"/>
  <c r="W42" i="14"/>
  <c r="Z20" i="14"/>
  <c r="W20" i="14"/>
  <c r="Q36" i="14"/>
  <c r="Q21" i="14" s="1"/>
  <c r="N36" i="14"/>
  <c r="N21" i="14" s="1"/>
  <c r="T17" i="14"/>
  <c r="T2" i="14" s="1"/>
  <c r="Q17" i="14"/>
  <c r="Q2" i="14" s="1"/>
  <c r="N17" i="14"/>
  <c r="N2" i="14" s="1"/>
  <c r="K54" i="14"/>
  <c r="H68" i="14"/>
  <c r="E53" i="14"/>
  <c r="E52" i="14" s="1"/>
  <c r="E38" i="14"/>
  <c r="E37" i="14" s="1"/>
  <c r="E26" i="14"/>
  <c r="E23" i="14" s="1"/>
  <c r="H67" i="14"/>
  <c r="H66" i="14"/>
  <c r="H65" i="14"/>
  <c r="H64" i="14"/>
  <c r="H63" i="14"/>
  <c r="H59" i="14" s="1"/>
  <c r="H62" i="14"/>
  <c r="H55" i="14" s="1"/>
  <c r="H61" i="14"/>
  <c r="H60" i="14"/>
  <c r="H58" i="14"/>
  <c r="H57" i="14"/>
  <c r="H56" i="14"/>
  <c r="H54" i="14"/>
  <c r="K53" i="14"/>
  <c r="K51" i="14" s="1"/>
  <c r="H53" i="14"/>
  <c r="H52" i="14" s="1"/>
  <c r="K52" i="14"/>
  <c r="E51" i="14"/>
  <c r="K50" i="14"/>
  <c r="E50" i="14"/>
  <c r="H49" i="14"/>
  <c r="H48" i="14"/>
  <c r="H46" i="14" s="1"/>
  <c r="E48" i="14"/>
  <c r="H47" i="14"/>
  <c r="E47" i="14"/>
  <c r="DA46" i="14"/>
  <c r="E46" i="14"/>
  <c r="K45" i="14"/>
  <c r="E45" i="14"/>
  <c r="DA44" i="14"/>
  <c r="CU44" i="14"/>
  <c r="Z44" i="14"/>
  <c r="K44" i="14"/>
  <c r="E44" i="14"/>
  <c r="DA43" i="14"/>
  <c r="CU43" i="14"/>
  <c r="Z43" i="14"/>
  <c r="K43" i="14"/>
  <c r="H43" i="14"/>
  <c r="DA42" i="14"/>
  <c r="CU42" i="14"/>
  <c r="Z42" i="14"/>
  <c r="K42" i="14"/>
  <c r="DA41" i="14"/>
  <c r="CU41" i="14"/>
  <c r="K41" i="14"/>
  <c r="DA40" i="14"/>
  <c r="CU40" i="14"/>
  <c r="K40" i="14"/>
  <c r="H40" i="14"/>
  <c r="DA39" i="14"/>
  <c r="DA24" i="14" s="1"/>
  <c r="CU39" i="14"/>
  <c r="H39" i="14"/>
  <c r="DA38" i="14"/>
  <c r="CU38" i="14"/>
  <c r="K38" i="14"/>
  <c r="H38" i="14"/>
  <c r="DA37" i="14"/>
  <c r="CU37" i="14"/>
  <c r="K37" i="14"/>
  <c r="H37" i="14"/>
  <c r="DA36" i="14"/>
  <c r="CU36" i="14"/>
  <c r="AF36" i="14"/>
  <c r="Z36" i="14"/>
  <c r="W36" i="14"/>
  <c r="K36" i="14"/>
  <c r="K20" i="14" s="1"/>
  <c r="H36" i="14"/>
  <c r="E36" i="14"/>
  <c r="DA35" i="14"/>
  <c r="CU35" i="14"/>
  <c r="BN35" i="14"/>
  <c r="BK35" i="14"/>
  <c r="BE35" i="14"/>
  <c r="BB35" i="14"/>
  <c r="AV35" i="14"/>
  <c r="AS35" i="14"/>
  <c r="AM35" i="14"/>
  <c r="AJ35" i="14"/>
  <c r="AE35" i="14"/>
  <c r="AC35" i="14"/>
  <c r="Z35" i="14"/>
  <c r="W35" i="14"/>
  <c r="Q35" i="14"/>
  <c r="N35" i="14"/>
  <c r="K35" i="14"/>
  <c r="H35" i="14"/>
  <c r="E35" i="14"/>
  <c r="DA34" i="14"/>
  <c r="DA23" i="14" s="1"/>
  <c r="CU34" i="14"/>
  <c r="CU25" i="14" s="1"/>
  <c r="BN34" i="14"/>
  <c r="BK34" i="14"/>
  <c r="BE34" i="14"/>
  <c r="BB34" i="14"/>
  <c r="BB21" i="14" s="1"/>
  <c r="AV34" i="14"/>
  <c r="AS34" i="14"/>
  <c r="AS21" i="14" s="1"/>
  <c r="AM34" i="14"/>
  <c r="AJ34" i="14"/>
  <c r="Q34" i="14"/>
  <c r="N34" i="14"/>
  <c r="K34" i="14"/>
  <c r="K46" i="14" s="1"/>
  <c r="H34" i="14"/>
  <c r="E34" i="14"/>
  <c r="DA33" i="14"/>
  <c r="CU33" i="14"/>
  <c r="BZ33" i="14"/>
  <c r="BN33" i="14"/>
  <c r="BK33" i="14"/>
  <c r="BE33" i="14"/>
  <c r="BB33" i="14"/>
  <c r="AV33" i="14"/>
  <c r="AS33" i="14"/>
  <c r="AM33" i="14"/>
  <c r="AJ33" i="14"/>
  <c r="Z33" i="14"/>
  <c r="W33" i="14"/>
  <c r="Q33" i="14"/>
  <c r="N33" i="14"/>
  <c r="K33" i="14"/>
  <c r="H33" i="14"/>
  <c r="E33" i="14"/>
  <c r="DA32" i="14"/>
  <c r="CU32" i="14"/>
  <c r="BZ32" i="14"/>
  <c r="BN32" i="14"/>
  <c r="BK32" i="14"/>
  <c r="BE32" i="14"/>
  <c r="BB32" i="14"/>
  <c r="AV32" i="14"/>
  <c r="AS32" i="14"/>
  <c r="AM32" i="14"/>
  <c r="AJ32" i="14"/>
  <c r="Z32" i="14"/>
  <c r="W32" i="14"/>
  <c r="K32" i="14"/>
  <c r="H32" i="14"/>
  <c r="H15" i="14" s="1"/>
  <c r="E32" i="14"/>
  <c r="DA31" i="14"/>
  <c r="CU31" i="14"/>
  <c r="CF31" i="14"/>
  <c r="CC31" i="14"/>
  <c r="BZ31" i="14"/>
  <c r="BN31" i="14"/>
  <c r="BK31" i="14"/>
  <c r="BE31" i="14"/>
  <c r="BB31" i="14"/>
  <c r="AV31" i="14"/>
  <c r="AS31" i="14"/>
  <c r="AM31" i="14"/>
  <c r="AJ31" i="14"/>
  <c r="Z31" i="14"/>
  <c r="W31" i="14"/>
  <c r="K31" i="14"/>
  <c r="K25" i="14" s="1"/>
  <c r="H31" i="14"/>
  <c r="DA30" i="14"/>
  <c r="CU30" i="14"/>
  <c r="CO30" i="14"/>
  <c r="CF30" i="14"/>
  <c r="CC30" i="14"/>
  <c r="BZ30" i="14"/>
  <c r="BN30" i="14"/>
  <c r="BK30" i="14"/>
  <c r="BE30" i="14"/>
  <c r="BB30" i="14"/>
  <c r="AV30" i="14"/>
  <c r="AS30" i="14"/>
  <c r="AM30" i="14"/>
  <c r="AJ30" i="14"/>
  <c r="Z30" i="14"/>
  <c r="W30" i="14"/>
  <c r="K30" i="14"/>
  <c r="H30" i="14"/>
  <c r="H25" i="14" s="1"/>
  <c r="DA29" i="14"/>
  <c r="CU29" i="14"/>
  <c r="CO29" i="14"/>
  <c r="CF29" i="14"/>
  <c r="CC29" i="14"/>
  <c r="BZ29" i="14"/>
  <c r="BN29" i="14"/>
  <c r="BK29" i="14"/>
  <c r="BE29" i="14"/>
  <c r="BB29" i="14"/>
  <c r="AV29" i="14"/>
  <c r="AS29" i="14"/>
  <c r="AM29" i="14"/>
  <c r="AM25" i="14" s="1"/>
  <c r="AJ29" i="14"/>
  <c r="AJ25" i="14" s="1"/>
  <c r="Z29" i="14"/>
  <c r="Z28" i="14" s="1"/>
  <c r="W29" i="14"/>
  <c r="W28" i="14" s="1"/>
  <c r="Q29" i="14"/>
  <c r="N29" i="14"/>
  <c r="K29" i="14"/>
  <c r="H29" i="14"/>
  <c r="DA28" i="14"/>
  <c r="CU28" i="14"/>
  <c r="CO28" i="14"/>
  <c r="CF28" i="14"/>
  <c r="BZ28" i="14"/>
  <c r="BN28" i="14"/>
  <c r="BK28" i="14"/>
  <c r="BE28" i="14"/>
  <c r="BB28" i="14"/>
  <c r="AV28" i="14"/>
  <c r="AS28" i="14"/>
  <c r="AM28" i="14"/>
  <c r="AJ28" i="14"/>
  <c r="AG28" i="14"/>
  <c r="AF28" i="14"/>
  <c r="AE28" i="14"/>
  <c r="AD28" i="14"/>
  <c r="AD27" i="14" s="1"/>
  <c r="AC28" i="14"/>
  <c r="AC27" i="14" s="1"/>
  <c r="Q28" i="14"/>
  <c r="N28" i="14"/>
  <c r="H28" i="14"/>
  <c r="HB27" i="14"/>
  <c r="GM27" i="14"/>
  <c r="FI27" i="14"/>
  <c r="ET27" i="14"/>
  <c r="EE27" i="14"/>
  <c r="DA27" i="14"/>
  <c r="CU27" i="14"/>
  <c r="CO27" i="14"/>
  <c r="CF27" i="14"/>
  <c r="CC27" i="14"/>
  <c r="BZ27" i="14"/>
  <c r="BW27" i="14"/>
  <c r="BT27" i="14"/>
  <c r="BN27" i="14"/>
  <c r="BN26" i="14" s="1"/>
  <c r="BK27" i="14"/>
  <c r="BK26" i="14" s="1"/>
  <c r="BE27" i="14"/>
  <c r="BE26" i="14" s="1"/>
  <c r="BB27" i="14"/>
  <c r="BB26" i="14" s="1"/>
  <c r="AV27" i="14"/>
  <c r="AS27" i="14"/>
  <c r="AM27" i="14"/>
  <c r="AJ27" i="14"/>
  <c r="AG27" i="14"/>
  <c r="AF27" i="14"/>
  <c r="AE27" i="14"/>
  <c r="Z27" i="14"/>
  <c r="W27" i="14"/>
  <c r="Q27" i="14"/>
  <c r="N27" i="14"/>
  <c r="N26" i="14" s="1"/>
  <c r="K27" i="14"/>
  <c r="H27" i="14"/>
  <c r="HB26" i="14"/>
  <c r="GM26" i="14"/>
  <c r="GM24" i="14" s="1"/>
  <c r="FI26" i="14"/>
  <c r="FI24" i="14" s="1"/>
  <c r="ET26" i="14"/>
  <c r="ET24" i="14" s="1"/>
  <c r="EE26" i="14"/>
  <c r="EE24" i="14" s="1"/>
  <c r="DP26" i="14"/>
  <c r="DP24" i="14" s="1"/>
  <c r="DG26" i="14"/>
  <c r="DA26" i="14"/>
  <c r="CU26" i="14"/>
  <c r="CO26" i="14"/>
  <c r="CO24" i="14" s="1"/>
  <c r="CL26" i="14"/>
  <c r="CF26" i="14"/>
  <c r="CC26" i="14"/>
  <c r="BZ26" i="14"/>
  <c r="BZ17" i="14" s="1"/>
  <c r="BW26" i="14"/>
  <c r="BT26" i="14"/>
  <c r="AV26" i="14"/>
  <c r="AS26" i="14"/>
  <c r="AM26" i="14"/>
  <c r="AJ26" i="14"/>
  <c r="Q26" i="14"/>
  <c r="K26" i="14"/>
  <c r="H26" i="14"/>
  <c r="HB25" i="14"/>
  <c r="HB23" i="14" s="1"/>
  <c r="GM25" i="14"/>
  <c r="GM23" i="14" s="1"/>
  <c r="FI25" i="14"/>
  <c r="FI23" i="14" s="1"/>
  <c r="ET25" i="14"/>
  <c r="EE25" i="14"/>
  <c r="DP25" i="14"/>
  <c r="CX25" i="14"/>
  <c r="CO25" i="14"/>
  <c r="CL25" i="14"/>
  <c r="CF25" i="14"/>
  <c r="CF24" i="14" s="1"/>
  <c r="CC25" i="14"/>
  <c r="BZ25" i="14"/>
  <c r="BW25" i="14"/>
  <c r="BT25" i="14"/>
  <c r="BN25" i="14"/>
  <c r="BK25" i="14"/>
  <c r="BE25" i="14"/>
  <c r="BB25" i="14"/>
  <c r="AG25" i="14"/>
  <c r="AF25" i="14"/>
  <c r="AE25" i="14"/>
  <c r="AD25" i="14"/>
  <c r="AC25" i="14"/>
  <c r="E25" i="14"/>
  <c r="HB24" i="14"/>
  <c r="CX24" i="14"/>
  <c r="CL24" i="14"/>
  <c r="CC24" i="14"/>
  <c r="BZ24" i="14"/>
  <c r="BW24" i="14"/>
  <c r="BN24" i="14"/>
  <c r="BK24" i="14"/>
  <c r="BE24" i="14"/>
  <c r="BB24" i="14"/>
  <c r="AV24" i="14"/>
  <c r="AS24" i="14"/>
  <c r="AM24" i="14"/>
  <c r="AJ24" i="14"/>
  <c r="AG24" i="14"/>
  <c r="AF24" i="14"/>
  <c r="AE24" i="14"/>
  <c r="AD24" i="14"/>
  <c r="AC24" i="14"/>
  <c r="Q24" i="14"/>
  <c r="N24" i="14"/>
  <c r="K24" i="14"/>
  <c r="H24" i="14"/>
  <c r="E24" i="14"/>
  <c r="ET23" i="14"/>
  <c r="EE23" i="14"/>
  <c r="DP23" i="14"/>
  <c r="DG23" i="14"/>
  <c r="CR23" i="14"/>
  <c r="CO23" i="14"/>
  <c r="CL23" i="14"/>
  <c r="CF23" i="14"/>
  <c r="BZ23" i="14"/>
  <c r="BW23" i="14"/>
  <c r="AG23" i="14"/>
  <c r="AF23" i="14"/>
  <c r="AE23" i="14"/>
  <c r="AD23" i="14"/>
  <c r="AC23" i="14"/>
  <c r="K23" i="14"/>
  <c r="H23" i="14"/>
  <c r="HB22" i="14"/>
  <c r="HB16" i="14" s="1"/>
  <c r="GM22" i="14"/>
  <c r="GM16" i="14" s="1"/>
  <c r="FI22" i="14"/>
  <c r="FI16" i="14" s="1"/>
  <c r="ET22" i="14"/>
  <c r="EE22" i="14"/>
  <c r="DP22" i="14"/>
  <c r="DD22" i="14"/>
  <c r="CO22" i="14"/>
  <c r="CL22" i="14"/>
  <c r="CF22" i="14"/>
  <c r="CC22" i="14"/>
  <c r="BZ22" i="14"/>
  <c r="BW22" i="14"/>
  <c r="K22" i="14"/>
  <c r="H22" i="14"/>
  <c r="HB21" i="14"/>
  <c r="GM21" i="14"/>
  <c r="FI21" i="14"/>
  <c r="ET21" i="14"/>
  <c r="EE21" i="14"/>
  <c r="DP21" i="14"/>
  <c r="DD21" i="14"/>
  <c r="BZ21" i="14"/>
  <c r="BW21" i="14"/>
  <c r="AG21" i="14"/>
  <c r="AF21" i="14"/>
  <c r="AE21" i="14"/>
  <c r="AD21" i="14"/>
  <c r="AC21" i="14"/>
  <c r="K21" i="14"/>
  <c r="K19" i="14" s="1"/>
  <c r="H21" i="14"/>
  <c r="HB20" i="14"/>
  <c r="GM20" i="14"/>
  <c r="FI20" i="14"/>
  <c r="ET20" i="14"/>
  <c r="EE20" i="14"/>
  <c r="EE16" i="14" s="1"/>
  <c r="DP20" i="14"/>
  <c r="DP16" i="14" s="1"/>
  <c r="DG20" i="14"/>
  <c r="DG11" i="14" s="1"/>
  <c r="DD20" i="14"/>
  <c r="BZ20" i="14"/>
  <c r="BW20" i="14"/>
  <c r="BT20" i="14"/>
  <c r="AG20" i="14"/>
  <c r="AF20" i="14"/>
  <c r="AE20" i="14"/>
  <c r="AD20" i="14"/>
  <c r="AC20" i="14"/>
  <c r="H20" i="14"/>
  <c r="HB19" i="14"/>
  <c r="GM19" i="14"/>
  <c r="GA19" i="14"/>
  <c r="FL19" i="14"/>
  <c r="FI19" i="14"/>
  <c r="EW19" i="14"/>
  <c r="ET19" i="14"/>
  <c r="EH19" i="14"/>
  <c r="EE19" i="14"/>
  <c r="DS19" i="14"/>
  <c r="DP19" i="14"/>
  <c r="CX19" i="14"/>
  <c r="BZ19" i="14"/>
  <c r="BW19" i="14"/>
  <c r="BT19" i="14"/>
  <c r="AG19" i="14"/>
  <c r="AF19" i="14"/>
  <c r="AE19" i="14"/>
  <c r="AD19" i="14"/>
  <c r="AC19" i="14"/>
  <c r="H19" i="14"/>
  <c r="H16" i="14" s="1"/>
  <c r="HB18" i="14"/>
  <c r="GP18" i="14"/>
  <c r="GP17" i="14" s="1"/>
  <c r="GM18" i="14"/>
  <c r="GA18" i="14"/>
  <c r="FL18" i="14"/>
  <c r="FI18" i="14"/>
  <c r="EW18" i="14"/>
  <c r="ET18" i="14"/>
  <c r="EH18" i="14"/>
  <c r="EE18" i="14"/>
  <c r="DS18" i="14"/>
  <c r="DP18" i="14"/>
  <c r="CX18" i="14"/>
  <c r="BZ18" i="14"/>
  <c r="BZ16" i="14" s="1"/>
  <c r="BW18" i="14"/>
  <c r="BT18" i="14"/>
  <c r="AG18" i="14"/>
  <c r="AF18" i="14"/>
  <c r="AE18" i="14"/>
  <c r="AD18" i="14"/>
  <c r="AC18" i="14"/>
  <c r="H18" i="14"/>
  <c r="E18" i="14"/>
  <c r="HB17" i="14"/>
  <c r="GM17" i="14"/>
  <c r="FI17" i="14"/>
  <c r="ET17" i="14"/>
  <c r="EE17" i="14"/>
  <c r="DP17" i="14"/>
  <c r="DD17" i="14"/>
  <c r="CX17" i="14"/>
  <c r="BW17" i="14"/>
  <c r="BW15" i="14" s="1"/>
  <c r="BT17" i="14"/>
  <c r="BT11" i="14" s="1"/>
  <c r="AG17" i="14"/>
  <c r="AF17" i="14"/>
  <c r="AE17" i="14"/>
  <c r="AD17" i="14"/>
  <c r="AC17" i="14"/>
  <c r="H17" i="14"/>
  <c r="E17" i="14"/>
  <c r="GA16" i="14"/>
  <c r="FL16" i="14"/>
  <c r="EW16" i="14"/>
  <c r="ET16" i="14"/>
  <c r="EH16" i="14"/>
  <c r="DD16" i="14"/>
  <c r="CX16" i="14"/>
  <c r="BW16" i="14"/>
  <c r="BT16" i="14"/>
  <c r="BQ16" i="14"/>
  <c r="BN16" i="14"/>
  <c r="BK16" i="14"/>
  <c r="BH16" i="14"/>
  <c r="BE16" i="14"/>
  <c r="BB16" i="14"/>
  <c r="AY16" i="14"/>
  <c r="AV16" i="14"/>
  <c r="AS16" i="14"/>
  <c r="AP16" i="14"/>
  <c r="AM16" i="14"/>
  <c r="AJ16" i="14"/>
  <c r="AG16" i="14"/>
  <c r="AF16" i="14"/>
  <c r="AE16" i="14"/>
  <c r="AD16" i="14"/>
  <c r="AC16" i="14"/>
  <c r="T16" i="14"/>
  <c r="Q16" i="14"/>
  <c r="N16" i="14"/>
  <c r="E16" i="14"/>
  <c r="HB15" i="14"/>
  <c r="HB2" i="14" s="1"/>
  <c r="GP15" i="14"/>
  <c r="GM15" i="14"/>
  <c r="FI15" i="14"/>
  <c r="ET15" i="14"/>
  <c r="DP15" i="14"/>
  <c r="DD15" i="14"/>
  <c r="CX15" i="14"/>
  <c r="CX11" i="14" s="1"/>
  <c r="BT15" i="14"/>
  <c r="BQ15" i="14"/>
  <c r="BN15" i="14"/>
  <c r="BK15" i="14"/>
  <c r="BH15" i="14"/>
  <c r="BE15" i="14"/>
  <c r="BB15" i="14"/>
  <c r="AY15" i="14"/>
  <c r="AV15" i="14"/>
  <c r="AS15" i="14"/>
  <c r="AP15" i="14"/>
  <c r="AM15" i="14"/>
  <c r="AJ15" i="14"/>
  <c r="T15" i="14"/>
  <c r="Q15" i="14"/>
  <c r="N15" i="14"/>
  <c r="E15" i="14"/>
  <c r="E11" i="14" s="1"/>
  <c r="HB14" i="14"/>
  <c r="GY14" i="14"/>
  <c r="GP14" i="14"/>
  <c r="GM14" i="14"/>
  <c r="GA14" i="14"/>
  <c r="GJ14" i="14" s="1"/>
  <c r="FL14" i="14"/>
  <c r="FU7" i="14" s="1"/>
  <c r="FI14" i="14"/>
  <c r="EW14" i="14"/>
  <c r="FF14" i="14" s="1"/>
  <c r="ET14" i="14"/>
  <c r="EH14" i="14"/>
  <c r="EQ14" i="14" s="1"/>
  <c r="EE14" i="14"/>
  <c r="EB14" i="14"/>
  <c r="DY14" i="14"/>
  <c r="DS14" i="14"/>
  <c r="EB15" i="14" s="1"/>
  <c r="DP14" i="14"/>
  <c r="DD14" i="14"/>
  <c r="DD10" i="14" s="1"/>
  <c r="CX14" i="14"/>
  <c r="CI14" i="14"/>
  <c r="CF14" i="14"/>
  <c r="CC14" i="14"/>
  <c r="BW14" i="14"/>
  <c r="BT14" i="14"/>
  <c r="BQ14" i="14"/>
  <c r="BN14" i="14"/>
  <c r="BK14" i="14"/>
  <c r="BH14" i="14"/>
  <c r="BE14" i="14"/>
  <c r="BB14" i="14"/>
  <c r="AY14" i="14"/>
  <c r="AV14" i="14"/>
  <c r="AS14" i="14"/>
  <c r="AP14" i="14"/>
  <c r="AM14" i="14"/>
  <c r="AJ14" i="14"/>
  <c r="AG14" i="14"/>
  <c r="AF14" i="14"/>
  <c r="AE14" i="14"/>
  <c r="AD14" i="14"/>
  <c r="AC14" i="14"/>
  <c r="Z14" i="14"/>
  <c r="W14" i="14"/>
  <c r="T14" i="14"/>
  <c r="Q14" i="14"/>
  <c r="N14" i="14"/>
  <c r="E14" i="14"/>
  <c r="HB13" i="14"/>
  <c r="GY13" i="14"/>
  <c r="GV13" i="14"/>
  <c r="GP13" i="14"/>
  <c r="GM13" i="14"/>
  <c r="GJ13" i="14"/>
  <c r="GG13" i="14"/>
  <c r="GA13" i="14"/>
  <c r="FL13" i="14"/>
  <c r="FI13" i="14"/>
  <c r="FF13" i="14"/>
  <c r="FC13" i="14"/>
  <c r="EW13" i="14"/>
  <c r="ET13" i="14"/>
  <c r="EQ13" i="14"/>
  <c r="EN13" i="14"/>
  <c r="EH13" i="14"/>
  <c r="EE13" i="14"/>
  <c r="EB13" i="14"/>
  <c r="DY13" i="14"/>
  <c r="DS13" i="14"/>
  <c r="DP13" i="14"/>
  <c r="DD13" i="14"/>
  <c r="CX13" i="14"/>
  <c r="CU13" i="14"/>
  <c r="CU12" i="14" s="1"/>
  <c r="CO13" i="14"/>
  <c r="CI13" i="14"/>
  <c r="CF13" i="14"/>
  <c r="CC13" i="14"/>
  <c r="BW13" i="14"/>
  <c r="BT13" i="14"/>
  <c r="BQ13" i="14"/>
  <c r="BN13" i="14"/>
  <c r="BK13" i="14"/>
  <c r="BH13" i="14"/>
  <c r="BE13" i="14"/>
  <c r="BB13" i="14"/>
  <c r="AY13" i="14"/>
  <c r="AV13" i="14"/>
  <c r="AS13" i="14"/>
  <c r="AP13" i="14"/>
  <c r="AM13" i="14"/>
  <c r="AJ13" i="14"/>
  <c r="AG13" i="14"/>
  <c r="AF13" i="14"/>
  <c r="Z13" i="14"/>
  <c r="W13" i="14"/>
  <c r="T13" i="14"/>
  <c r="Q13" i="14"/>
  <c r="K13" i="14"/>
  <c r="K12" i="14" s="1"/>
  <c r="E13" i="14"/>
  <c r="HB12" i="14"/>
  <c r="GY12" i="14"/>
  <c r="GV12" i="14"/>
  <c r="GP12" i="14"/>
  <c r="GM12" i="14"/>
  <c r="GJ12" i="14"/>
  <c r="GG12" i="14"/>
  <c r="GA12" i="14"/>
  <c r="FL12" i="14"/>
  <c r="FI12" i="14"/>
  <c r="FF12" i="14"/>
  <c r="FC12" i="14"/>
  <c r="EW12" i="14"/>
  <c r="ET12" i="14"/>
  <c r="EQ12" i="14"/>
  <c r="EN12" i="14"/>
  <c r="EH12" i="14"/>
  <c r="EE12" i="14"/>
  <c r="EB12" i="14"/>
  <c r="DY12" i="14"/>
  <c r="DS12" i="14"/>
  <c r="DP12" i="14"/>
  <c r="DD12" i="14"/>
  <c r="DA12" i="14"/>
  <c r="DA11" i="14" s="1"/>
  <c r="DA10" i="14" s="1"/>
  <c r="CX12" i="14"/>
  <c r="CO12" i="14"/>
  <c r="CI12" i="14"/>
  <c r="CF12" i="14"/>
  <c r="CC12" i="14"/>
  <c r="BZ12" i="14"/>
  <c r="BZ11" i="14" s="1"/>
  <c r="BT12" i="14"/>
  <c r="BQ12" i="14"/>
  <c r="BN12" i="14"/>
  <c r="BK12" i="14"/>
  <c r="BQ6" i="14" s="1"/>
  <c r="BH12" i="14"/>
  <c r="BE12" i="14"/>
  <c r="BB12" i="14"/>
  <c r="AY12" i="14"/>
  <c r="AV12" i="14"/>
  <c r="AS12" i="14"/>
  <c r="AP12" i="14"/>
  <c r="AM12" i="14"/>
  <c r="AJ12" i="14"/>
  <c r="AG12" i="14"/>
  <c r="AF12" i="14"/>
  <c r="E12" i="14"/>
  <c r="HB11" i="14"/>
  <c r="GY11" i="14"/>
  <c r="GV11" i="14"/>
  <c r="GP11" i="14"/>
  <c r="GM11" i="14"/>
  <c r="GJ11" i="14"/>
  <c r="GG11" i="14"/>
  <c r="GA11" i="14"/>
  <c r="FL11" i="14"/>
  <c r="FI11" i="14"/>
  <c r="FF11" i="14"/>
  <c r="FC11" i="14"/>
  <c r="EW11" i="14"/>
  <c r="ET11" i="14"/>
  <c r="EQ11" i="14"/>
  <c r="EN11" i="14"/>
  <c r="EH11" i="14"/>
  <c r="EE11" i="14"/>
  <c r="EB11" i="14"/>
  <c r="DY11" i="14"/>
  <c r="DS11" i="14"/>
  <c r="DP11" i="14"/>
  <c r="DD11" i="14"/>
  <c r="CO11" i="14"/>
  <c r="CI11" i="14"/>
  <c r="CF11" i="14"/>
  <c r="CC11" i="14"/>
  <c r="BQ11" i="14"/>
  <c r="BN11" i="14"/>
  <c r="BK11" i="14"/>
  <c r="BH11" i="14"/>
  <c r="BE11" i="14"/>
  <c r="BB11" i="14"/>
  <c r="AY11" i="14"/>
  <c r="AV11" i="14"/>
  <c r="AS11" i="14"/>
  <c r="AP11" i="14"/>
  <c r="AM11" i="14"/>
  <c r="AJ11" i="14"/>
  <c r="AG11" i="14"/>
  <c r="AG26" i="14" s="1"/>
  <c r="AG30" i="14" s="1"/>
  <c r="AF11" i="14"/>
  <c r="AF26" i="14" s="1"/>
  <c r="AF30" i="14" s="1"/>
  <c r="AE11" i="14"/>
  <c r="AE26" i="14" s="1"/>
  <c r="AE30" i="14" s="1"/>
  <c r="AD11" i="14"/>
  <c r="AD26" i="14" s="1"/>
  <c r="AC11" i="14"/>
  <c r="AC26" i="14" s="1"/>
  <c r="Z11" i="14"/>
  <c r="W11" i="14"/>
  <c r="HB10" i="14"/>
  <c r="GY10" i="14"/>
  <c r="GV10" i="14"/>
  <c r="GP10" i="14"/>
  <c r="GM10" i="14"/>
  <c r="GJ10" i="14"/>
  <c r="GG10" i="14"/>
  <c r="GA10" i="14"/>
  <c r="GA7" i="14" s="1"/>
  <c r="FL10" i="14"/>
  <c r="FI10" i="14"/>
  <c r="FF10" i="14"/>
  <c r="FC10" i="14"/>
  <c r="EW10" i="14"/>
  <c r="ET10" i="14"/>
  <c r="EQ10" i="14"/>
  <c r="EN10" i="14"/>
  <c r="EH10" i="14"/>
  <c r="EE10" i="14"/>
  <c r="EB10" i="14"/>
  <c r="DY10" i="14"/>
  <c r="DS10" i="14"/>
  <c r="DP10" i="14"/>
  <c r="DG10" i="14"/>
  <c r="CX10" i="14"/>
  <c r="CU10" i="14"/>
  <c r="CO10" i="14"/>
  <c r="CI10" i="14"/>
  <c r="CF10" i="14"/>
  <c r="CC10" i="14"/>
  <c r="CC23" i="14" s="1"/>
  <c r="BQ10" i="14"/>
  <c r="BN10" i="14"/>
  <c r="BK10" i="14"/>
  <c r="BH10" i="14"/>
  <c r="BE10" i="14"/>
  <c r="BB10" i="14"/>
  <c r="AY10" i="14"/>
  <c r="AV10" i="14"/>
  <c r="AS10" i="14"/>
  <c r="AV25" i="14" s="1"/>
  <c r="AP10" i="14"/>
  <c r="AP6" i="14" s="1"/>
  <c r="AM10" i="14"/>
  <c r="AM6" i="14" s="1"/>
  <c r="AJ10" i="14"/>
  <c r="AJ6" i="14" s="1"/>
  <c r="Z10" i="14"/>
  <c r="W10" i="14"/>
  <c r="T10" i="14"/>
  <c r="Q10" i="14"/>
  <c r="N10" i="14"/>
  <c r="K10" i="14"/>
  <c r="E10" i="14"/>
  <c r="BT10" i="14" s="1"/>
  <c r="HB9" i="14"/>
  <c r="GY9" i="14"/>
  <c r="GV9" i="14"/>
  <c r="GP9" i="14"/>
  <c r="GM9" i="14"/>
  <c r="GJ9" i="14"/>
  <c r="GG9" i="14"/>
  <c r="GA9" i="14"/>
  <c r="FL9" i="14"/>
  <c r="FI9" i="14"/>
  <c r="FF9" i="14"/>
  <c r="FC9" i="14"/>
  <c r="EW9" i="14"/>
  <c r="ET9" i="14"/>
  <c r="EQ9" i="14"/>
  <c r="EN9" i="14"/>
  <c r="EH9" i="14"/>
  <c r="EE9" i="14"/>
  <c r="EB9" i="14"/>
  <c r="DY9" i="14"/>
  <c r="DS9" i="14"/>
  <c r="DP9" i="14"/>
  <c r="DP5" i="14" s="1"/>
  <c r="DM9" i="14"/>
  <c r="DD9" i="14"/>
  <c r="DA9" i="14"/>
  <c r="CX9" i="14"/>
  <c r="CU9" i="14"/>
  <c r="CO9" i="14"/>
  <c r="CL9" i="14"/>
  <c r="CI9" i="14"/>
  <c r="CF9" i="14"/>
  <c r="CC9" i="14"/>
  <c r="BZ9" i="14"/>
  <c r="BW9" i="14"/>
  <c r="BT9" i="14"/>
  <c r="BT28" i="14" s="1"/>
  <c r="BQ9" i="14"/>
  <c r="BN9" i="14"/>
  <c r="BK9" i="14"/>
  <c r="BH9" i="14"/>
  <c r="BE9" i="14"/>
  <c r="BB9" i="14"/>
  <c r="AY9" i="14"/>
  <c r="AV9" i="14"/>
  <c r="AS9" i="14"/>
  <c r="AP9" i="14"/>
  <c r="AM9" i="14"/>
  <c r="AJ9" i="14"/>
  <c r="AG9" i="14"/>
  <c r="AF9" i="14"/>
  <c r="AE9" i="14"/>
  <c r="AD9" i="14"/>
  <c r="AC9" i="14"/>
  <c r="Z9" i="14"/>
  <c r="W9" i="14"/>
  <c r="N9" i="14"/>
  <c r="K9" i="14"/>
  <c r="H9" i="14"/>
  <c r="E9" i="14"/>
  <c r="HB8" i="14"/>
  <c r="GY8" i="14"/>
  <c r="GV8" i="14"/>
  <c r="GP8" i="14"/>
  <c r="GP7" i="14" s="1"/>
  <c r="GM8" i="14"/>
  <c r="GM6" i="14" s="1"/>
  <c r="GJ8" i="14"/>
  <c r="GG8" i="14"/>
  <c r="GA8" i="14"/>
  <c r="FL8" i="14"/>
  <c r="FL7" i="14" s="1"/>
  <c r="FI8" i="14"/>
  <c r="FI6" i="14" s="1"/>
  <c r="FF8" i="14"/>
  <c r="FF6" i="14" s="1"/>
  <c r="FC8" i="14"/>
  <c r="FC6" i="14" s="1"/>
  <c r="EW8" i="14"/>
  <c r="ET8" i="14"/>
  <c r="EQ8" i="14"/>
  <c r="EN8" i="14"/>
  <c r="EH8" i="14"/>
  <c r="EH7" i="14" s="1"/>
  <c r="EE8" i="14"/>
  <c r="EE6" i="14" s="1"/>
  <c r="EE2" i="14" s="1"/>
  <c r="EB8" i="14"/>
  <c r="EB6" i="14" s="1"/>
  <c r="DY8" i="14"/>
  <c r="DY6" i="14" s="1"/>
  <c r="DS8" i="14"/>
  <c r="DP8" i="14"/>
  <c r="DM8" i="14"/>
  <c r="DM6" i="14" s="1"/>
  <c r="DJ8" i="14"/>
  <c r="DJ6" i="14" s="1"/>
  <c r="DD8" i="14"/>
  <c r="DA8" i="14"/>
  <c r="CX8" i="14"/>
  <c r="CU8" i="14"/>
  <c r="CO8" i="14"/>
  <c r="CO6" i="14" s="1"/>
  <c r="CL8" i="14"/>
  <c r="CI8" i="14"/>
  <c r="CF8" i="14"/>
  <c r="CC8" i="14"/>
  <c r="BZ8" i="14"/>
  <c r="BW8" i="14"/>
  <c r="BT8" i="14"/>
  <c r="BQ8" i="14"/>
  <c r="BN8" i="14"/>
  <c r="BK8" i="14"/>
  <c r="BH8" i="14"/>
  <c r="BE8" i="14"/>
  <c r="BB8" i="14"/>
  <c r="AY8" i="14"/>
  <c r="AV8" i="14"/>
  <c r="AS8" i="14"/>
  <c r="AP8" i="14"/>
  <c r="AM8" i="14"/>
  <c r="AJ8" i="14"/>
  <c r="AG8" i="14"/>
  <c r="AF8" i="14"/>
  <c r="AE8" i="14"/>
  <c r="AD8" i="14"/>
  <c r="AC8" i="14"/>
  <c r="Z8" i="14"/>
  <c r="W8" i="14"/>
  <c r="T8" i="14"/>
  <c r="Q8" i="14"/>
  <c r="N8" i="14"/>
  <c r="K8" i="14"/>
  <c r="H8" i="14"/>
  <c r="E8" i="14"/>
  <c r="HB7" i="14"/>
  <c r="GY7" i="14"/>
  <c r="GV7" i="14"/>
  <c r="GM7" i="14"/>
  <c r="GM5" i="14" s="1"/>
  <c r="GJ7" i="14"/>
  <c r="GJ5" i="14" s="1"/>
  <c r="GG7" i="14"/>
  <c r="GG5" i="14" s="1"/>
  <c r="FI7" i="14"/>
  <c r="FI5" i="14" s="1"/>
  <c r="FF7" i="14"/>
  <c r="FF5" i="14" s="1"/>
  <c r="FC7" i="14"/>
  <c r="FC5" i="14" s="1"/>
  <c r="EW7" i="14"/>
  <c r="ET7" i="14"/>
  <c r="EQ7" i="14"/>
  <c r="EN7" i="14"/>
  <c r="EN5" i="14" s="1"/>
  <c r="EE7" i="14"/>
  <c r="EB7" i="14"/>
  <c r="DY7" i="14"/>
  <c r="DS7" i="14"/>
  <c r="DM7" i="14"/>
  <c r="DJ7" i="14"/>
  <c r="DA7" i="14"/>
  <c r="CX7" i="14"/>
  <c r="CX6" i="14" s="1"/>
  <c r="CU7" i="14"/>
  <c r="CO7" i="14"/>
  <c r="CL7" i="14"/>
  <c r="CI7" i="14"/>
  <c r="CF7" i="14"/>
  <c r="CC7" i="14"/>
  <c r="BZ7" i="14"/>
  <c r="BW7" i="14"/>
  <c r="BT7" i="14"/>
  <c r="BT6" i="14" s="1"/>
  <c r="BQ7" i="14"/>
  <c r="BN7" i="14"/>
  <c r="BK7" i="14"/>
  <c r="BH7" i="14"/>
  <c r="BE7" i="14"/>
  <c r="BB7" i="14"/>
  <c r="AY7" i="14"/>
  <c r="AV7" i="14"/>
  <c r="AS7" i="14"/>
  <c r="AP7" i="14"/>
  <c r="AM7" i="14"/>
  <c r="AJ7" i="14"/>
  <c r="Z7" i="14"/>
  <c r="W7" i="14"/>
  <c r="T7" i="14"/>
  <c r="Q7" i="14"/>
  <c r="N7" i="14"/>
  <c r="K7" i="14"/>
  <c r="H7" i="14"/>
  <c r="E7" i="14"/>
  <c r="E6" i="14" s="1"/>
  <c r="HB6" i="14"/>
  <c r="GY6" i="14"/>
  <c r="GV6" i="14"/>
  <c r="GP6" i="14"/>
  <c r="GJ6" i="14"/>
  <c r="GG6" i="14"/>
  <c r="GD6" i="14"/>
  <c r="GA6" i="14"/>
  <c r="FU6" i="14"/>
  <c r="FR6" i="14"/>
  <c r="FL6" i="14"/>
  <c r="EZ6" i="14"/>
  <c r="EW6" i="14"/>
  <c r="ET6" i="14"/>
  <c r="EQ6" i="14"/>
  <c r="EN6" i="14"/>
  <c r="EK6" i="14"/>
  <c r="EH6" i="14"/>
  <c r="DV6" i="14"/>
  <c r="DS6" i="14"/>
  <c r="DD6" i="14"/>
  <c r="DA6" i="14"/>
  <c r="CU6" i="14"/>
  <c r="CR6" i="14"/>
  <c r="CL6" i="14"/>
  <c r="CI6" i="14"/>
  <c r="CF6" i="14"/>
  <c r="CC6" i="14"/>
  <c r="BZ6" i="14"/>
  <c r="BW6" i="14"/>
  <c r="BH6" i="14"/>
  <c r="BE6" i="14"/>
  <c r="BB6" i="14"/>
  <c r="AY6" i="14"/>
  <c r="AV6" i="14"/>
  <c r="Z6" i="14"/>
  <c r="W6" i="14"/>
  <c r="K6" i="14"/>
  <c r="H6" i="14"/>
  <c r="HB5" i="14"/>
  <c r="GY5" i="14"/>
  <c r="GV5" i="14"/>
  <c r="GS5" i="14"/>
  <c r="GP5" i="14"/>
  <c r="GA5" i="14"/>
  <c r="FX5" i="14"/>
  <c r="FU5" i="14"/>
  <c r="FR5" i="14"/>
  <c r="FO5" i="14"/>
  <c r="FL5" i="14"/>
  <c r="EZ5" i="14"/>
  <c r="EW5" i="14"/>
  <c r="ET5" i="14"/>
  <c r="EQ5" i="14"/>
  <c r="EK5" i="14"/>
  <c r="EH5" i="14"/>
  <c r="EE5" i="14"/>
  <c r="EB5" i="14"/>
  <c r="DY5" i="14"/>
  <c r="DV5" i="14"/>
  <c r="DS5" i="14"/>
  <c r="DM5" i="14"/>
  <c r="DJ5" i="14"/>
  <c r="DD5" i="14"/>
  <c r="DA5" i="14"/>
  <c r="CX5" i="14"/>
  <c r="CU5" i="14"/>
  <c r="CO5" i="14"/>
  <c r="CR5" i="14" s="1"/>
  <c r="CR2" i="14" s="1"/>
  <c r="CL5" i="14"/>
  <c r="CI5" i="14"/>
  <c r="CF5" i="14"/>
  <c r="CC5" i="14"/>
  <c r="BZ5" i="14"/>
  <c r="BW5" i="14"/>
  <c r="BT5" i="14"/>
  <c r="BQ5" i="14"/>
  <c r="BN5" i="14"/>
  <c r="BK5" i="14"/>
  <c r="BH5" i="14"/>
  <c r="BE5" i="14"/>
  <c r="BB5" i="14"/>
  <c r="AY5" i="14"/>
  <c r="AV5" i="14"/>
  <c r="AS5" i="14"/>
  <c r="AP5" i="14"/>
  <c r="AM5" i="14"/>
  <c r="AJ5" i="14"/>
  <c r="AG5" i="14"/>
  <c r="AF5" i="14"/>
  <c r="AE5" i="14"/>
  <c r="AD5" i="14"/>
  <c r="AC5" i="14"/>
  <c r="Z5" i="14"/>
  <c r="W5" i="14"/>
  <c r="T5" i="14"/>
  <c r="Q5" i="14"/>
  <c r="N5" i="14"/>
  <c r="K5" i="14"/>
  <c r="H5" i="14"/>
  <c r="E5" i="14"/>
  <c r="FX2" i="14"/>
  <c r="ET2" i="14"/>
  <c r="K2" i="7"/>
  <c r="H2" i="7"/>
  <c r="H67" i="7"/>
  <c r="H66" i="7"/>
  <c r="H65" i="7"/>
  <c r="H64" i="7"/>
  <c r="H63" i="7"/>
  <c r="H59" i="7" s="1"/>
  <c r="H62" i="7"/>
  <c r="H55" i="7" s="1"/>
  <c r="H61" i="7"/>
  <c r="H60" i="7"/>
  <c r="H58" i="7"/>
  <c r="H57" i="7"/>
  <c r="H56" i="7"/>
  <c r="H54" i="7"/>
  <c r="K53" i="7"/>
  <c r="K51" i="7" s="1"/>
  <c r="H53" i="7"/>
  <c r="H52" i="7" s="1"/>
  <c r="K52" i="7"/>
  <c r="E51" i="7"/>
  <c r="K50" i="7"/>
  <c r="E50" i="7"/>
  <c r="H49" i="7"/>
  <c r="H48" i="7"/>
  <c r="H46" i="7" s="1"/>
  <c r="E48" i="7"/>
  <c r="H47" i="7"/>
  <c r="E47" i="7"/>
  <c r="K46" i="7"/>
  <c r="E46" i="7"/>
  <c r="K45" i="7"/>
  <c r="E45" i="7"/>
  <c r="E52" i="7" s="1"/>
  <c r="E42" i="7" s="1"/>
  <c r="K44" i="7"/>
  <c r="E44" i="7"/>
  <c r="K43" i="7"/>
  <c r="H43" i="7"/>
  <c r="K42" i="7"/>
  <c r="K41" i="7"/>
  <c r="K40" i="7"/>
  <c r="H40" i="7"/>
  <c r="H39" i="7"/>
  <c r="K38" i="7"/>
  <c r="H38" i="7"/>
  <c r="K37" i="7"/>
  <c r="H37" i="7"/>
  <c r="K36" i="7"/>
  <c r="H36" i="7"/>
  <c r="E36" i="7"/>
  <c r="Q35" i="7"/>
  <c r="N35" i="7"/>
  <c r="K35" i="7"/>
  <c r="H35" i="7"/>
  <c r="E35" i="7"/>
  <c r="Q34" i="7"/>
  <c r="N34" i="7"/>
  <c r="K34" i="7"/>
  <c r="H34" i="7"/>
  <c r="E34" i="7"/>
  <c r="Q33" i="7"/>
  <c r="N33" i="7"/>
  <c r="K33" i="7"/>
  <c r="H33" i="7"/>
  <c r="E33" i="7"/>
  <c r="K32" i="7"/>
  <c r="H32" i="7"/>
  <c r="H15" i="7" s="1"/>
  <c r="E32" i="7"/>
  <c r="E37" i="7" s="1"/>
  <c r="E30" i="7" s="1"/>
  <c r="K31" i="7"/>
  <c r="K28" i="7" s="1"/>
  <c r="H31" i="7"/>
  <c r="K30" i="7"/>
  <c r="H30" i="7"/>
  <c r="Q29" i="7"/>
  <c r="N29" i="7"/>
  <c r="K29" i="7"/>
  <c r="H29" i="7"/>
  <c r="Q28" i="7"/>
  <c r="N28" i="7"/>
  <c r="H28" i="7"/>
  <c r="Q27" i="7"/>
  <c r="Q26" i="7" s="1"/>
  <c r="N27" i="7"/>
  <c r="N26" i="7" s="1"/>
  <c r="K27" i="7"/>
  <c r="H27" i="7"/>
  <c r="K26" i="7"/>
  <c r="H26" i="7"/>
  <c r="E25" i="7"/>
  <c r="Q24" i="7"/>
  <c r="Q21" i="7" s="1"/>
  <c r="N24" i="7"/>
  <c r="N21" i="7" s="1"/>
  <c r="K24" i="7"/>
  <c r="H24" i="7"/>
  <c r="E24" i="7"/>
  <c r="K23" i="7"/>
  <c r="H23" i="7"/>
  <c r="K22" i="7"/>
  <c r="K21" i="7"/>
  <c r="K19" i="7" s="1"/>
  <c r="K20" i="7"/>
  <c r="H20" i="7"/>
  <c r="H19" i="7"/>
  <c r="H18" i="7"/>
  <c r="E18" i="7"/>
  <c r="H17" i="7"/>
  <c r="E17" i="7"/>
  <c r="T16" i="7"/>
  <c r="Q16" i="7"/>
  <c r="N16" i="7"/>
  <c r="E16" i="7"/>
  <c r="T15" i="7"/>
  <c r="Q15" i="7"/>
  <c r="N15" i="7"/>
  <c r="E15" i="7"/>
  <c r="E11" i="7" s="1"/>
  <c r="T14" i="7"/>
  <c r="Q14" i="7"/>
  <c r="N14" i="7"/>
  <c r="E14" i="7"/>
  <c r="T13" i="7"/>
  <c r="Q13" i="7"/>
  <c r="K13" i="7"/>
  <c r="K12" i="7" s="1"/>
  <c r="E13" i="7"/>
  <c r="E12" i="7"/>
  <c r="T10" i="7"/>
  <c r="Q10" i="7"/>
  <c r="N10" i="7"/>
  <c r="K10" i="7"/>
  <c r="E10" i="7"/>
  <c r="E20" i="7" s="1"/>
  <c r="E3" i="7" s="1"/>
  <c r="N9" i="7"/>
  <c r="K9" i="7"/>
  <c r="H9" i="7"/>
  <c r="E9" i="7"/>
  <c r="T8" i="7"/>
  <c r="Q8" i="7"/>
  <c r="N8" i="7"/>
  <c r="K8" i="7"/>
  <c r="H8" i="7"/>
  <c r="E8" i="7"/>
  <c r="E21" i="7" s="1"/>
  <c r="T7" i="7"/>
  <c r="T2" i="7" s="1"/>
  <c r="Q7" i="7"/>
  <c r="Q2" i="7" s="1"/>
  <c r="N7" i="7"/>
  <c r="K7" i="7"/>
  <c r="H7" i="7"/>
  <c r="E7" i="7"/>
  <c r="E6" i="7" s="1"/>
  <c r="E23" i="7" s="1"/>
  <c r="K6" i="7"/>
  <c r="H6" i="7"/>
  <c r="H10" i="7" s="1"/>
  <c r="T5" i="7"/>
  <c r="Q5" i="7"/>
  <c r="N5" i="7"/>
  <c r="K5" i="7"/>
  <c r="H5" i="7"/>
  <c r="E5" i="7"/>
  <c r="H67" i="8"/>
  <c r="H66" i="8"/>
  <c r="H65" i="8"/>
  <c r="H64" i="8"/>
  <c r="H63" i="8"/>
  <c r="H59" i="8" s="1"/>
  <c r="H62" i="8"/>
  <c r="H55" i="8" s="1"/>
  <c r="H61" i="8"/>
  <c r="H60" i="8"/>
  <c r="H58" i="8"/>
  <c r="H57" i="8"/>
  <c r="H56" i="8"/>
  <c r="H54" i="8"/>
  <c r="K53" i="8"/>
  <c r="K51" i="8" s="1"/>
  <c r="H53" i="8"/>
  <c r="H52" i="8" s="1"/>
  <c r="K52" i="8"/>
  <c r="E51" i="8"/>
  <c r="K50" i="8"/>
  <c r="E50" i="8"/>
  <c r="H49" i="8"/>
  <c r="H48" i="8"/>
  <c r="H46" i="8" s="1"/>
  <c r="E48" i="8"/>
  <c r="H47" i="8"/>
  <c r="E47" i="8"/>
  <c r="E46" i="8"/>
  <c r="K45" i="8"/>
  <c r="E45" i="8"/>
  <c r="E52" i="8" s="1"/>
  <c r="E42" i="8" s="1"/>
  <c r="K44" i="8"/>
  <c r="E44" i="8"/>
  <c r="K43" i="8"/>
  <c r="H43" i="8"/>
  <c r="K42" i="8"/>
  <c r="K41" i="8"/>
  <c r="K40" i="8"/>
  <c r="H40" i="8"/>
  <c r="H39" i="8"/>
  <c r="K38" i="8"/>
  <c r="H38" i="8"/>
  <c r="K37" i="8"/>
  <c r="H37" i="8"/>
  <c r="K36" i="8"/>
  <c r="K20" i="8" s="1"/>
  <c r="H36" i="8"/>
  <c r="H16" i="8" s="1"/>
  <c r="E36" i="8"/>
  <c r="Q35" i="8"/>
  <c r="N35" i="8"/>
  <c r="K35" i="8"/>
  <c r="H35" i="8"/>
  <c r="E35" i="8"/>
  <c r="Q34" i="8"/>
  <c r="N34" i="8"/>
  <c r="K34" i="8"/>
  <c r="K46" i="8" s="1"/>
  <c r="K11" i="8" s="1"/>
  <c r="H34" i="8"/>
  <c r="E34" i="8"/>
  <c r="Q33" i="8"/>
  <c r="N33" i="8"/>
  <c r="K33" i="8"/>
  <c r="H33" i="8"/>
  <c r="E33" i="8"/>
  <c r="K32" i="8"/>
  <c r="H32" i="8"/>
  <c r="E32" i="8"/>
  <c r="E37" i="8" s="1"/>
  <c r="E30" i="8" s="1"/>
  <c r="K31" i="8"/>
  <c r="K25" i="8" s="1"/>
  <c r="H31" i="8"/>
  <c r="K30" i="8"/>
  <c r="H30" i="8"/>
  <c r="H25" i="8" s="1"/>
  <c r="Q29" i="8"/>
  <c r="N29" i="8"/>
  <c r="K29" i="8"/>
  <c r="H29" i="8"/>
  <c r="Q28" i="8"/>
  <c r="N28" i="8"/>
  <c r="H28" i="8"/>
  <c r="Q27" i="8"/>
  <c r="N27" i="8"/>
  <c r="N26" i="8" s="1"/>
  <c r="K27" i="8"/>
  <c r="H27" i="8"/>
  <c r="Q26" i="8"/>
  <c r="Q21" i="8" s="1"/>
  <c r="K26" i="8"/>
  <c r="H26" i="8"/>
  <c r="E25" i="8"/>
  <c r="E11" i="8" s="1"/>
  <c r="Q24" i="8"/>
  <c r="N24" i="8"/>
  <c r="N21" i="8" s="1"/>
  <c r="K24" i="8"/>
  <c r="H24" i="8"/>
  <c r="E24" i="8"/>
  <c r="K23" i="8"/>
  <c r="H23" i="8"/>
  <c r="K22" i="8"/>
  <c r="H22" i="8"/>
  <c r="K21" i="8"/>
  <c r="K19" i="8" s="1"/>
  <c r="H21" i="8"/>
  <c r="H20" i="8"/>
  <c r="H19" i="8"/>
  <c r="H18" i="8"/>
  <c r="E18" i="8"/>
  <c r="H17" i="8"/>
  <c r="H15" i="8" s="1"/>
  <c r="H10" i="8" s="1"/>
  <c r="E17" i="8"/>
  <c r="T16" i="8"/>
  <c r="Q16" i="8"/>
  <c r="N16" i="8"/>
  <c r="E16" i="8"/>
  <c r="T15" i="8"/>
  <c r="Q15" i="8"/>
  <c r="N15" i="8"/>
  <c r="E15" i="8"/>
  <c r="T14" i="8"/>
  <c r="Q14" i="8"/>
  <c r="N14" i="8"/>
  <c r="E14" i="8"/>
  <c r="T13" i="8"/>
  <c r="Q13" i="8"/>
  <c r="K13" i="8"/>
  <c r="K12" i="8" s="1"/>
  <c r="E13" i="8"/>
  <c r="E12" i="8"/>
  <c r="T10" i="8"/>
  <c r="Q10" i="8"/>
  <c r="N10" i="8"/>
  <c r="K10" i="8"/>
  <c r="E10" i="8"/>
  <c r="N9" i="8"/>
  <c r="K9" i="8"/>
  <c r="H9" i="8"/>
  <c r="E9" i="8"/>
  <c r="T8" i="8"/>
  <c r="Q8" i="8"/>
  <c r="N8" i="8"/>
  <c r="K8" i="8"/>
  <c r="H8" i="8"/>
  <c r="E8" i="8"/>
  <c r="T7" i="8"/>
  <c r="Q7" i="8"/>
  <c r="N7" i="8"/>
  <c r="K7" i="8"/>
  <c r="H7" i="8"/>
  <c r="E7" i="8"/>
  <c r="E6" i="8" s="1"/>
  <c r="K6" i="8"/>
  <c r="H6" i="8"/>
  <c r="T5" i="8"/>
  <c r="Q5" i="8"/>
  <c r="Q2" i="8" s="1"/>
  <c r="N5" i="8"/>
  <c r="N2" i="8" s="1"/>
  <c r="K5" i="8"/>
  <c r="H5" i="8"/>
  <c r="E5" i="8"/>
  <c r="T2" i="8"/>
  <c r="H67" i="6"/>
  <c r="H66" i="6"/>
  <c r="H65" i="6"/>
  <c r="H64" i="6"/>
  <c r="H63" i="6"/>
  <c r="H59" i="6" s="1"/>
  <c r="H62" i="6"/>
  <c r="H55" i="6" s="1"/>
  <c r="H61" i="6"/>
  <c r="H60" i="6"/>
  <c r="H58" i="6"/>
  <c r="H57" i="6"/>
  <c r="H56" i="6"/>
  <c r="H54" i="6"/>
  <c r="K53" i="6"/>
  <c r="K51" i="6" s="1"/>
  <c r="H53" i="6"/>
  <c r="K52" i="6"/>
  <c r="E51" i="6"/>
  <c r="K50" i="6"/>
  <c r="E50" i="6"/>
  <c r="H49" i="6"/>
  <c r="H48" i="6"/>
  <c r="H46" i="6" s="1"/>
  <c r="E48" i="6"/>
  <c r="H47" i="6"/>
  <c r="E47" i="6"/>
  <c r="K46" i="6"/>
  <c r="E46" i="6"/>
  <c r="K45" i="6"/>
  <c r="E45" i="6"/>
  <c r="E52" i="6" s="1"/>
  <c r="E42" i="6" s="1"/>
  <c r="K44" i="6"/>
  <c r="E44" i="6"/>
  <c r="K43" i="6"/>
  <c r="H43" i="6"/>
  <c r="K42" i="6"/>
  <c r="K41" i="6"/>
  <c r="K40" i="6"/>
  <c r="H40" i="6"/>
  <c r="H39" i="6"/>
  <c r="K38" i="6"/>
  <c r="H38" i="6"/>
  <c r="K37" i="6"/>
  <c r="H37" i="6"/>
  <c r="K36" i="6"/>
  <c r="H36" i="6"/>
  <c r="E36" i="6"/>
  <c r="E37" i="6" s="1"/>
  <c r="E30" i="6" s="1"/>
  <c r="Q35" i="6"/>
  <c r="N35" i="6"/>
  <c r="K35" i="6"/>
  <c r="H35" i="6"/>
  <c r="E35" i="6"/>
  <c r="Q34" i="6"/>
  <c r="N34" i="6"/>
  <c r="K34" i="6"/>
  <c r="H34" i="6"/>
  <c r="E34" i="6"/>
  <c r="Q33" i="6"/>
  <c r="N33" i="6"/>
  <c r="K33" i="6"/>
  <c r="H33" i="6"/>
  <c r="H25" i="6" s="1"/>
  <c r="E33" i="6"/>
  <c r="K32" i="6"/>
  <c r="H32" i="6"/>
  <c r="E32" i="6"/>
  <c r="K31" i="6"/>
  <c r="H31" i="6"/>
  <c r="K30" i="6"/>
  <c r="H30" i="6"/>
  <c r="Q29" i="6"/>
  <c r="N29" i="6"/>
  <c r="K29" i="6"/>
  <c r="H29" i="6"/>
  <c r="Q28" i="6"/>
  <c r="N28" i="6"/>
  <c r="K28" i="6"/>
  <c r="H28" i="6"/>
  <c r="Q27" i="6"/>
  <c r="N27" i="6"/>
  <c r="N26" i="6" s="1"/>
  <c r="N21" i="6" s="1"/>
  <c r="K27" i="6"/>
  <c r="K25" i="6" s="1"/>
  <c r="H27" i="6"/>
  <c r="Q26" i="6"/>
  <c r="K26" i="6"/>
  <c r="H26" i="6"/>
  <c r="E25" i="6"/>
  <c r="Q24" i="6"/>
  <c r="Q21" i="6" s="1"/>
  <c r="N24" i="6"/>
  <c r="K24" i="6"/>
  <c r="H24" i="6"/>
  <c r="E24" i="6"/>
  <c r="K23" i="6"/>
  <c r="H23" i="6"/>
  <c r="K22" i="6"/>
  <c r="K21" i="6"/>
  <c r="K19" i="6" s="1"/>
  <c r="K14" i="6" s="1"/>
  <c r="K20" i="6"/>
  <c r="H20" i="6"/>
  <c r="H19" i="6"/>
  <c r="H18" i="6"/>
  <c r="E18" i="6"/>
  <c r="H17" i="6"/>
  <c r="E17" i="6"/>
  <c r="T16" i="6"/>
  <c r="Q16" i="6"/>
  <c r="N16" i="6"/>
  <c r="E16" i="6"/>
  <c r="T15" i="6"/>
  <c r="Q15" i="6"/>
  <c r="N15" i="6"/>
  <c r="E15" i="6"/>
  <c r="T14" i="6"/>
  <c r="Q14" i="6"/>
  <c r="N14" i="6"/>
  <c r="E14" i="6"/>
  <c r="T13" i="6"/>
  <c r="Q13" i="6"/>
  <c r="K13" i="6"/>
  <c r="E13" i="6"/>
  <c r="K12" i="6"/>
  <c r="E12" i="6"/>
  <c r="K11" i="6"/>
  <c r="T10" i="6"/>
  <c r="Q10" i="6"/>
  <c r="N10" i="6"/>
  <c r="K10" i="6"/>
  <c r="E10" i="6"/>
  <c r="N9" i="6"/>
  <c r="K9" i="6"/>
  <c r="K18" i="6" s="1"/>
  <c r="K17" i="6" s="1"/>
  <c r="H9" i="6"/>
  <c r="E9" i="6"/>
  <c r="T8" i="6"/>
  <c r="Q8" i="6"/>
  <c r="N8" i="6"/>
  <c r="N7" i="6" s="1"/>
  <c r="K8" i="6"/>
  <c r="H8" i="6"/>
  <c r="E8" i="6"/>
  <c r="E21" i="6" s="1"/>
  <c r="T7" i="6"/>
  <c r="Q7" i="6"/>
  <c r="K7" i="6"/>
  <c r="H7" i="6"/>
  <c r="E7" i="6"/>
  <c r="E6" i="6" s="1"/>
  <c r="E23" i="6" s="1"/>
  <c r="K6" i="6"/>
  <c r="H6" i="6"/>
  <c r="T5" i="6"/>
  <c r="T2" i="6" s="1"/>
  <c r="Q5" i="6"/>
  <c r="Q2" i="6" s="1"/>
  <c r="N5" i="6"/>
  <c r="K5" i="6"/>
  <c r="H5" i="6"/>
  <c r="E5" i="6"/>
  <c r="B108" i="15"/>
  <c r="B33" i="15"/>
  <c r="B32" i="15"/>
  <c r="B108" i="14"/>
  <c r="B33" i="14"/>
  <c r="B32" i="14"/>
  <c r="AC35" i="1"/>
  <c r="AC28" i="1"/>
  <c r="AC27" i="1"/>
  <c r="AC26" i="1"/>
  <c r="AC30" i="1" s="1"/>
  <c r="AC25" i="1"/>
  <c r="AC24" i="1"/>
  <c r="AC23" i="1"/>
  <c r="AC21" i="1"/>
  <c r="AC20" i="1"/>
  <c r="AC19" i="1"/>
  <c r="AC18" i="1"/>
  <c r="AC17" i="1"/>
  <c r="AC16" i="1"/>
  <c r="AC14" i="1"/>
  <c r="AC11" i="1"/>
  <c r="AC9" i="1"/>
  <c r="AC8" i="1"/>
  <c r="AC5" i="1"/>
  <c r="AF13" i="1"/>
  <c r="DA3" i="28" l="1"/>
  <c r="CU3" i="28"/>
  <c r="K2" i="27"/>
  <c r="H13" i="25"/>
  <c r="H2" i="25" s="1"/>
  <c r="DA3" i="10"/>
  <c r="CU4" i="28"/>
  <c r="HE26" i="26"/>
  <c r="HE24" i="26" s="1"/>
  <c r="HE6" i="26"/>
  <c r="HE4" i="26" s="1"/>
  <c r="AE2" i="26"/>
  <c r="DJ2" i="30"/>
  <c r="CU17" i="30" s="1"/>
  <c r="DM2" i="30"/>
  <c r="DG2" i="30"/>
  <c r="DA16" i="30" s="1"/>
  <c r="HE26" i="27"/>
  <c r="HE24" i="27" s="1"/>
  <c r="HE6" i="27"/>
  <c r="HE4" i="27" s="1"/>
  <c r="DA3" i="27"/>
  <c r="BZ2" i="25"/>
  <c r="DA3" i="23"/>
  <c r="HE26" i="23"/>
  <c r="HE24" i="23" s="1"/>
  <c r="CU3" i="23"/>
  <c r="DA3" i="12"/>
  <c r="DG2" i="11"/>
  <c r="DA16" i="11" s="1"/>
  <c r="DJ2" i="11"/>
  <c r="CU17" i="11" s="1"/>
  <c r="BZ2" i="10"/>
  <c r="AD2" i="10"/>
  <c r="CU4" i="29"/>
  <c r="CU3" i="29"/>
  <c r="HE6" i="28"/>
  <c r="HE4" i="28" s="1"/>
  <c r="HE26" i="28"/>
  <c r="HE24" i="28" s="1"/>
  <c r="DA4" i="28"/>
  <c r="CU3" i="26"/>
  <c r="DA3" i="26"/>
  <c r="HE6" i="24"/>
  <c r="HE4" i="24" s="1"/>
  <c r="HE26" i="24"/>
  <c r="HE24" i="24" s="1"/>
  <c r="CU3" i="24"/>
  <c r="DA4" i="24"/>
  <c r="HE26" i="30"/>
  <c r="HE24" i="30" s="1"/>
  <c r="HE6" i="30"/>
  <c r="HE4" i="30" s="1"/>
  <c r="HE26" i="25"/>
  <c r="HE24" i="25" s="1"/>
  <c r="HE6" i="25"/>
  <c r="HE4" i="25" s="1"/>
  <c r="DA3" i="25"/>
  <c r="DA4" i="25"/>
  <c r="CU4" i="25"/>
  <c r="CU3" i="25"/>
  <c r="HE6" i="12"/>
  <c r="HE4" i="12" s="1"/>
  <c r="HE26" i="12"/>
  <c r="HE24" i="12" s="1"/>
  <c r="HE6" i="11"/>
  <c r="HE4" i="11" s="1"/>
  <c r="HE26" i="11"/>
  <c r="HE24" i="11" s="1"/>
  <c r="CU4" i="10"/>
  <c r="CU3" i="10"/>
  <c r="HE6" i="10"/>
  <c r="HE4" i="10" s="1"/>
  <c r="HE26" i="10"/>
  <c r="HE24" i="10" s="1"/>
  <c r="AC2" i="10"/>
  <c r="DA4" i="9"/>
  <c r="CU3" i="9"/>
  <c r="AC2" i="9"/>
  <c r="HE26" i="9"/>
  <c r="HE24" i="9" s="1"/>
  <c r="HE6" i="9"/>
  <c r="HE4" i="9" s="1"/>
  <c r="CU3" i="19"/>
  <c r="DA3" i="19"/>
  <c r="AF32" i="16"/>
  <c r="AF2" i="16" s="1"/>
  <c r="BT4" i="16"/>
  <c r="DA4" i="16"/>
  <c r="DJ2" i="16"/>
  <c r="CU17" i="16" s="1"/>
  <c r="FC2" i="16"/>
  <c r="CU18" i="16" s="1"/>
  <c r="GV2" i="16"/>
  <c r="CU19" i="16" s="1"/>
  <c r="EN2" i="16"/>
  <c r="CU20" i="16" s="1"/>
  <c r="DY2" i="16"/>
  <c r="CU21" i="16" s="1"/>
  <c r="HE24" i="16"/>
  <c r="GJ2" i="16"/>
  <c r="GG2" i="16"/>
  <c r="CU22" i="16" s="1"/>
  <c r="DA21" i="16"/>
  <c r="DA3" i="16" s="1"/>
  <c r="K2" i="16"/>
  <c r="E3" i="16"/>
  <c r="DA21" i="15"/>
  <c r="FR2" i="15"/>
  <c r="CU23" i="15" s="1"/>
  <c r="BT4" i="15"/>
  <c r="GG2" i="15"/>
  <c r="CU22" i="15" s="1"/>
  <c r="H50" i="15"/>
  <c r="H2" i="15" s="1"/>
  <c r="FF2" i="15"/>
  <c r="FC2" i="15"/>
  <c r="CU18" i="15" s="1"/>
  <c r="EZ2" i="15"/>
  <c r="DA17" i="15" s="1"/>
  <c r="AG2" i="15"/>
  <c r="CX3" i="15"/>
  <c r="W25" i="15"/>
  <c r="AF2" i="15"/>
  <c r="DY2" i="15"/>
  <c r="CU21" i="15" s="1"/>
  <c r="GV2" i="15"/>
  <c r="CU19" i="15" s="1"/>
  <c r="CU17" i="15"/>
  <c r="DA16" i="15"/>
  <c r="CR19" i="18"/>
  <c r="CO19" i="18"/>
  <c r="HE6" i="18"/>
  <c r="HE4" i="18" s="1"/>
  <c r="HE26" i="18"/>
  <c r="HE24" i="18" s="1"/>
  <c r="GJ2" i="18"/>
  <c r="GG2" i="18"/>
  <c r="CU22" i="18" s="1"/>
  <c r="DA21" i="18"/>
  <c r="BT4" i="18"/>
  <c r="BZ2" i="18"/>
  <c r="DG5" i="18"/>
  <c r="DG2" i="18" s="1"/>
  <c r="DA16" i="18" s="1"/>
  <c r="AE33" i="18"/>
  <c r="DM2" i="18"/>
  <c r="DJ2" i="18"/>
  <c r="CU17" i="18" s="1"/>
  <c r="FU2" i="18"/>
  <c r="FR2" i="18"/>
  <c r="CU23" i="18" s="1"/>
  <c r="FO2" i="18"/>
  <c r="DA22" i="18" s="1"/>
  <c r="CO19" i="17"/>
  <c r="CR19" i="17"/>
  <c r="DM2" i="17"/>
  <c r="DJ2" i="17"/>
  <c r="CU17" i="17" s="1"/>
  <c r="DG2" i="17"/>
  <c r="DA16" i="17" s="1"/>
  <c r="DA4" i="17" s="1"/>
  <c r="FU2" i="17"/>
  <c r="FR2" i="17"/>
  <c r="CU23" i="17" s="1"/>
  <c r="FO2" i="17"/>
  <c r="DA22" i="17" s="1"/>
  <c r="EN2" i="17"/>
  <c r="CU20" i="17" s="1"/>
  <c r="EK2" i="17"/>
  <c r="DA19" i="17" s="1"/>
  <c r="EQ2" i="17"/>
  <c r="CR2" i="17"/>
  <c r="CO2" i="17"/>
  <c r="BZ2" i="17"/>
  <c r="GJ2" i="17"/>
  <c r="GG2" i="17"/>
  <c r="CU22" i="17" s="1"/>
  <c r="DA21" i="17"/>
  <c r="W25" i="17"/>
  <c r="AE2" i="17"/>
  <c r="AF2" i="17"/>
  <c r="BT4" i="17"/>
  <c r="DG5" i="17"/>
  <c r="HE23" i="14"/>
  <c r="AJ21" i="14"/>
  <c r="BK21" i="14"/>
  <c r="Z39" i="14"/>
  <c r="Z25" i="14" s="1"/>
  <c r="Z38" i="14"/>
  <c r="Z40" i="14"/>
  <c r="Z41" i="14"/>
  <c r="AC34" i="14"/>
  <c r="AC33" i="14"/>
  <c r="AC32" i="14"/>
  <c r="AD34" i="14"/>
  <c r="AD33" i="14"/>
  <c r="AD32" i="14"/>
  <c r="BT21" i="14"/>
  <c r="BT24" i="14"/>
  <c r="BT23" i="14"/>
  <c r="BT22" i="14"/>
  <c r="AE34" i="14"/>
  <c r="AE33" i="14"/>
  <c r="AE2" i="14" s="1"/>
  <c r="AE32" i="14"/>
  <c r="BW11" i="14"/>
  <c r="BW10" i="14"/>
  <c r="AF34" i="14"/>
  <c r="AF2" i="14" s="1"/>
  <c r="AF33" i="14"/>
  <c r="AF32" i="14"/>
  <c r="BZ14" i="14"/>
  <c r="BZ15" i="14"/>
  <c r="BZ13" i="14"/>
  <c r="W19" i="14"/>
  <c r="W18" i="14"/>
  <c r="W3" i="14" s="1"/>
  <c r="W17" i="14"/>
  <c r="W16" i="14"/>
  <c r="AG32" i="14"/>
  <c r="AG34" i="14"/>
  <c r="CX23" i="14"/>
  <c r="CX22" i="14"/>
  <c r="CX21" i="14"/>
  <c r="CX20" i="14"/>
  <c r="CX3" i="14" s="1"/>
  <c r="Z17" i="14"/>
  <c r="Z16" i="14"/>
  <c r="Z18" i="14"/>
  <c r="Z19" i="14"/>
  <c r="DA15" i="14"/>
  <c r="DA14" i="14"/>
  <c r="DA13" i="14"/>
  <c r="E20" i="14"/>
  <c r="E3" i="14" s="1"/>
  <c r="W41" i="14"/>
  <c r="W40" i="14"/>
  <c r="W39" i="14"/>
  <c r="W38" i="14"/>
  <c r="W26" i="14" s="1"/>
  <c r="E21" i="14"/>
  <c r="CR22" i="14"/>
  <c r="CR19" i="14"/>
  <c r="E30" i="14"/>
  <c r="K16" i="14"/>
  <c r="K14" i="14"/>
  <c r="K15" i="14"/>
  <c r="K18" i="14"/>
  <c r="K17" i="14" s="1"/>
  <c r="E42" i="14"/>
  <c r="GJ2" i="14"/>
  <c r="FF2" i="14"/>
  <c r="EZ2" i="14"/>
  <c r="DA17" i="14" s="1"/>
  <c r="E4" i="14"/>
  <c r="BZ10" i="14"/>
  <c r="GV2" i="14"/>
  <c r="CU19" i="14" s="1"/>
  <c r="GS2" i="14"/>
  <c r="DA18" i="14" s="1"/>
  <c r="GY2" i="14"/>
  <c r="EB2" i="14"/>
  <c r="DV2" i="14"/>
  <c r="DA20" i="14" s="1"/>
  <c r="H50" i="14"/>
  <c r="FU2" i="14"/>
  <c r="FO2" i="14"/>
  <c r="DA22" i="14" s="1"/>
  <c r="GM2" i="14"/>
  <c r="EK2" i="14"/>
  <c r="DA19" i="14" s="1"/>
  <c r="EQ2" i="14"/>
  <c r="DG6" i="14"/>
  <c r="DG5" i="14"/>
  <c r="Z26" i="14"/>
  <c r="CU11" i="14"/>
  <c r="EN2" i="14" s="1"/>
  <c r="CU20" i="14" s="1"/>
  <c r="Z3" i="14"/>
  <c r="AC30" i="14"/>
  <c r="FI2" i="14"/>
  <c r="AD30" i="14"/>
  <c r="DP6" i="14"/>
  <c r="DP2" i="14" s="1"/>
  <c r="DP7" i="14"/>
  <c r="BW12" i="14"/>
  <c r="CU24" i="14"/>
  <c r="CX4" i="14"/>
  <c r="K28" i="14"/>
  <c r="H51" i="14"/>
  <c r="DD7" i="14"/>
  <c r="DG16" i="14"/>
  <c r="DG7" i="14" s="1"/>
  <c r="BW2" i="14"/>
  <c r="DA25" i="14"/>
  <c r="BN6" i="14"/>
  <c r="AS25" i="14"/>
  <c r="BK6" i="14"/>
  <c r="AS6" i="14"/>
  <c r="K18" i="7"/>
  <c r="K11" i="7"/>
  <c r="K15" i="7" s="1"/>
  <c r="H22" i="7"/>
  <c r="H14" i="7" s="1"/>
  <c r="H13" i="7" s="1"/>
  <c r="H50" i="7"/>
  <c r="K16" i="7"/>
  <c r="N2" i="7"/>
  <c r="H21" i="7"/>
  <c r="K25" i="7"/>
  <c r="H25" i="7"/>
  <c r="H51" i="7"/>
  <c r="H16" i="7"/>
  <c r="E22" i="7"/>
  <c r="E4" i="7" s="1"/>
  <c r="H11" i="7"/>
  <c r="H12" i="7"/>
  <c r="K16" i="8"/>
  <c r="H50" i="8"/>
  <c r="K18" i="8"/>
  <c r="K17" i="8" s="1"/>
  <c r="E22" i="8"/>
  <c r="E4" i="8" s="1"/>
  <c r="H14" i="8"/>
  <c r="H13" i="8" s="1"/>
  <c r="K14" i="8"/>
  <c r="K2" i="8" s="1"/>
  <c r="E21" i="8"/>
  <c r="E20" i="8"/>
  <c r="K28" i="8"/>
  <c r="H51" i="8"/>
  <c r="E23" i="8"/>
  <c r="K15" i="8"/>
  <c r="H11" i="8"/>
  <c r="H12" i="8"/>
  <c r="E20" i="6"/>
  <c r="E3" i="6" s="1"/>
  <c r="H52" i="6"/>
  <c r="H22" i="6"/>
  <c r="H14" i="6" s="1"/>
  <c r="H13" i="6" s="1"/>
  <c r="K16" i="6"/>
  <c r="K15" i="6"/>
  <c r="K2" i="6" s="1"/>
  <c r="E11" i="6"/>
  <c r="H21" i="6"/>
  <c r="H12" i="6" s="1"/>
  <c r="H16" i="6"/>
  <c r="E22" i="6"/>
  <c r="E4" i="6" s="1"/>
  <c r="H15" i="6"/>
  <c r="H10" i="6" s="1"/>
  <c r="H50" i="6"/>
  <c r="N2" i="6"/>
  <c r="H51" i="6"/>
  <c r="H11" i="6"/>
  <c r="AC34" i="1"/>
  <c r="AC32" i="1"/>
  <c r="AC33" i="1"/>
  <c r="K53" i="1"/>
  <c r="B108" i="7"/>
  <c r="B108" i="8"/>
  <c r="B108" i="6"/>
  <c r="DA3" i="15" l="1"/>
  <c r="CU3" i="17"/>
  <c r="CU4" i="17"/>
  <c r="CU3" i="16"/>
  <c r="CU4" i="16"/>
  <c r="HE26" i="15"/>
  <c r="HE24" i="15" s="1"/>
  <c r="CU4" i="15"/>
  <c r="CU3" i="15"/>
  <c r="DA4" i="15"/>
  <c r="DA3" i="17"/>
  <c r="HE6" i="17"/>
  <c r="HE4" i="17" s="1"/>
  <c r="HE26" i="17"/>
  <c r="HE24" i="17" s="1"/>
  <c r="Z4" i="14"/>
  <c r="W4" i="14"/>
  <c r="BT3" i="14"/>
  <c r="H2" i="14"/>
  <c r="DA4" i="14"/>
  <c r="AD2" i="14"/>
  <c r="BT4" i="14"/>
  <c r="W25" i="14"/>
  <c r="DY2" i="14"/>
  <c r="CU21" i="14" s="1"/>
  <c r="DJ2" i="14"/>
  <c r="CU17" i="14" s="1"/>
  <c r="DM2" i="14"/>
  <c r="DG2" i="14"/>
  <c r="DA16" i="14" s="1"/>
  <c r="DA3" i="14" s="1"/>
  <c r="BZ2" i="14"/>
  <c r="FR2" i="14"/>
  <c r="CU23" i="14" s="1"/>
  <c r="AC2" i="14"/>
  <c r="FC2" i="14"/>
  <c r="CU18" i="14" s="1"/>
  <c r="GG2" i="14"/>
  <c r="CU22" i="14" s="1"/>
  <c r="K17" i="7"/>
  <c r="K14" i="7"/>
  <c r="E3" i="8"/>
  <c r="AC2" i="1"/>
  <c r="HB25" i="1"/>
  <c r="HB23" i="1" s="1"/>
  <c r="HB22" i="1"/>
  <c r="HB21" i="1"/>
  <c r="HB19" i="1"/>
  <c r="HB18" i="1"/>
  <c r="HB17" i="1"/>
  <c r="HB15" i="1"/>
  <c r="HB13" i="1"/>
  <c r="GY13" i="1"/>
  <c r="GV13" i="1"/>
  <c r="HB12" i="1"/>
  <c r="GY12" i="1"/>
  <c r="GV12" i="1"/>
  <c r="HB11" i="1"/>
  <c r="GY11" i="1"/>
  <c r="GV11" i="1"/>
  <c r="HB10" i="1"/>
  <c r="GY10" i="1"/>
  <c r="GV10" i="1"/>
  <c r="GP15" i="1"/>
  <c r="GM25" i="1"/>
  <c r="GM23" i="1" s="1"/>
  <c r="GM22" i="1"/>
  <c r="GM21" i="1"/>
  <c r="GM20" i="1"/>
  <c r="GM19" i="1"/>
  <c r="GM18" i="1"/>
  <c r="GM17" i="1"/>
  <c r="GM15" i="1"/>
  <c r="GM13" i="1"/>
  <c r="GJ13" i="1"/>
  <c r="GG13" i="1"/>
  <c r="GM12" i="1"/>
  <c r="GJ12" i="1"/>
  <c r="GG12" i="1"/>
  <c r="GM11" i="1"/>
  <c r="GJ11" i="1"/>
  <c r="GG11" i="1"/>
  <c r="GM10" i="1"/>
  <c r="GJ10" i="1"/>
  <c r="GG10" i="1"/>
  <c r="GD6" i="1"/>
  <c r="GA16" i="1"/>
  <c r="GA14" i="1"/>
  <c r="GA13" i="1"/>
  <c r="GA12" i="1"/>
  <c r="GA11" i="1"/>
  <c r="GA10" i="1"/>
  <c r="GA9" i="1"/>
  <c r="GA8" i="1"/>
  <c r="FO5" i="1"/>
  <c r="FR5" i="1"/>
  <c r="FL16" i="1"/>
  <c r="FL14" i="1"/>
  <c r="FL13" i="1"/>
  <c r="FL12" i="1"/>
  <c r="FL11" i="1"/>
  <c r="FL10" i="1"/>
  <c r="FX5" i="1"/>
  <c r="FX2" i="1" s="1"/>
  <c r="FU6" i="1"/>
  <c r="FR6" i="1"/>
  <c r="GP18" i="1"/>
  <c r="GP17" i="1" s="1"/>
  <c r="GA19" i="1"/>
  <c r="GA18" i="1" s="1"/>
  <c r="FL19" i="1"/>
  <c r="FL18" i="1" s="1"/>
  <c r="EH19" i="1"/>
  <c r="EH18" i="1" s="1"/>
  <c r="DS19" i="1"/>
  <c r="DS18" i="1" s="1"/>
  <c r="DD22" i="1"/>
  <c r="DD21" i="1"/>
  <c r="EW19" i="1"/>
  <c r="EW18" i="1" s="1"/>
  <c r="FF7" i="1"/>
  <c r="FF5" i="1" s="1"/>
  <c r="FI20" i="1"/>
  <c r="FI25" i="1"/>
  <c r="FI24" i="1"/>
  <c r="FI23" i="1"/>
  <c r="FI22" i="1"/>
  <c r="FI16" i="1" s="1"/>
  <c r="FI21" i="1"/>
  <c r="FI19" i="1"/>
  <c r="FI18" i="1"/>
  <c r="FI17" i="1"/>
  <c r="FI13" i="1"/>
  <c r="FF13" i="1"/>
  <c r="FC13" i="1"/>
  <c r="FI12" i="1"/>
  <c r="FF12" i="1"/>
  <c r="FC12" i="1"/>
  <c r="FI11" i="1"/>
  <c r="FF11" i="1"/>
  <c r="FC11" i="1"/>
  <c r="FI10" i="1"/>
  <c r="FF10" i="1"/>
  <c r="FC10" i="1"/>
  <c r="FI15" i="1"/>
  <c r="EZ6" i="1"/>
  <c r="EW16" i="1"/>
  <c r="EW14" i="1"/>
  <c r="FF14" i="1" s="1"/>
  <c r="EW13" i="1"/>
  <c r="EW12" i="1"/>
  <c r="EW11" i="1"/>
  <c r="EW10" i="1"/>
  <c r="EW9" i="1"/>
  <c r="EW8" i="1"/>
  <c r="ET22" i="1"/>
  <c r="ET21" i="1"/>
  <c r="ET19" i="1"/>
  <c r="ET18" i="1"/>
  <c r="ET17" i="1"/>
  <c r="ET15" i="1"/>
  <c r="EK6" i="1"/>
  <c r="ET13" i="1"/>
  <c r="EQ13" i="1"/>
  <c r="EN13" i="1"/>
  <c r="ET12" i="1"/>
  <c r="EQ12" i="1"/>
  <c r="EN12" i="1"/>
  <c r="ET11" i="1"/>
  <c r="EQ11" i="1"/>
  <c r="EN11" i="1"/>
  <c r="ET10" i="1"/>
  <c r="EQ10" i="1"/>
  <c r="EN10" i="1"/>
  <c r="EH16" i="1"/>
  <c r="EH14" i="1"/>
  <c r="EQ14" i="1" s="1"/>
  <c r="EH13" i="1"/>
  <c r="EH12" i="1"/>
  <c r="EH11" i="1"/>
  <c r="EH10" i="1"/>
  <c r="EH9" i="1"/>
  <c r="EH8" i="1"/>
  <c r="EE22" i="1"/>
  <c r="EE21" i="1"/>
  <c r="EE19" i="1"/>
  <c r="EE18" i="1"/>
  <c r="EE17" i="1"/>
  <c r="EE13" i="1"/>
  <c r="EB13" i="1"/>
  <c r="DY13" i="1"/>
  <c r="EE12" i="1"/>
  <c r="EB12" i="1"/>
  <c r="DY12" i="1"/>
  <c r="EE11" i="1"/>
  <c r="EB11" i="1"/>
  <c r="DY11" i="1"/>
  <c r="EE10" i="1"/>
  <c r="EB10" i="1"/>
  <c r="DY10" i="1"/>
  <c r="EB14" i="1"/>
  <c r="DY14" i="1"/>
  <c r="HB26" i="1"/>
  <c r="HB14" i="1"/>
  <c r="HB8" i="1"/>
  <c r="GY8" i="1"/>
  <c r="GV8" i="1"/>
  <c r="GM26" i="1"/>
  <c r="GM14" i="1"/>
  <c r="GM8" i="1"/>
  <c r="GJ8" i="1"/>
  <c r="GG8" i="1"/>
  <c r="FI26" i="1"/>
  <c r="FI14" i="1"/>
  <c r="FI8" i="1"/>
  <c r="FF8" i="1"/>
  <c r="FC8" i="1"/>
  <c r="ET26" i="1"/>
  <c r="ET24" i="1" s="1"/>
  <c r="ET14" i="1"/>
  <c r="ET8" i="1"/>
  <c r="EQ8" i="1"/>
  <c r="EN8" i="1"/>
  <c r="EE26" i="1"/>
  <c r="EE14" i="1"/>
  <c r="EE8" i="1"/>
  <c r="EB8" i="1"/>
  <c r="DY8" i="1"/>
  <c r="DV6" i="1"/>
  <c r="DS11" i="1"/>
  <c r="DS10" i="1"/>
  <c r="DS9" i="1"/>
  <c r="DS8" i="1"/>
  <c r="DP22" i="1"/>
  <c r="DP21" i="1"/>
  <c r="DP19" i="1"/>
  <c r="DP18" i="1"/>
  <c r="DP17" i="1"/>
  <c r="DP15" i="1"/>
  <c r="DP13" i="1"/>
  <c r="DP12" i="1"/>
  <c r="DP9" i="1"/>
  <c r="DP8" i="1"/>
  <c r="DP26" i="1"/>
  <c r="DP14" i="1"/>
  <c r="DM8" i="1"/>
  <c r="DJ8" i="1"/>
  <c r="DD13" i="1"/>
  <c r="DD20" i="1"/>
  <c r="DD14" i="1"/>
  <c r="DD12" i="1"/>
  <c r="DD11" i="1"/>
  <c r="DD9" i="1"/>
  <c r="DD8" i="1"/>
  <c r="DA46" i="1"/>
  <c r="DA44" i="1"/>
  <c r="DA43" i="1"/>
  <c r="DA42" i="1"/>
  <c r="DA41" i="1"/>
  <c r="DA40" i="1"/>
  <c r="DA39" i="1"/>
  <c r="DA38" i="1"/>
  <c r="DA37" i="1"/>
  <c r="DA36" i="1"/>
  <c r="DA35" i="1"/>
  <c r="DA34" i="1"/>
  <c r="DA33" i="1"/>
  <c r="DA32" i="1"/>
  <c r="DA31" i="1"/>
  <c r="DA30" i="1"/>
  <c r="DA29" i="1"/>
  <c r="DA28" i="1"/>
  <c r="DA27" i="1"/>
  <c r="DA26" i="1"/>
  <c r="CX25" i="1"/>
  <c r="CX24" i="1"/>
  <c r="CX19" i="1"/>
  <c r="CX17" i="1"/>
  <c r="CX16" i="1"/>
  <c r="CX15" i="1"/>
  <c r="CX14" i="1"/>
  <c r="CU43" i="1"/>
  <c r="CU42" i="1"/>
  <c r="CU41" i="1"/>
  <c r="CU40" i="1"/>
  <c r="CU39" i="1"/>
  <c r="CU38" i="1"/>
  <c r="CU37" i="1"/>
  <c r="CU36" i="1"/>
  <c r="CU35" i="1"/>
  <c r="CU34" i="1"/>
  <c r="CU33" i="1"/>
  <c r="CU32" i="1"/>
  <c r="CU44" i="1" s="1"/>
  <c r="CU31" i="1"/>
  <c r="CU30" i="1"/>
  <c r="CU29" i="1"/>
  <c r="CU28" i="1"/>
  <c r="CU27" i="1"/>
  <c r="CU26" i="1"/>
  <c r="CR23" i="1"/>
  <c r="CR6" i="1"/>
  <c r="CO30" i="1"/>
  <c r="CO29" i="1"/>
  <c r="CO28" i="1"/>
  <c r="CO27" i="1"/>
  <c r="CO13" i="1"/>
  <c r="CO12" i="1"/>
  <c r="CO11" i="1"/>
  <c r="CO10" i="1"/>
  <c r="CO26" i="1"/>
  <c r="CL26" i="1"/>
  <c r="CL9" i="1"/>
  <c r="CI10" i="1"/>
  <c r="CI13" i="1"/>
  <c r="CC30" i="1"/>
  <c r="CF30" i="1"/>
  <c r="CF13" i="1"/>
  <c r="CC13" i="1"/>
  <c r="CF29" i="1"/>
  <c r="CF28" i="1"/>
  <c r="CC29" i="1"/>
  <c r="CC28" i="1"/>
  <c r="CI12" i="1"/>
  <c r="CI11" i="1"/>
  <c r="CF12" i="1"/>
  <c r="CF11" i="1"/>
  <c r="CC12" i="1"/>
  <c r="CC11" i="1"/>
  <c r="CC10" i="1"/>
  <c r="CC9" i="1"/>
  <c r="BZ27" i="1"/>
  <c r="BZ25" i="1"/>
  <c r="BZ33" i="1" s="1"/>
  <c r="BZ24" i="1"/>
  <c r="BZ23" i="1"/>
  <c r="BZ22" i="1"/>
  <c r="BZ21" i="1"/>
  <c r="BZ20" i="1"/>
  <c r="BZ19" i="1"/>
  <c r="BZ18" i="1"/>
  <c r="BW13" i="1"/>
  <c r="BW26" i="1"/>
  <c r="BW25" i="1"/>
  <c r="BW24" i="1"/>
  <c r="BW23" i="1"/>
  <c r="BW22" i="1"/>
  <c r="BW20" i="1"/>
  <c r="BW19" i="1"/>
  <c r="BW18" i="1"/>
  <c r="BW17" i="1"/>
  <c r="BW16" i="1"/>
  <c r="BW14" i="1"/>
  <c r="BT27" i="1"/>
  <c r="BT26" i="1"/>
  <c r="BT25" i="1"/>
  <c r="BT20" i="1"/>
  <c r="BT17" i="1"/>
  <c r="BT16" i="1"/>
  <c r="BT15" i="1"/>
  <c r="BT14" i="1"/>
  <c r="BT13" i="1"/>
  <c r="BT12" i="1"/>
  <c r="BT9" i="1"/>
  <c r="BT28" i="1" s="1"/>
  <c r="BT8" i="1"/>
  <c r="H49" i="1"/>
  <c r="H43" i="1"/>
  <c r="K52" i="1"/>
  <c r="K50" i="1"/>
  <c r="G5" i="5"/>
  <c r="G13" i="5"/>
  <c r="BN33" i="1"/>
  <c r="BN32" i="1"/>
  <c r="BK33" i="1"/>
  <c r="BK32" i="1"/>
  <c r="BQ14" i="1"/>
  <c r="BQ13" i="1"/>
  <c r="BN14" i="1"/>
  <c r="BN13" i="1"/>
  <c r="HE6" i="14" l="1"/>
  <c r="HE4" i="14" s="1"/>
  <c r="HE26" i="14"/>
  <c r="HE24" i="14" s="1"/>
  <c r="CU4" i="14"/>
  <c r="CU3" i="14"/>
  <c r="EW7" i="1"/>
  <c r="BN34" i="1"/>
  <c r="BK34" i="1"/>
  <c r="BQ15" i="1"/>
  <c r="BN15" i="1"/>
  <c r="BK15" i="1"/>
  <c r="BN31" i="1"/>
  <c r="BK31" i="1"/>
  <c r="BQ12" i="1"/>
  <c r="BN12" i="1"/>
  <c r="BK12" i="1"/>
  <c r="BN30" i="1"/>
  <c r="BK30" i="1"/>
  <c r="BQ11" i="1"/>
  <c r="BN11" i="1"/>
  <c r="BK11" i="1"/>
  <c r="BN29" i="1"/>
  <c r="BK29" i="1"/>
  <c r="BQ10" i="1"/>
  <c r="BN10" i="1"/>
  <c r="BK10" i="1"/>
  <c r="BN28" i="1"/>
  <c r="BK28" i="1"/>
  <c r="BQ9" i="1"/>
  <c r="BN9" i="1"/>
  <c r="BK9" i="1"/>
  <c r="BK14" i="1"/>
  <c r="BK13" i="1"/>
  <c r="AV35" i="1"/>
  <c r="AS35" i="1"/>
  <c r="AY16" i="1"/>
  <c r="AV16" i="1"/>
  <c r="AS16" i="1"/>
  <c r="AV33" i="1"/>
  <c r="AS33" i="1"/>
  <c r="AY14" i="1"/>
  <c r="AV14" i="1"/>
  <c r="AS14" i="1"/>
  <c r="AV32" i="1"/>
  <c r="AS32" i="1"/>
  <c r="AY13" i="1"/>
  <c r="AV13" i="1"/>
  <c r="AS13" i="1"/>
  <c r="AV31" i="1"/>
  <c r="AS31" i="1"/>
  <c r="AY12" i="1"/>
  <c r="AV12" i="1"/>
  <c r="AS12" i="1"/>
  <c r="AV30" i="1"/>
  <c r="AS30" i="1"/>
  <c r="AY11" i="1"/>
  <c r="AV11" i="1"/>
  <c r="AS11" i="1"/>
  <c r="AV29" i="1"/>
  <c r="AS29" i="1"/>
  <c r="AY10" i="1"/>
  <c r="AV10" i="1"/>
  <c r="AS10" i="1"/>
  <c r="AV28" i="1"/>
  <c r="AS28" i="1"/>
  <c r="AY9" i="1"/>
  <c r="AV9" i="1"/>
  <c r="AS9" i="1"/>
  <c r="AS15" i="1"/>
  <c r="AM35" i="1"/>
  <c r="AJ35" i="1"/>
  <c r="AP16" i="1"/>
  <c r="AM16" i="1"/>
  <c r="AJ16" i="1"/>
  <c r="AM33" i="1"/>
  <c r="AJ33" i="1"/>
  <c r="AP14" i="1"/>
  <c r="AM14" i="1"/>
  <c r="AJ14" i="1"/>
  <c r="AM32" i="1"/>
  <c r="AJ32" i="1"/>
  <c r="AP13" i="1"/>
  <c r="AM13" i="1"/>
  <c r="AJ13" i="1"/>
  <c r="AM31" i="1"/>
  <c r="AJ31" i="1"/>
  <c r="AP12" i="1"/>
  <c r="AM12" i="1"/>
  <c r="AJ12" i="1"/>
  <c r="AM30" i="1"/>
  <c r="AJ30" i="1"/>
  <c r="AP11" i="1"/>
  <c r="AM11" i="1"/>
  <c r="AJ11" i="1"/>
  <c r="AM29" i="1"/>
  <c r="AJ29" i="1"/>
  <c r="AP10" i="1"/>
  <c r="AM10" i="1"/>
  <c r="AJ10" i="1"/>
  <c r="AJ6" i="1" s="1"/>
  <c r="AM28" i="1"/>
  <c r="AJ28" i="1"/>
  <c r="AP9" i="1"/>
  <c r="AM9" i="1"/>
  <c r="AJ9" i="1"/>
  <c r="Z11" i="1"/>
  <c r="BE35" i="1"/>
  <c r="BB35" i="1"/>
  <c r="BH16" i="1"/>
  <c r="BE16" i="1"/>
  <c r="BB16" i="1"/>
  <c r="BE33" i="1"/>
  <c r="BB33" i="1"/>
  <c r="BH14" i="1"/>
  <c r="BE14" i="1"/>
  <c r="BB14" i="1"/>
  <c r="BE32" i="1"/>
  <c r="BB32" i="1"/>
  <c r="BH13" i="1"/>
  <c r="BE13" i="1"/>
  <c r="BB13" i="1"/>
  <c r="BE31" i="1"/>
  <c r="BB31" i="1"/>
  <c r="BH12" i="1"/>
  <c r="BE12" i="1"/>
  <c r="BB12" i="1"/>
  <c r="BE30" i="1"/>
  <c r="BB30" i="1"/>
  <c r="BH11" i="1"/>
  <c r="BE11" i="1"/>
  <c r="BB11" i="1"/>
  <c r="BE29" i="1"/>
  <c r="BB29" i="1"/>
  <c r="BH10" i="1"/>
  <c r="BE10" i="1"/>
  <c r="BB10" i="1"/>
  <c r="BB28" i="1"/>
  <c r="BE28" i="1"/>
  <c r="BH9" i="1"/>
  <c r="BE9" i="1"/>
  <c r="BB9" i="1"/>
  <c r="BB15" i="1"/>
  <c r="AG25" i="1"/>
  <c r="AG24" i="1"/>
  <c r="AG23" i="1"/>
  <c r="AG18" i="1"/>
  <c r="AG17" i="1"/>
  <c r="AG14" i="1"/>
  <c r="AG13" i="1"/>
  <c r="AG12" i="1"/>
  <c r="AG11" i="1"/>
  <c r="AG26" i="1" s="1"/>
  <c r="AG8" i="1"/>
  <c r="AF25" i="1"/>
  <c r="AF24" i="1"/>
  <c r="AF23" i="1"/>
  <c r="AF18" i="1"/>
  <c r="AF17" i="1"/>
  <c r="AF14" i="1"/>
  <c r="AF12" i="1"/>
  <c r="AF11" i="1"/>
  <c r="AF26" i="1" s="1"/>
  <c r="AF8" i="1"/>
  <c r="AE25" i="1"/>
  <c r="AE24" i="1"/>
  <c r="AE23" i="1"/>
  <c r="AE19" i="1"/>
  <c r="AE18" i="1"/>
  <c r="AE17" i="1"/>
  <c r="AE16" i="1"/>
  <c r="AE14" i="1"/>
  <c r="AE11" i="1"/>
  <c r="AE26" i="1" s="1"/>
  <c r="AE9" i="1"/>
  <c r="AE8" i="1"/>
  <c r="AD25" i="1"/>
  <c r="AD24" i="1"/>
  <c r="AD23" i="1"/>
  <c r="AD19" i="1"/>
  <c r="AD18" i="1"/>
  <c r="AD17" i="1"/>
  <c r="AD16" i="1"/>
  <c r="AD14" i="1"/>
  <c r="AD11" i="1"/>
  <c r="AD26" i="1" s="1"/>
  <c r="AD8" i="1"/>
  <c r="Z44" i="1"/>
  <c r="Z43" i="1"/>
  <c r="Z42" i="1"/>
  <c r="Z35" i="1"/>
  <c r="Z33" i="1"/>
  <c r="Z31" i="1"/>
  <c r="Z30" i="1"/>
  <c r="W35" i="1"/>
  <c r="W33" i="1"/>
  <c r="W31" i="1"/>
  <c r="W30" i="1"/>
  <c r="Z13" i="1"/>
  <c r="Z9" i="1"/>
  <c r="Z8" i="1"/>
  <c r="W13" i="1"/>
  <c r="W11" i="1"/>
  <c r="W9" i="1"/>
  <c r="W8" i="1"/>
  <c r="K45" i="1"/>
  <c r="K44" i="1"/>
  <c r="K43" i="1"/>
  <c r="K42" i="1"/>
  <c r="K33" i="1"/>
  <c r="K32" i="1"/>
  <c r="K31" i="1"/>
  <c r="K23" i="1"/>
  <c r="K24" i="1"/>
  <c r="H65" i="1"/>
  <c r="H64" i="1"/>
  <c r="H62" i="1"/>
  <c r="H61" i="1"/>
  <c r="H60" i="1"/>
  <c r="H58" i="1"/>
  <c r="H57" i="1"/>
  <c r="H56" i="1"/>
  <c r="H54" i="1"/>
  <c r="H53" i="1"/>
  <c r="H26" i="1"/>
  <c r="H30" i="1"/>
  <c r="H29" i="1"/>
  <c r="H28" i="1"/>
  <c r="E51" i="1"/>
  <c r="E45" i="1"/>
  <c r="E33" i="1"/>
  <c r="E25" i="1"/>
  <c r="E24" i="1"/>
  <c r="E18" i="1"/>
  <c r="E17" i="1"/>
  <c r="E16" i="1"/>
  <c r="E15" i="1"/>
  <c r="E14" i="1"/>
  <c r="E13" i="1"/>
  <c r="E12" i="1"/>
  <c r="E8" i="1"/>
  <c r="GP5" i="1"/>
  <c r="GA5" i="1"/>
  <c r="FL5" i="1"/>
  <c r="EW5" i="1"/>
  <c r="EH5" i="1"/>
  <c r="DS5" i="1"/>
  <c r="DD5" i="1"/>
  <c r="DA5" i="1"/>
  <c r="CX5" i="1"/>
  <c r="CU5" i="1"/>
  <c r="CL22" i="1"/>
  <c r="CL5" i="1"/>
  <c r="CF22" i="1"/>
  <c r="CC22" i="1"/>
  <c r="CI5" i="1"/>
  <c r="CF5" i="1"/>
  <c r="CC5" i="1"/>
  <c r="BZ5" i="1"/>
  <c r="BW5" i="1"/>
  <c r="BT5" i="1"/>
  <c r="BN24" i="1"/>
  <c r="BK24" i="1"/>
  <c r="BQ5" i="1"/>
  <c r="BN5" i="1"/>
  <c r="BK5" i="1"/>
  <c r="BE24" i="1"/>
  <c r="BB24" i="1"/>
  <c r="BH5" i="1"/>
  <c r="BE5" i="1"/>
  <c r="BB5" i="1"/>
  <c r="AV24" i="1"/>
  <c r="AS24" i="1"/>
  <c r="AY5" i="1"/>
  <c r="AV5" i="1"/>
  <c r="AS5" i="1"/>
  <c r="AM24" i="1"/>
  <c r="AJ24" i="1"/>
  <c r="AP5" i="1"/>
  <c r="AM5" i="1"/>
  <c r="AJ5" i="1"/>
  <c r="AG5" i="1"/>
  <c r="AF5" i="1"/>
  <c r="AE5" i="1"/>
  <c r="AD5" i="1"/>
  <c r="Z27" i="1"/>
  <c r="W27" i="1"/>
  <c r="Z5" i="1"/>
  <c r="W5" i="1"/>
  <c r="Q24" i="1"/>
  <c r="N24" i="1"/>
  <c r="T5" i="1"/>
  <c r="Q5" i="1"/>
  <c r="N5" i="1"/>
  <c r="E44" i="1"/>
  <c r="E32" i="1"/>
  <c r="K5" i="1"/>
  <c r="H5" i="1"/>
  <c r="E5" i="1"/>
  <c r="J17" i="5"/>
  <c r="J8" i="5"/>
  <c r="G10" i="5"/>
  <c r="G9" i="5" s="1"/>
  <c r="G3" i="5" s="1"/>
  <c r="E11" i="1" l="1"/>
  <c r="B32" i="7" l="1"/>
  <c r="B32" i="8"/>
  <c r="B32" i="6"/>
  <c r="HB20" i="1" l="1"/>
  <c r="ET20" i="1"/>
  <c r="ET16" i="1" s="1"/>
  <c r="EE20" i="1"/>
  <c r="DP20" i="1"/>
  <c r="B43" i="7" l="1"/>
  <c r="B42" i="7"/>
  <c r="B43" i="8"/>
  <c r="B42" i="8"/>
  <c r="B43" i="6"/>
  <c r="B42" i="6"/>
  <c r="GP14" i="1"/>
  <c r="GY14" i="1" s="1"/>
  <c r="GP13" i="1"/>
  <c r="GP12" i="1"/>
  <c r="GP11" i="1"/>
  <c r="GP10" i="1"/>
  <c r="GP9" i="1"/>
  <c r="GP8" i="1"/>
  <c r="GJ14" i="1"/>
  <c r="FU7" i="1"/>
  <c r="FL9" i="1"/>
  <c r="FL8" i="1"/>
  <c r="DS14" i="1"/>
  <c r="EB15" i="1" s="1"/>
  <c r="DS13" i="1"/>
  <c r="DS12" i="1"/>
  <c r="DD17" i="1"/>
  <c r="DM9" i="1" s="1"/>
  <c r="DD16" i="1"/>
  <c r="DD15" i="1"/>
  <c r="CX9" i="1"/>
  <c r="CX8" i="1"/>
  <c r="CL25" i="1"/>
  <c r="CL24" i="1"/>
  <c r="CC27" i="1"/>
  <c r="CF27" i="1"/>
  <c r="CF10" i="1"/>
  <c r="CC23" i="1"/>
  <c r="CC26" i="1"/>
  <c r="CF26" i="1"/>
  <c r="CI9" i="1"/>
  <c r="CF9" i="1"/>
  <c r="BZ30" i="1"/>
  <c r="BZ29" i="1"/>
  <c r="BZ28" i="1"/>
  <c r="BN25" i="1"/>
  <c r="BE6" i="1"/>
  <c r="AS6" i="1"/>
  <c r="AJ25" i="1"/>
  <c r="AM25" i="1"/>
  <c r="AP6" i="1"/>
  <c r="AM6" i="1"/>
  <c r="Q35" i="1"/>
  <c r="N35" i="1"/>
  <c r="T16" i="1"/>
  <c r="Q16" i="1"/>
  <c r="N16" i="1"/>
  <c r="N33" i="1"/>
  <c r="Q33" i="1"/>
  <c r="T14" i="1"/>
  <c r="Q14" i="1"/>
  <c r="N14" i="1"/>
  <c r="T10" i="1"/>
  <c r="Q10" i="1"/>
  <c r="N10" i="1"/>
  <c r="Q29" i="1"/>
  <c r="N29" i="1"/>
  <c r="N28" i="1"/>
  <c r="Q28" i="1"/>
  <c r="N9" i="1"/>
  <c r="K41" i="1"/>
  <c r="K40" i="1"/>
  <c r="K38" i="1"/>
  <c r="K37" i="1"/>
  <c r="K36" i="1"/>
  <c r="K35" i="1"/>
  <c r="K34" i="1"/>
  <c r="K46" i="1" s="1"/>
  <c r="K30" i="1"/>
  <c r="K29" i="1"/>
  <c r="K27" i="1"/>
  <c r="K26" i="1"/>
  <c r="K22" i="1"/>
  <c r="K21" i="1"/>
  <c r="H66" i="1"/>
  <c r="H39" i="1"/>
  <c r="H38" i="1"/>
  <c r="H37" i="1"/>
  <c r="H36" i="1"/>
  <c r="H35" i="1"/>
  <c r="H34" i="1"/>
  <c r="H33" i="1"/>
  <c r="H32" i="1"/>
  <c r="H31" i="1"/>
  <c r="H23" i="1"/>
  <c r="H17" i="1"/>
  <c r="H18" i="1"/>
  <c r="H19" i="1"/>
  <c r="H20" i="1"/>
  <c r="E48" i="1"/>
  <c r="E47" i="1"/>
  <c r="E36" i="1"/>
  <c r="E35" i="1"/>
  <c r="E9" i="1"/>
  <c r="H22" i="1" l="1"/>
  <c r="H14" i="1" s="1"/>
  <c r="H2" i="1" s="1"/>
  <c r="BH6" i="1"/>
  <c r="BE25" i="1"/>
  <c r="BB25" i="1"/>
  <c r="BB6" i="1"/>
  <c r="AV6" i="1"/>
  <c r="BK25" i="1"/>
  <c r="AV25" i="1"/>
  <c r="CF6" i="1"/>
  <c r="AS25" i="1"/>
  <c r="CI6" i="1"/>
  <c r="AY6" i="1"/>
  <c r="BQ6" i="1"/>
  <c r="BK6" i="1"/>
  <c r="BN6" i="1"/>
  <c r="CF23" i="1"/>
  <c r="CC6" i="1"/>
  <c r="B108" i="1" l="1"/>
  <c r="BT18" i="1" l="1"/>
  <c r="BZ26" i="1"/>
  <c r="BW21" i="1"/>
  <c r="CU13" i="1" l="1"/>
  <c r="BZ32" i="1" l="1"/>
  <c r="BZ31" i="1"/>
  <c r="DP16" i="1" l="1"/>
  <c r="DP25" i="1"/>
  <c r="DP23" i="1" s="1"/>
  <c r="AG16" i="1" l="1"/>
  <c r="AG19" i="1"/>
  <c r="AF16" i="1"/>
  <c r="AF19" i="1"/>
  <c r="BW9" i="1"/>
  <c r="BW8" i="1"/>
  <c r="BW6" i="1"/>
  <c r="HE34" i="1"/>
  <c r="HE25" i="1"/>
  <c r="HE5" i="1"/>
  <c r="HE14" i="1"/>
  <c r="Q15" i="1"/>
  <c r="DY6" i="1" l="1"/>
  <c r="FL6" i="1" l="1"/>
  <c r="H48" i="1" l="1"/>
  <c r="H46" i="1" s="1"/>
  <c r="GV7" i="1"/>
  <c r="GV5" i="1" s="1"/>
  <c r="HB7" i="1"/>
  <c r="HB5" i="1" s="1"/>
  <c r="GY7" i="1"/>
  <c r="GY5" i="1" s="1"/>
  <c r="GM7" i="1"/>
  <c r="GM5" i="1" s="1"/>
  <c r="GJ7" i="1"/>
  <c r="GJ5" i="1" s="1"/>
  <c r="GG7" i="1"/>
  <c r="GG5" i="1" s="1"/>
  <c r="FI7" i="1"/>
  <c r="FI5" i="1" s="1"/>
  <c r="FC7" i="1"/>
  <c r="FC5" i="1" s="1"/>
  <c r="ET25" i="1"/>
  <c r="ET23" i="1" s="1"/>
  <c r="ET7" i="1"/>
  <c r="ET5" i="1" s="1"/>
  <c r="EQ7" i="1"/>
  <c r="EQ5" i="1" s="1"/>
  <c r="EN7" i="1"/>
  <c r="EN5" i="1" s="1"/>
  <c r="EE25" i="1"/>
  <c r="EE23" i="1" s="1"/>
  <c r="EE7" i="1"/>
  <c r="EE5" i="1" s="1"/>
  <c r="EB7" i="1"/>
  <c r="EB5" i="1" s="1"/>
  <c r="DY7" i="1"/>
  <c r="DY5" i="1" s="1"/>
  <c r="DM7" i="1"/>
  <c r="DM5" i="1" s="1"/>
  <c r="DJ7" i="1"/>
  <c r="DJ5" i="1" s="1"/>
  <c r="DP10" i="1"/>
  <c r="DG26" i="1"/>
  <c r="DG10" i="1"/>
  <c r="BH15" i="1" l="1"/>
  <c r="E7" i="1"/>
  <c r="E6" i="1" s="1"/>
  <c r="K9" i="1" l="1"/>
  <c r="K8" i="1"/>
  <c r="K7" i="1"/>
  <c r="K6" i="1"/>
  <c r="BZ8" i="1"/>
  <c r="BZ7" i="1"/>
  <c r="BZ6" i="1"/>
  <c r="CO22" i="1"/>
  <c r="CO25" i="1"/>
  <c r="CO23" i="1" s="1"/>
  <c r="CO6" i="1"/>
  <c r="CN33" i="1" s="1"/>
  <c r="CN34" i="1" s="1"/>
  <c r="E10" i="1" l="1"/>
  <c r="CC31" i="1"/>
  <c r="CF31" i="1"/>
  <c r="CI14" i="1"/>
  <c r="CF14" i="1"/>
  <c r="CC14" i="1"/>
  <c r="BK35" i="1"/>
  <c r="BN35" i="1"/>
  <c r="BQ16" i="1"/>
  <c r="BN16" i="1"/>
  <c r="BE34" i="1"/>
  <c r="BB34" i="1"/>
  <c r="BE15" i="1"/>
  <c r="AV34" i="1"/>
  <c r="AS34" i="1"/>
  <c r="AY15" i="1"/>
  <c r="AV15" i="1"/>
  <c r="AJ34" i="1"/>
  <c r="AM34" i="1"/>
  <c r="AP15" i="1"/>
  <c r="AM15" i="1"/>
  <c r="Q34" i="1"/>
  <c r="N34" i="1"/>
  <c r="T15" i="1"/>
  <c r="N15" i="1"/>
  <c r="AG9" i="1" l="1"/>
  <c r="AF9" i="1"/>
  <c r="AD9" i="1"/>
  <c r="EE9" i="1"/>
  <c r="EB9" i="1"/>
  <c r="DY9" i="1"/>
  <c r="DV5" i="1"/>
  <c r="EE27" i="1"/>
  <c r="GP7" i="1"/>
  <c r="GA7" i="1"/>
  <c r="EH7" i="1"/>
  <c r="H67" i="1"/>
  <c r="H63" i="1" s="1"/>
  <c r="H55" i="1" s="1"/>
  <c r="K51" i="1"/>
  <c r="E50" i="1"/>
  <c r="H47" i="1"/>
  <c r="E46" i="1"/>
  <c r="H40" i="1"/>
  <c r="HE37" i="1"/>
  <c r="HE33" i="1" s="1"/>
  <c r="Z36" i="1"/>
  <c r="Z41" i="1" s="1"/>
  <c r="W36" i="1"/>
  <c r="W39" i="1" s="1"/>
  <c r="AG28" i="1"/>
  <c r="AG27" i="1" s="1"/>
  <c r="AG30" i="1" s="1"/>
  <c r="AF28" i="1"/>
  <c r="AF27" i="1" s="1"/>
  <c r="AF30" i="1" s="1"/>
  <c r="AE28" i="1"/>
  <c r="AE27" i="1" s="1"/>
  <c r="AE30" i="1" s="1"/>
  <c r="AD28" i="1"/>
  <c r="AD27" i="1" s="1"/>
  <c r="AD30" i="1" s="1"/>
  <c r="E34" i="1"/>
  <c r="Z32" i="1"/>
  <c r="W32" i="1"/>
  <c r="DA24" i="1"/>
  <c r="HE28" i="1"/>
  <c r="HE27" i="1" s="1"/>
  <c r="BW27" i="1"/>
  <c r="Z29" i="1"/>
  <c r="Z28" i="1" s="1"/>
  <c r="W29" i="1"/>
  <c r="W28" i="1" s="1"/>
  <c r="HB27" i="1"/>
  <c r="GM27" i="1"/>
  <c r="FI27" i="1"/>
  <c r="ET27" i="1"/>
  <c r="CU24" i="1"/>
  <c r="DA25" i="1"/>
  <c r="K25" i="1"/>
  <c r="BN27" i="1"/>
  <c r="BN26" i="1" s="1"/>
  <c r="BK27" i="1"/>
  <c r="BK26" i="1" s="1"/>
  <c r="BK21" i="1" s="1"/>
  <c r="BE27" i="1"/>
  <c r="BE26" i="1" s="1"/>
  <c r="BE21" i="1" s="1"/>
  <c r="BB27" i="1"/>
  <c r="BB26" i="1" s="1"/>
  <c r="BB21" i="1" s="1"/>
  <c r="AV27" i="1"/>
  <c r="AV26" i="1" s="1"/>
  <c r="AS27" i="1"/>
  <c r="AS26" i="1" s="1"/>
  <c r="AM27" i="1"/>
  <c r="AM26" i="1" s="1"/>
  <c r="AM21" i="1" s="1"/>
  <c r="AJ27" i="1"/>
  <c r="AJ26" i="1" s="1"/>
  <c r="AJ21" i="1" s="1"/>
  <c r="Q27" i="1"/>
  <c r="Q26" i="1" s="1"/>
  <c r="Q21" i="1" s="1"/>
  <c r="N27" i="1"/>
  <c r="N26" i="1" s="1"/>
  <c r="N21" i="1" s="1"/>
  <c r="HB24" i="1"/>
  <c r="GM24" i="1"/>
  <c r="EE24" i="1"/>
  <c r="DP24" i="1"/>
  <c r="AG21" i="1"/>
  <c r="AF21" i="1"/>
  <c r="AE21" i="1"/>
  <c r="AD21" i="1"/>
  <c r="DG23" i="1"/>
  <c r="DG20" i="1" s="1"/>
  <c r="CF25" i="1"/>
  <c r="CF24" i="1" s="1"/>
  <c r="CC25" i="1"/>
  <c r="CC24" i="1" s="1"/>
  <c r="CC19" i="1" s="1"/>
  <c r="AG20" i="1"/>
  <c r="AF20" i="1"/>
  <c r="AE20" i="1"/>
  <c r="AD20" i="1"/>
  <c r="CO24" i="1"/>
  <c r="BW12" i="1"/>
  <c r="BW10" i="1" s="1"/>
  <c r="CR22" i="1"/>
  <c r="CX18" i="1"/>
  <c r="CX21" i="1" s="1"/>
  <c r="E21" i="1"/>
  <c r="HB16" i="1"/>
  <c r="GM16" i="1"/>
  <c r="EE16" i="1"/>
  <c r="BK16" i="1"/>
  <c r="AJ15" i="1"/>
  <c r="FU5" i="1"/>
  <c r="Z14" i="1"/>
  <c r="Z17" i="1" s="1"/>
  <c r="W14" i="1"/>
  <c r="W17" i="1" s="1"/>
  <c r="CX13" i="1"/>
  <c r="CU12" i="1"/>
  <c r="CU11" i="1" s="1"/>
  <c r="T13" i="1"/>
  <c r="Q13" i="1"/>
  <c r="K13" i="1"/>
  <c r="K12" i="1" s="1"/>
  <c r="K11" i="1" s="1"/>
  <c r="DA12" i="1"/>
  <c r="DA11" i="1" s="1"/>
  <c r="DA10" i="1" s="1"/>
  <c r="CX12" i="1"/>
  <c r="BZ12" i="1"/>
  <c r="BZ11" i="1" s="1"/>
  <c r="BZ10" i="1" s="1"/>
  <c r="DP11" i="1"/>
  <c r="CX10" i="1"/>
  <c r="Z10" i="1"/>
  <c r="W10" i="1"/>
  <c r="BT10" i="1"/>
  <c r="HB9" i="1"/>
  <c r="GY9" i="1"/>
  <c r="GV9" i="1"/>
  <c r="GM9" i="1"/>
  <c r="GJ9" i="1"/>
  <c r="GG9" i="1"/>
  <c r="FI9" i="1"/>
  <c r="FF9" i="1"/>
  <c r="FC9" i="1"/>
  <c r="ET9" i="1"/>
  <c r="EQ9" i="1"/>
  <c r="EN9" i="1"/>
  <c r="DS7" i="1"/>
  <c r="DA9" i="1"/>
  <c r="CU9" i="1"/>
  <c r="H9" i="1"/>
  <c r="HE8" i="1"/>
  <c r="HE7" i="1" s="1"/>
  <c r="DA8" i="1"/>
  <c r="CU8" i="1"/>
  <c r="CI8" i="1"/>
  <c r="CI7" i="1" s="1"/>
  <c r="CI2" i="1" s="1"/>
  <c r="CF8" i="1"/>
  <c r="CF7" i="1" s="1"/>
  <c r="CC8" i="1"/>
  <c r="CC7" i="1" s="1"/>
  <c r="CC2" i="1" s="1"/>
  <c r="BQ8" i="1"/>
  <c r="BQ7" i="1" s="1"/>
  <c r="BN8" i="1"/>
  <c r="BN7" i="1" s="1"/>
  <c r="BN2" i="1" s="1"/>
  <c r="BK8" i="1"/>
  <c r="BK7" i="1" s="1"/>
  <c r="BH8" i="1"/>
  <c r="BH7" i="1" s="1"/>
  <c r="BH2" i="1" s="1"/>
  <c r="BE8" i="1"/>
  <c r="BE7" i="1" s="1"/>
  <c r="BE2" i="1" s="1"/>
  <c r="BB8" i="1"/>
  <c r="BB7" i="1" s="1"/>
  <c r="BB2" i="1" s="1"/>
  <c r="AY8" i="1"/>
  <c r="AY7" i="1" s="1"/>
  <c r="AV8" i="1"/>
  <c r="AV7" i="1" s="1"/>
  <c r="AV2" i="1" s="1"/>
  <c r="AS8" i="1"/>
  <c r="AS7" i="1" s="1"/>
  <c r="AP8" i="1"/>
  <c r="AP7" i="1" s="1"/>
  <c r="AP2" i="1" s="1"/>
  <c r="AM8" i="1"/>
  <c r="AM7" i="1" s="1"/>
  <c r="AM2" i="1" s="1"/>
  <c r="AJ8" i="1"/>
  <c r="AJ7" i="1" s="1"/>
  <c r="T8" i="1"/>
  <c r="T7" i="1" s="1"/>
  <c r="Q8" i="1"/>
  <c r="Q7" i="1" s="1"/>
  <c r="N8" i="1"/>
  <c r="N7" i="1" s="1"/>
  <c r="N2" i="1" s="1"/>
  <c r="H8" i="1"/>
  <c r="DP7" i="1"/>
  <c r="DA7" i="1"/>
  <c r="CX7" i="1"/>
  <c r="CX6" i="1" s="1"/>
  <c r="CU7" i="1"/>
  <c r="CO7" i="1"/>
  <c r="BT7" i="1"/>
  <c r="BT6" i="1" s="1"/>
  <c r="Z7" i="1"/>
  <c r="Z6" i="1" s="1"/>
  <c r="W7" i="1"/>
  <c r="W6" i="1" s="1"/>
  <c r="H7" i="1"/>
  <c r="HB6" i="1"/>
  <c r="GY6" i="1"/>
  <c r="GV6" i="1"/>
  <c r="GP6" i="1"/>
  <c r="GM6" i="1"/>
  <c r="GJ6" i="1"/>
  <c r="GG6" i="1"/>
  <c r="GA6" i="1"/>
  <c r="FI6" i="1"/>
  <c r="FI2" i="1" s="1"/>
  <c r="FF6" i="1"/>
  <c r="FC6" i="1"/>
  <c r="EW6" i="1"/>
  <c r="EW2" i="1" s="1"/>
  <c r="ET6" i="1"/>
  <c r="EQ6" i="1"/>
  <c r="EN6" i="1"/>
  <c r="EH6" i="1"/>
  <c r="EE6" i="1"/>
  <c r="EB6" i="1"/>
  <c r="DS6" i="1"/>
  <c r="DM6" i="1"/>
  <c r="DJ6" i="1"/>
  <c r="DD6" i="1"/>
  <c r="DA6" i="1"/>
  <c r="CU6" i="1"/>
  <c r="H6" i="1"/>
  <c r="GS5" i="1"/>
  <c r="GD5" i="1"/>
  <c r="EZ5" i="1"/>
  <c r="EK5" i="1"/>
  <c r="J4" i="5"/>
  <c r="G4" i="5"/>
  <c r="G7" i="5"/>
  <c r="D8" i="5"/>
  <c r="D3" i="5" s="1"/>
  <c r="J10" i="5"/>
  <c r="G11" i="5"/>
  <c r="G6" i="5"/>
  <c r="J13" i="5"/>
  <c r="J14" i="5"/>
  <c r="J15" i="5"/>
  <c r="J11" i="5" s="1"/>
  <c r="J16" i="5"/>
  <c r="J12" i="5" s="1"/>
  <c r="J7" i="5"/>
  <c r="BW7" i="1"/>
  <c r="G12" i="5"/>
  <c r="AD32" i="1" l="1"/>
  <c r="AE34" i="1"/>
  <c r="HE23" i="1"/>
  <c r="AF32" i="1"/>
  <c r="AF34" i="1"/>
  <c r="AD34" i="1"/>
  <c r="FF2" i="1"/>
  <c r="AJ2" i="1"/>
  <c r="HB2" i="1"/>
  <c r="DA15" i="1"/>
  <c r="AG34" i="1"/>
  <c r="H51" i="1"/>
  <c r="H50" i="1"/>
  <c r="Q2" i="1"/>
  <c r="AV21" i="1"/>
  <c r="GM2" i="1"/>
  <c r="CX11" i="1"/>
  <c r="CX20" i="1" s="1"/>
  <c r="CX3" i="1" s="1"/>
  <c r="Z16" i="1"/>
  <c r="Z4" i="1" s="1"/>
  <c r="W38" i="1"/>
  <c r="W26" i="1" s="1"/>
  <c r="AS21" i="1"/>
  <c r="EH2" i="1"/>
  <c r="GA2" i="1"/>
  <c r="GP2" i="1"/>
  <c r="GY2" i="1" s="1"/>
  <c r="DS2" i="1"/>
  <c r="AS2" i="1"/>
  <c r="BQ2" i="1"/>
  <c r="H15" i="1"/>
  <c r="H10" i="1" s="1"/>
  <c r="EE2" i="1"/>
  <c r="AY2" i="1"/>
  <c r="FC2" i="1"/>
  <c r="DD7" i="1"/>
  <c r="BN21" i="1"/>
  <c r="DA23" i="1"/>
  <c r="DA13" i="1" s="1"/>
  <c r="FL7" i="1"/>
  <c r="DP6" i="1"/>
  <c r="DP5" i="1"/>
  <c r="J9" i="5"/>
  <c r="CU25" i="1"/>
  <c r="E20" i="1"/>
  <c r="E3" i="1" s="1"/>
  <c r="DD10" i="1"/>
  <c r="BW15" i="1"/>
  <c r="BW11" i="1" s="1"/>
  <c r="BK2" i="1"/>
  <c r="Z40" i="1"/>
  <c r="Z26" i="1" s="1"/>
  <c r="BT11" i="1"/>
  <c r="BT23" i="1" s="1"/>
  <c r="Z18" i="1"/>
  <c r="H16" i="1"/>
  <c r="H11" i="1" s="1"/>
  <c r="E37" i="1"/>
  <c r="E30" i="1" s="1"/>
  <c r="H12" i="1"/>
  <c r="BZ16" i="1"/>
  <c r="E52" i="1"/>
  <c r="E42" i="1" s="1"/>
  <c r="W41" i="1"/>
  <c r="CL23" i="1"/>
  <c r="CL19" i="1" s="1"/>
  <c r="Z38" i="1"/>
  <c r="B32" i="1"/>
  <c r="W19" i="1"/>
  <c r="W18" i="1"/>
  <c r="DG16" i="1"/>
  <c r="DG7" i="1" s="1"/>
  <c r="DG11" i="1"/>
  <c r="G8" i="5"/>
  <c r="ET2" i="1"/>
  <c r="W16" i="1"/>
  <c r="W4" i="1" s="1"/>
  <c r="CU14" i="1"/>
  <c r="CU16" i="1"/>
  <c r="W40" i="1"/>
  <c r="T2" i="1"/>
  <c r="BZ17" i="1"/>
  <c r="K19" i="1"/>
  <c r="K28" i="1"/>
  <c r="K18" i="1" s="1"/>
  <c r="K17" i="1" s="1"/>
  <c r="DA14" i="1"/>
  <c r="Z39" i="1"/>
  <c r="BZ15" i="1"/>
  <c r="CF19" i="1"/>
  <c r="CF2" i="1"/>
  <c r="CX23" i="1"/>
  <c r="AG32" i="1"/>
  <c r="AE32" i="1"/>
  <c r="BT19" i="1"/>
  <c r="BT22" i="1" s="1"/>
  <c r="E23" i="1"/>
  <c r="CR5" i="1"/>
  <c r="K20" i="1"/>
  <c r="H59" i="1"/>
  <c r="H52" i="1" s="1"/>
  <c r="Z19" i="1"/>
  <c r="GG2" i="1" l="1"/>
  <c r="CU22" i="1" s="1"/>
  <c r="GJ2" i="1"/>
  <c r="EN2" i="1"/>
  <c r="CU20" i="1" s="1"/>
  <c r="EQ2" i="1"/>
  <c r="DV2" i="1"/>
  <c r="DA20" i="1" s="1"/>
  <c r="EB2" i="1"/>
  <c r="K16" i="1"/>
  <c r="K14" i="1"/>
  <c r="W3" i="1"/>
  <c r="GS2" i="1"/>
  <c r="DA18" i="1" s="1"/>
  <c r="GV2" i="1"/>
  <c r="CU19" i="1" s="1"/>
  <c r="CX22" i="1"/>
  <c r="CX4" i="1" s="1"/>
  <c r="EK2" i="1"/>
  <c r="DA19" i="1" s="1"/>
  <c r="DY2" i="1"/>
  <c r="CU21" i="1" s="1"/>
  <c r="DP2" i="1"/>
  <c r="DA21" i="1"/>
  <c r="HE6" i="1"/>
  <c r="HE4" i="1" s="1"/>
  <c r="CU18" i="1"/>
  <c r="FL2" i="1"/>
  <c r="DD2" i="1"/>
  <c r="DM2" i="1" s="1"/>
  <c r="E22" i="1"/>
  <c r="E4" i="1" s="1"/>
  <c r="BW2" i="1"/>
  <c r="EZ2" i="1"/>
  <c r="DA17" i="1" s="1"/>
  <c r="B33" i="1"/>
  <c r="J3" i="5"/>
  <c r="Z25" i="1"/>
  <c r="CR19" i="1"/>
  <c r="BT21" i="1"/>
  <c r="BT3" i="1" s="1"/>
  <c r="Z3" i="1"/>
  <c r="W25" i="1"/>
  <c r="K10" i="1"/>
  <c r="K15" i="1" s="1"/>
  <c r="AD35" i="1"/>
  <c r="AD33" i="1" s="1"/>
  <c r="AD2" i="1" s="1"/>
  <c r="BZ9" i="1"/>
  <c r="BZ14" i="1" s="1"/>
  <c r="CU10" i="1"/>
  <c r="CU15" i="1" s="1"/>
  <c r="AE35" i="1"/>
  <c r="AE33" i="1" s="1"/>
  <c r="AE2" i="1" s="1"/>
  <c r="BT24" i="1"/>
  <c r="BT4" i="1" s="1"/>
  <c r="DG6" i="1"/>
  <c r="DG5" i="1"/>
  <c r="BZ13" i="1"/>
  <c r="B34" i="16" l="1"/>
  <c r="B34" i="18"/>
  <c r="B34" i="17"/>
  <c r="B34" i="14"/>
  <c r="AG37" i="14" s="1"/>
  <c r="AG33" i="14" s="1"/>
  <c r="AG2" i="14" s="1"/>
  <c r="B34" i="15"/>
  <c r="FO2" i="1"/>
  <c r="DA22" i="1" s="1"/>
  <c r="FU2" i="1"/>
  <c r="K2" i="1"/>
  <c r="B34" i="6"/>
  <c r="B34" i="7"/>
  <c r="B34" i="8"/>
  <c r="DJ2" i="1"/>
  <c r="CU4" i="1" s="1"/>
  <c r="B33" i="6"/>
  <c r="B33" i="7"/>
  <c r="B33" i="8"/>
  <c r="DG2" i="1"/>
  <c r="DA16" i="1" s="1"/>
  <c r="DA4" i="1" s="1"/>
  <c r="FR2" i="1"/>
  <c r="CU23" i="1" s="1"/>
  <c r="B34" i="1"/>
  <c r="AG37" i="1" s="1"/>
  <c r="AF36" i="1"/>
  <c r="BZ2" i="1"/>
  <c r="HE26" i="1"/>
  <c r="HE24" i="1" s="1"/>
  <c r="AF33" i="1" l="1"/>
  <c r="AF2" i="1" s="1"/>
  <c r="AG33" i="1"/>
  <c r="AG2" i="1" s="1"/>
  <c r="CU3" i="1"/>
  <c r="DA3" i="1"/>
</calcChain>
</file>

<file path=xl/sharedStrings.xml><?xml version="1.0" encoding="utf-8"?>
<sst xmlns="http://schemas.openxmlformats.org/spreadsheetml/2006/main" count="68220" uniqueCount="583">
  <si>
    <t>Am-241</t>
  </si>
  <si>
    <t>outdoor</t>
  </si>
  <si>
    <t>Resident</t>
  </si>
  <si>
    <t>composite</t>
  </si>
  <si>
    <t>indoor</t>
  </si>
  <si>
    <t>Recreator</t>
  </si>
  <si>
    <t>water</t>
  </si>
  <si>
    <t>soil</t>
  </si>
  <si>
    <t>Cs-137+D</t>
  </si>
  <si>
    <t>PRG</t>
  </si>
  <si>
    <t>pCi/m^3</t>
  </si>
  <si>
    <t>tapwater</t>
  </si>
  <si>
    <t>ug/L</t>
  </si>
  <si>
    <t>pCi/g</t>
  </si>
  <si>
    <t>pCi/L</t>
  </si>
  <si>
    <t>no decay</t>
  </si>
  <si>
    <t>decay</t>
  </si>
  <si>
    <t>TR</t>
  </si>
  <si>
    <t>Irr rup</t>
  </si>
  <si>
    <t>L/kg</t>
  </si>
  <si>
    <t>R upv</t>
  </si>
  <si>
    <t>R upp</t>
  </si>
  <si>
    <t>MCL</t>
  </si>
  <si>
    <t>lambda</t>
  </si>
  <si>
    <t>g/mg</t>
  </si>
  <si>
    <t>EF</t>
  </si>
  <si>
    <t>days/year</t>
  </si>
  <si>
    <t>Irr res</t>
  </si>
  <si>
    <t>R es</t>
  </si>
  <si>
    <t>Q w dairy</t>
  </si>
  <si>
    <t>L/day</t>
  </si>
  <si>
    <t>Q w beef</t>
  </si>
  <si>
    <t>t</t>
  </si>
  <si>
    <t>yr</t>
  </si>
  <si>
    <t>day/yr</t>
  </si>
  <si>
    <t>risk/pCi</t>
  </si>
  <si>
    <t>Irr dep</t>
  </si>
  <si>
    <t>Bv wet</t>
  </si>
  <si>
    <t>Bv dry</t>
  </si>
  <si>
    <t>ED</t>
  </si>
  <si>
    <t>EF iw</t>
  </si>
  <si>
    <t>Ir</t>
  </si>
  <si>
    <t>L/m^2-day</t>
  </si>
  <si>
    <t>SF inh</t>
  </si>
  <si>
    <t>(mg/m^3)^-1</t>
  </si>
  <si>
    <t>SF soil</t>
  </si>
  <si>
    <t>F</t>
  </si>
  <si>
    <t>unitless</t>
  </si>
  <si>
    <t>IFA adj</t>
  </si>
  <si>
    <t>m3/day</t>
  </si>
  <si>
    <t>hrs/day</t>
  </si>
  <si>
    <t>IFS adj</t>
  </si>
  <si>
    <t>GSFi</t>
  </si>
  <si>
    <t>IRA child</t>
  </si>
  <si>
    <t>mg/day</t>
  </si>
  <si>
    <t>lambda B</t>
  </si>
  <si>
    <t>GSFo</t>
  </si>
  <si>
    <t>IRA adult</t>
  </si>
  <si>
    <t>IRA ow</t>
  </si>
  <si>
    <t>ED rec</t>
  </si>
  <si>
    <t>t b</t>
  </si>
  <si>
    <t>day</t>
  </si>
  <si>
    <t>ACF</t>
  </si>
  <si>
    <t>SF sub</t>
  </si>
  <si>
    <t>risk/yer per pCi/m3</t>
  </si>
  <si>
    <t>P</t>
  </si>
  <si>
    <t>kg/m^2</t>
  </si>
  <si>
    <t>ET o</t>
  </si>
  <si>
    <t>ET</t>
  </si>
  <si>
    <t>years</t>
  </si>
  <si>
    <t>MLF</t>
  </si>
  <si>
    <t>SF ext</t>
  </si>
  <si>
    <t>(risk/yr per pCi/g)</t>
  </si>
  <si>
    <t>ED child</t>
  </si>
  <si>
    <t>PRG-inh</t>
  </si>
  <si>
    <t>ED w</t>
  </si>
  <si>
    <t>I f</t>
  </si>
  <si>
    <t>ED adult</t>
  </si>
  <si>
    <t>PRG-sub</t>
  </si>
  <si>
    <t>IR iw</t>
  </si>
  <si>
    <t>PRG-ing</t>
  </si>
  <si>
    <t>lambda E</t>
  </si>
  <si>
    <t>1/day</t>
  </si>
  <si>
    <t>K</t>
  </si>
  <si>
    <t>L/m^3</t>
  </si>
  <si>
    <t>t v</t>
  </si>
  <si>
    <t>m3/year</t>
  </si>
  <si>
    <t>Y v</t>
  </si>
  <si>
    <t>ET i</t>
  </si>
  <si>
    <t>lambda HL</t>
  </si>
  <si>
    <t>lambda i</t>
  </si>
  <si>
    <t>T</t>
  </si>
  <si>
    <t>t w</t>
  </si>
  <si>
    <t>days</t>
  </si>
  <si>
    <t>pCi/cm^2</t>
  </si>
  <si>
    <t>risk/yr per pCi/g</t>
  </si>
  <si>
    <t>PEF</t>
  </si>
  <si>
    <t>m^3/kg</t>
  </si>
  <si>
    <t>events/day</t>
  </si>
  <si>
    <r>
      <t>L/cm</t>
    </r>
    <r>
      <rPr>
        <vertAlign val="superscript"/>
        <sz val="10"/>
        <rFont val="Arial"/>
        <family val="2"/>
      </rPr>
      <t>3</t>
    </r>
  </si>
  <si>
    <t>θw</t>
  </si>
  <si>
    <r>
      <t>cm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/L</t>
    </r>
  </si>
  <si>
    <t>ρb</t>
  </si>
  <si>
    <t>DF i</t>
  </si>
  <si>
    <t>hours/event</t>
  </si>
  <si>
    <t>ET rec</t>
  </si>
  <si>
    <t>Kd</t>
  </si>
  <si>
    <t>t res</t>
  </si>
  <si>
    <t>m/yr</t>
  </si>
  <si>
    <t>i</t>
  </si>
  <si>
    <t>m/m</t>
  </si>
  <si>
    <t>t rec</t>
  </si>
  <si>
    <t>d</t>
  </si>
  <si>
    <t>m</t>
  </si>
  <si>
    <t>I</t>
  </si>
  <si>
    <t>g/kg</t>
  </si>
  <si>
    <t>L</t>
  </si>
  <si>
    <t>PRG-ext</t>
  </si>
  <si>
    <t>d a</t>
  </si>
  <si>
    <t>d s</t>
  </si>
  <si>
    <t>PEFsc</t>
  </si>
  <si>
    <t>PEF'sc</t>
  </si>
  <si>
    <t>BCF</t>
  </si>
  <si>
    <t>ft</t>
  </si>
  <si>
    <t xml:space="preserve">FI </t>
  </si>
  <si>
    <t>fraction contaminated</t>
  </si>
  <si>
    <t>acres</t>
  </si>
  <si>
    <t>tons/car</t>
  </si>
  <si>
    <t>tons/truck</t>
  </si>
  <si>
    <t>days/week</t>
  </si>
  <si>
    <t>weeks/year</t>
  </si>
  <si>
    <t>As</t>
  </si>
  <si>
    <t>p</t>
  </si>
  <si>
    <t>s</t>
  </si>
  <si>
    <t>A</t>
  </si>
  <si>
    <t>Ac</t>
  </si>
  <si>
    <t>B</t>
  </si>
  <si>
    <t>A surf</t>
  </si>
  <si>
    <t>C</t>
  </si>
  <si>
    <t>km</t>
  </si>
  <si>
    <t>s doz</t>
  </si>
  <si>
    <t>W</t>
  </si>
  <si>
    <t>tons</t>
  </si>
  <si>
    <t>s till</t>
  </si>
  <si>
    <t>distance</t>
  </si>
  <si>
    <t>km/day</t>
  </si>
  <si>
    <t>V</t>
  </si>
  <si>
    <t>J' T</t>
  </si>
  <si>
    <t>M doz</t>
  </si>
  <si>
    <t>g</t>
  </si>
  <si>
    <t>M excav</t>
  </si>
  <si>
    <t>M till</t>
  </si>
  <si>
    <t>M grade</t>
  </si>
  <si>
    <t>F(x)</t>
  </si>
  <si>
    <t>Um</t>
  </si>
  <si>
    <t>m/s</t>
  </si>
  <si>
    <t>Ut</t>
  </si>
  <si>
    <t>EF rec</t>
  </si>
  <si>
    <t>GSF i</t>
  </si>
  <si>
    <t>GSF o</t>
  </si>
  <si>
    <t>PRG-imm</t>
  </si>
  <si>
    <t>SF imm</t>
  </si>
  <si>
    <t>hours</t>
  </si>
  <si>
    <t>SF water</t>
  </si>
  <si>
    <r>
      <t>mg</t>
    </r>
    <r>
      <rPr>
        <sz val="12"/>
        <rFont val="Arial"/>
        <family val="2"/>
      </rPr>
      <t>³</t>
    </r>
    <r>
      <rPr>
        <sz val="10"/>
        <rFont val="Arial"/>
        <family val="2"/>
      </rPr>
      <t>/day</t>
    </r>
  </si>
  <si>
    <t>day/year</t>
  </si>
  <si>
    <t>event/day</t>
  </si>
  <si>
    <t>hr/event</t>
  </si>
  <si>
    <r>
      <t>L/mg</t>
    </r>
    <r>
      <rPr>
        <sz val="12"/>
        <rFont val="Arial"/>
        <family val="2"/>
      </rPr>
      <t>³</t>
    </r>
  </si>
  <si>
    <t>year</t>
  </si>
  <si>
    <t>PRG-wprod</t>
  </si>
  <si>
    <t>IFE adj</t>
  </si>
  <si>
    <t>IFSW f-adj</t>
  </si>
  <si>
    <t>Q w egg</t>
  </si>
  <si>
    <t>Q w swine</t>
  </si>
  <si>
    <t>MLF egg</t>
  </si>
  <si>
    <t>Q s-egg</t>
  </si>
  <si>
    <t>Q p-egg</t>
  </si>
  <si>
    <t>f p-egg</t>
  </si>
  <si>
    <t>f s-egg</t>
  </si>
  <si>
    <t>Farmer</t>
  </si>
  <si>
    <t>kd</t>
  </si>
  <si>
    <t>PRG-egg</t>
  </si>
  <si>
    <t>PRG-fish</t>
  </si>
  <si>
    <t>PRG-beef</t>
  </si>
  <si>
    <t>day/week</t>
  </si>
  <si>
    <t>ED cw</t>
  </si>
  <si>
    <t>IRGF rec</t>
  </si>
  <si>
    <t>IRGL rec</t>
  </si>
  <si>
    <t>Q s-fowl</t>
  </si>
  <si>
    <t>f p-fowl</t>
  </si>
  <si>
    <t>f s-fowl</t>
  </si>
  <si>
    <t>Q p-fowl</t>
  </si>
  <si>
    <t>Q p-game</t>
  </si>
  <si>
    <t>MLF fowl</t>
  </si>
  <si>
    <t>MLF game</t>
  </si>
  <si>
    <t>Q s-game</t>
  </si>
  <si>
    <t>f p-game</t>
  </si>
  <si>
    <t>f s-game</t>
  </si>
  <si>
    <t>Q w-fowl</t>
  </si>
  <si>
    <t>Q w-game</t>
  </si>
  <si>
    <t>TF egg</t>
  </si>
  <si>
    <t>PEF - wind</t>
  </si>
  <si>
    <t>m³ air / kg soil</t>
  </si>
  <si>
    <t>Soil</t>
  </si>
  <si>
    <t>s/hour</t>
  </si>
  <si>
    <t>Q/C</t>
  </si>
  <si>
    <t>A R</t>
  </si>
  <si>
    <t>m²</t>
  </si>
  <si>
    <t>Σ VKT</t>
  </si>
  <si>
    <t>F D</t>
  </si>
  <si>
    <t>t c</t>
  </si>
  <si>
    <t>L R</t>
  </si>
  <si>
    <t>W R</t>
  </si>
  <si>
    <t>m² / ft²</t>
  </si>
  <si>
    <t>N cars</t>
  </si>
  <si>
    <t>N trucks</t>
  </si>
  <si>
    <t>seconds</t>
  </si>
  <si>
    <t>hour</t>
  </si>
  <si>
    <t>EW cw</t>
  </si>
  <si>
    <t>DW cw</t>
  </si>
  <si>
    <t>EF cw</t>
  </si>
  <si>
    <t>ET cw</t>
  </si>
  <si>
    <t>sec/hour</t>
  </si>
  <si>
    <t>hours/day</t>
  </si>
  <si>
    <t>M dry</t>
  </si>
  <si>
    <t>M pc wind</t>
  </si>
  <si>
    <t>ρ soil</t>
  </si>
  <si>
    <t>mg/m³</t>
  </si>
  <si>
    <t>A excav</t>
  </si>
  <si>
    <t>d excav</t>
  </si>
  <si>
    <t>N A-dump</t>
  </si>
  <si>
    <t>M m-excav</t>
  </si>
  <si>
    <t>percent</t>
  </si>
  <si>
    <t>Σ VKT doz</t>
  </si>
  <si>
    <t>M m-doz</t>
  </si>
  <si>
    <t>S doz</t>
  </si>
  <si>
    <t>km/hour</t>
  </si>
  <si>
    <t>S grade</t>
  </si>
  <si>
    <t>Σ VKT grade</t>
  </si>
  <si>
    <t>A till</t>
  </si>
  <si>
    <t>N A-till</t>
  </si>
  <si>
    <t>Ac-grade</t>
  </si>
  <si>
    <t>Bg</t>
  </si>
  <si>
    <t>N A-doz</t>
  </si>
  <si>
    <t>Ac-doz</t>
  </si>
  <si>
    <t>*Calculated Cell*</t>
  </si>
  <si>
    <t>Any changes made to PEF's will change other sheets.</t>
  </si>
  <si>
    <t>PRG-ping</t>
  </si>
  <si>
    <t>PRG-sping</t>
  </si>
  <si>
    <t>kg/g</t>
  </si>
  <si>
    <t>SF-imm</t>
  </si>
  <si>
    <t>DW</t>
  </si>
  <si>
    <t>EW</t>
  </si>
  <si>
    <t>g/day</t>
  </si>
  <si>
    <t>GSFa</t>
  </si>
  <si>
    <t>SF food</t>
  </si>
  <si>
    <t>half life in days</t>
  </si>
  <si>
    <t>PRG-swine</t>
  </si>
  <si>
    <t>PEF sc mech</t>
  </si>
  <si>
    <t>PEF'sc mech</t>
  </si>
  <si>
    <t>DAF</t>
  </si>
  <si>
    <t>For construction worker soil, do 200 m2 slab size and 20 cm soil cover for QA since landuse is site-specific.</t>
  </si>
  <si>
    <t xml:space="preserve">For recreator, do 200 m2 slab size and 20 cm soil cover for QA since landuse is site-specific. </t>
  </si>
  <si>
    <t>TF fowl</t>
  </si>
  <si>
    <t>TF game</t>
  </si>
  <si>
    <t xml:space="preserve">For construction worker, do 200 m2 slab size and 20 cm soil cover for QA since landuse is site-specific. </t>
  </si>
  <si>
    <t>mg</t>
  </si>
  <si>
    <t>m3</t>
  </si>
  <si>
    <t>hr</t>
  </si>
  <si>
    <t>HL (TR)</t>
  </si>
  <si>
    <t xml:space="preserve">IRA </t>
  </si>
  <si>
    <t>When the following variables, hi-lighted in green below, are changed, each value in the rest of the sheet will also change.</t>
  </si>
  <si>
    <t>(HL) TR</t>
  </si>
  <si>
    <t>half life in years</t>
  </si>
  <si>
    <t>TF beef</t>
  </si>
  <si>
    <t>TF poultry</t>
  </si>
  <si>
    <t>TF swine</t>
  </si>
  <si>
    <t>TF dairy</t>
  </si>
  <si>
    <t>Ra-226+D</t>
  </si>
  <si>
    <t>Rn-222+D</t>
  </si>
  <si>
    <t>Site Specific</t>
  </si>
  <si>
    <t>risk/yr per pCi/cm2</t>
  </si>
  <si>
    <t>kg/day</t>
  </si>
  <si>
    <t>KD</t>
  </si>
  <si>
    <t>all routes</t>
  </si>
  <si>
    <t>soil-direct</t>
  </si>
  <si>
    <t>density</t>
  </si>
  <si>
    <t>kg/L</t>
  </si>
  <si>
    <t>(pCi/g-day)^-1</t>
  </si>
  <si>
    <t>Cell Color</t>
  </si>
  <si>
    <t>Meaning</t>
  </si>
  <si>
    <t>If the cell is maroon, then a default value is not available and the value listed is for QA purposes only.</t>
  </si>
  <si>
    <t>If the cell is yellow, then it is a calculated value using the cells within that column.</t>
  </si>
  <si>
    <t>If the cell is green, then it is a default or fixed value.</t>
  </si>
  <si>
    <t>Values for recreator and construction</t>
  </si>
  <si>
    <t>If the cell is blue, then this value is based on a 200 m2 slab size and 20 cm soil cover.</t>
  </si>
  <si>
    <t>*Please Note that all of the landuses have also been assigned a respective color.</t>
  </si>
  <si>
    <t>d/kg</t>
  </si>
  <si>
    <t>1 bq =</t>
  </si>
  <si>
    <t>hour/day</t>
  </si>
  <si>
    <t>IR</t>
  </si>
  <si>
    <t>bq/m^3</t>
  </si>
  <si>
    <t>bq/g</t>
  </si>
  <si>
    <t>bq/L</t>
  </si>
  <si>
    <t>IRW rec-c</t>
  </si>
  <si>
    <t>IRW rec-a</t>
  </si>
  <si>
    <t>bq/cm^2</t>
  </si>
  <si>
    <t>Mass</t>
  </si>
  <si>
    <t>g/mol</t>
  </si>
  <si>
    <t>SSL</t>
  </si>
  <si>
    <t>mg/kg</t>
  </si>
  <si>
    <t>mg/m^3</t>
  </si>
  <si>
    <t>mg/L</t>
  </si>
  <si>
    <t>mg/cm^2</t>
  </si>
  <si>
    <t>mass</t>
  </si>
  <si>
    <t>SF s</t>
  </si>
  <si>
    <t>SF sa</t>
  </si>
  <si>
    <t>IRA res-c</t>
  </si>
  <si>
    <t>IRA res-a</t>
  </si>
  <si>
    <t>IRS res-c</t>
  </si>
  <si>
    <t>IRS res-a</t>
  </si>
  <si>
    <t>IRW res-c</t>
  </si>
  <si>
    <t>IRW res-a</t>
  </si>
  <si>
    <t>IRP far-c</t>
  </si>
  <si>
    <t>IRP far-a</t>
  </si>
  <si>
    <t>IRE far-c</t>
  </si>
  <si>
    <t>IRE far-a</t>
  </si>
  <si>
    <t>IRSW far-c</t>
  </si>
  <si>
    <t>IRSW far-a</t>
  </si>
  <si>
    <t>MLF produce</t>
  </si>
  <si>
    <t>MLF pasture</t>
  </si>
  <si>
    <t>IRF res-c</t>
  </si>
  <si>
    <t>IRF res-a</t>
  </si>
  <si>
    <t>IRV res-c</t>
  </si>
  <si>
    <t>IRV res-a</t>
  </si>
  <si>
    <t>IRFI res-a</t>
  </si>
  <si>
    <t>IRF res</t>
  </si>
  <si>
    <t>EF res</t>
  </si>
  <si>
    <t>EF res-a</t>
  </si>
  <si>
    <t>EF res-c</t>
  </si>
  <si>
    <t>ED res</t>
  </si>
  <si>
    <t>ED res-a</t>
  </si>
  <si>
    <t>ED res-c</t>
  </si>
  <si>
    <t>ET event-res-c</t>
  </si>
  <si>
    <t>ET event-res-a</t>
  </si>
  <si>
    <t>ET res</t>
  </si>
  <si>
    <t>ET res-c</t>
  </si>
  <si>
    <t>ET res-a</t>
  </si>
  <si>
    <t>EV res-c</t>
  </si>
  <si>
    <t>EV res-a</t>
  </si>
  <si>
    <t>ET res-o</t>
  </si>
  <si>
    <t>ET res-i</t>
  </si>
  <si>
    <t>GSF a</t>
  </si>
  <si>
    <t>ACF (default)</t>
  </si>
  <si>
    <t>CF res-produce</t>
  </si>
  <si>
    <t>CF res-fish</t>
  </si>
  <si>
    <t>IRFI res-c</t>
  </si>
  <si>
    <t>IRA rec-c</t>
  </si>
  <si>
    <t>m^3/day</t>
  </si>
  <si>
    <t>IRA rec-a</t>
  </si>
  <si>
    <t>L/hour</t>
  </si>
  <si>
    <t>IRS rec-c</t>
  </si>
  <si>
    <t>IRS rec-a</t>
  </si>
  <si>
    <t>EV rec-c</t>
  </si>
  <si>
    <t>EV rec-a</t>
  </si>
  <si>
    <t>ET event-rec-c</t>
  </si>
  <si>
    <t>ET event-rec-a</t>
  </si>
  <si>
    <t>ET rec-c</t>
  </si>
  <si>
    <t>ET rec-a</t>
  </si>
  <si>
    <t>EF rec-a</t>
  </si>
  <si>
    <t>EF rec-c</t>
  </si>
  <si>
    <t>ED rec-a</t>
  </si>
  <si>
    <t>ED rec-c</t>
  </si>
  <si>
    <t>IRS far-c</t>
  </si>
  <si>
    <t>IRS far-a</t>
  </si>
  <si>
    <t>IRA far-c</t>
  </si>
  <si>
    <t>IRA far-a</t>
  </si>
  <si>
    <t>IRW far-c</t>
  </si>
  <si>
    <t>IRW far-a</t>
  </si>
  <si>
    <t>IRF far-c</t>
  </si>
  <si>
    <t>IRF far-a</t>
  </si>
  <si>
    <t>IRV far-c</t>
  </si>
  <si>
    <t>IRV far-a</t>
  </si>
  <si>
    <t>ED far-c</t>
  </si>
  <si>
    <t>ED far-a</t>
  </si>
  <si>
    <t>ED far</t>
  </si>
  <si>
    <t>EF far-c</t>
  </si>
  <si>
    <t>EF far-a</t>
  </si>
  <si>
    <t>ET far-c</t>
  </si>
  <si>
    <t>ET far-a</t>
  </si>
  <si>
    <t>ET far-o</t>
  </si>
  <si>
    <t>ET far-i</t>
  </si>
  <si>
    <t>ET event-far-c</t>
  </si>
  <si>
    <t>ET event-far-a</t>
  </si>
  <si>
    <t>hour/event</t>
  </si>
  <si>
    <t>ET far</t>
  </si>
  <si>
    <t>EV far-c</t>
  </si>
  <si>
    <t>EV far-a</t>
  </si>
  <si>
    <t>CF far-produce</t>
  </si>
  <si>
    <t>CF far-dairy</t>
  </si>
  <si>
    <t>CF far-beef</t>
  </si>
  <si>
    <t>CF far-egg</t>
  </si>
  <si>
    <t>CF far-fish</t>
  </si>
  <si>
    <t>CF far-poultry</t>
  </si>
  <si>
    <t>CF far-swine</t>
  </si>
  <si>
    <t>Q p-dairy</t>
  </si>
  <si>
    <t>Q s-dairy</t>
  </si>
  <si>
    <t>f p-dairy</t>
  </si>
  <si>
    <t>f s-dairy</t>
  </si>
  <si>
    <t>Q p-beef</t>
  </si>
  <si>
    <t>Q s-beef</t>
  </si>
  <si>
    <t>f p-beef</t>
  </si>
  <si>
    <t>f s-beef</t>
  </si>
  <si>
    <t>Q w poultry</t>
  </si>
  <si>
    <t>Q p-poultry</t>
  </si>
  <si>
    <t>Q s-poultry</t>
  </si>
  <si>
    <t>f p-poultry</t>
  </si>
  <si>
    <t>f s-poultry</t>
  </si>
  <si>
    <t>Q p-swine</t>
  </si>
  <si>
    <t>Q s-swine</t>
  </si>
  <si>
    <t>f p-swine</t>
  </si>
  <si>
    <t>f s-swine</t>
  </si>
  <si>
    <t>Composite Worker</t>
  </si>
  <si>
    <t>IRA  w</t>
  </si>
  <si>
    <t>EF w</t>
  </si>
  <si>
    <t>IR w</t>
  </si>
  <si>
    <t>Indoor Worker</t>
  </si>
  <si>
    <t>IRA iw</t>
  </si>
  <si>
    <t>ED iw</t>
  </si>
  <si>
    <t>Outdoor Worker</t>
  </si>
  <si>
    <t>EF ow</t>
  </si>
  <si>
    <t>ED ow</t>
  </si>
  <si>
    <t>IR ow</t>
  </si>
  <si>
    <t>Construction Worker (st)</t>
  </si>
  <si>
    <t>IRA cw</t>
  </si>
  <si>
    <t>IR cw</t>
  </si>
  <si>
    <t>Construction Worker (non-st)</t>
  </si>
  <si>
    <t>SF f</t>
  </si>
  <si>
    <t>SF w</t>
  </si>
  <si>
    <t>IFW res-adj</t>
  </si>
  <si>
    <t>IFA res-adj</t>
  </si>
  <si>
    <t>DFA res-adj</t>
  </si>
  <si>
    <t>IFF res adj</t>
  </si>
  <si>
    <t>IFV res-adj</t>
  </si>
  <si>
    <t>risk/year per pCi/g</t>
  </si>
  <si>
    <t>(risk/year per pCi/g)</t>
  </si>
  <si>
    <t>(risk/year per pCi/cm2)</t>
  </si>
  <si>
    <t>SF ext-sv</t>
  </si>
  <si>
    <t>SF ext-1cm</t>
  </si>
  <si>
    <t>SF ext-gp</t>
  </si>
  <si>
    <t>SF ext-5cm</t>
  </si>
  <si>
    <t>SF ext-15 cm</t>
  </si>
  <si>
    <t>SF ext-15cm</t>
  </si>
  <si>
    <t>GSF ext-1cm</t>
  </si>
  <si>
    <t>ACF ext-1cm</t>
  </si>
  <si>
    <t>GSF ext-sv</t>
  </si>
  <si>
    <t>ACF ext-sv</t>
  </si>
  <si>
    <t>GSF ext-5cm</t>
  </si>
  <si>
    <t>ACF ext-5cm</t>
  </si>
  <si>
    <t>GSF ext-15cm</t>
  </si>
  <si>
    <t>ACF ext-15cm</t>
  </si>
  <si>
    <t>GSF ext-gp</t>
  </si>
  <si>
    <t>ACF ext-gp</t>
  </si>
  <si>
    <t>ET ow</t>
  </si>
  <si>
    <t>ET ow-i</t>
  </si>
  <si>
    <t>ET ow-o</t>
  </si>
  <si>
    <t>ET w-o</t>
  </si>
  <si>
    <t>ET w-i</t>
  </si>
  <si>
    <t>ET iw-o</t>
  </si>
  <si>
    <t>ET iw-i</t>
  </si>
  <si>
    <t>ET cw-o</t>
  </si>
  <si>
    <t>ET cw-i</t>
  </si>
  <si>
    <t>ET w</t>
  </si>
  <si>
    <t>IRA w</t>
  </si>
  <si>
    <t>ET iw</t>
  </si>
  <si>
    <t xml:space="preserve">EF </t>
  </si>
  <si>
    <t>Const. (st)</t>
  </si>
  <si>
    <t>Const. (non-st)</t>
  </si>
  <si>
    <t>IRD far-c</t>
  </si>
  <si>
    <t>IRD far-a</t>
  </si>
  <si>
    <t>IRB far-c</t>
  </si>
  <si>
    <t>IRB far-a</t>
  </si>
  <si>
    <t>IRFI far-c</t>
  </si>
  <si>
    <t>IRFI far-a</t>
  </si>
  <si>
    <t>t iw</t>
  </si>
  <si>
    <t>t ow</t>
  </si>
  <si>
    <t>t cw</t>
  </si>
  <si>
    <t>IFW rec-adj</t>
  </si>
  <si>
    <t>DFA rec-adj</t>
  </si>
  <si>
    <t>IFS rec-adj</t>
  </si>
  <si>
    <t>IFA rec-adj</t>
  </si>
  <si>
    <t>PRG-poultry</t>
  </si>
  <si>
    <t>PRG-dairy</t>
  </si>
  <si>
    <t>t far</t>
  </si>
  <si>
    <t>IFW far-adj</t>
  </si>
  <si>
    <t>IFA far-adj</t>
  </si>
  <si>
    <t>DFA far-adj</t>
  </si>
  <si>
    <t>IFF fr adj</t>
  </si>
  <si>
    <t>IFV vg adj</t>
  </si>
  <si>
    <t>IFD far-adj</t>
  </si>
  <si>
    <t>IFB far-adj</t>
  </si>
  <si>
    <t>IFFI far-adj</t>
  </si>
  <si>
    <t>IFP far-adj</t>
  </si>
  <si>
    <t>Resident Air</t>
  </si>
  <si>
    <t>Resident Tapwater</t>
  </si>
  <si>
    <t>Resident Soil</t>
  </si>
  <si>
    <t>total</t>
  </si>
  <si>
    <t>Resident Fish</t>
  </si>
  <si>
    <t>Resident Surface Water Fish</t>
  </si>
  <si>
    <t>ing</t>
  </si>
  <si>
    <t>Resident 2-D : SV</t>
  </si>
  <si>
    <t xml:space="preserve">Resident 2-D : 1cm </t>
  </si>
  <si>
    <t xml:space="preserve">Resident 2-D : 15cm </t>
  </si>
  <si>
    <t>Resident 2-D : GP</t>
  </si>
  <si>
    <t xml:space="preserve">Resident 2-D : 5cm </t>
  </si>
  <si>
    <t>ext</t>
  </si>
  <si>
    <t>Outdoor Worker Air</t>
  </si>
  <si>
    <t>Composite Worker Air</t>
  </si>
  <si>
    <t>Indoor Worker Air</t>
  </si>
  <si>
    <t>Construction Worker Air</t>
  </si>
  <si>
    <t>Worker Soil</t>
  </si>
  <si>
    <t>Indoor Worker 2-D : SV</t>
  </si>
  <si>
    <t xml:space="preserve">Indoor Worker 2-D : 1cm </t>
  </si>
  <si>
    <t xml:space="preserve">Indoor Worker 2-D : 15cm </t>
  </si>
  <si>
    <t>Outdoor Worker 2-D : SV</t>
  </si>
  <si>
    <t xml:space="preserve">Outdoor Worker 2-D : 1cm </t>
  </si>
  <si>
    <t xml:space="preserve">Outdoor Worker 2-D : 15cm </t>
  </si>
  <si>
    <t>Composite Worker 2-D : SV</t>
  </si>
  <si>
    <t xml:space="preserve">Composite Worker 2-D : 1cm </t>
  </si>
  <si>
    <t xml:space="preserve">Composite Worker 2-D : 15cm </t>
  </si>
  <si>
    <t>Construction Worker 2-D : SV</t>
  </si>
  <si>
    <t>Recreator Air</t>
  </si>
  <si>
    <t>Recreator Surface Water</t>
  </si>
  <si>
    <t>Recreator Soil</t>
  </si>
  <si>
    <t>Recreator 2-D : SV</t>
  </si>
  <si>
    <t xml:space="preserve">Recreator 2-D : 1cm </t>
  </si>
  <si>
    <t xml:space="preserve">Recreator 2-D : 15cm </t>
  </si>
  <si>
    <t>Recreator Fowl</t>
  </si>
  <si>
    <t>Farmer Soil</t>
  </si>
  <si>
    <t>Farmer Air</t>
  </si>
  <si>
    <t>Farmer Tapwater</t>
  </si>
  <si>
    <t>Farmer Produce</t>
  </si>
  <si>
    <t>Water</t>
  </si>
  <si>
    <t>Soil &amp; Water</t>
  </si>
  <si>
    <t>Farmer Dairy</t>
  </si>
  <si>
    <t>Farmer Beef</t>
  </si>
  <si>
    <t>Farmer Egg</t>
  </si>
  <si>
    <t>Farmer Fish</t>
  </si>
  <si>
    <t>Farmer Poultry</t>
  </si>
  <si>
    <t>Farmer Swine</t>
  </si>
  <si>
    <t>Soil 2 GW Partitioning</t>
  </si>
  <si>
    <t>Soil 2 GW Mass Balance</t>
  </si>
  <si>
    <t>slope</t>
  </si>
  <si>
    <t>intercept</t>
  </si>
  <si>
    <t>Recreator Game</t>
  </si>
  <si>
    <t>Recreator 2-D : GP</t>
  </si>
  <si>
    <t>Recreator 2-D : 5cm</t>
  </si>
  <si>
    <t>ext-sv</t>
  </si>
  <si>
    <t>ext-1cm</t>
  </si>
  <si>
    <t>ext-15cm</t>
  </si>
  <si>
    <t>ext-gp</t>
  </si>
  <si>
    <t>ext-5cm</t>
  </si>
  <si>
    <t>tot</t>
  </si>
  <si>
    <t xml:space="preserve">Construction Worker 2-D: 15cm </t>
  </si>
  <si>
    <t xml:space="preserve">Construction Worker 2-D: 1cm </t>
  </si>
  <si>
    <t>Indoor Worker 2-D : GP</t>
  </si>
  <si>
    <t xml:space="preserve">Indoor Worker 2-D : 5cm </t>
  </si>
  <si>
    <t>Outdoor Worker 2-D : GP</t>
  </si>
  <si>
    <t xml:space="preserve">Outdoor Worker 2-D : 5cm </t>
  </si>
  <si>
    <t>Composite Worker 2-D : GP</t>
  </si>
  <si>
    <t xml:space="preserve">Composite Worker 2-D : 5cm </t>
  </si>
  <si>
    <t>Construction Worker 2-D : GP</t>
  </si>
  <si>
    <t xml:space="preserve">Construction Worker 2-D : 5cm </t>
  </si>
  <si>
    <t>mcl</t>
  </si>
  <si>
    <t>risk</t>
  </si>
  <si>
    <t>Soil to Groundwater</t>
  </si>
  <si>
    <t xml:space="preserve">ρb </t>
  </si>
  <si>
    <t xml:space="preserve">θw </t>
  </si>
  <si>
    <t xml:space="preserve">Kd </t>
  </si>
  <si>
    <t>pCi</t>
  </si>
  <si>
    <t>Bq/L</t>
  </si>
  <si>
    <t>m/year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</si>
</sst>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.00000"/>
    <numFmt numFmtId="165" formatCode="0.0"/>
    <numFmt numFmtId="166" formatCode="_(* #,##0_);_(* \(#,##0\);_(* &quot;-&quot;??_);_(@_)"/>
    <numFmt numFmtId="167" formatCode="0.0000"/>
    <numFmt numFmtId="168" formatCode="0.000"/>
    <numFmt numFmtId="169" formatCode="0.000000"/>
  </numFmts>
  <fonts count="3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008080"/>
      <name val="Arial"/>
      <family val="2"/>
    </font>
    <font>
      <sz val="10"/>
      <color theme="1"/>
      <name val="Arial"/>
      <family val="2"/>
    </font>
    <font>
      <sz val="10"/>
      <color theme="8" tint="-0.249977111117893"/>
      <name val="Arial"/>
      <family val="2"/>
    </font>
    <font>
      <i/>
      <sz val="10"/>
      <name val="Arial"/>
      <family val="2"/>
    </font>
    <font>
      <b/>
      <sz val="11"/>
      <name val="Arial"/>
      <family val="2"/>
    </font>
    <font>
      <b/>
      <sz val="16"/>
      <color theme="0"/>
      <name val="Arial"/>
      <family val="2"/>
    </font>
    <font>
      <b/>
      <sz val="14"/>
      <name val="Arial"/>
      <family val="2"/>
    </font>
    <font>
      <b/>
      <sz val="10.5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15"/>
        <bgColor indexed="3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FFFF"/>
        <bgColor indexed="41"/>
      </patternFill>
    </fill>
    <fill>
      <patternFill patternType="solid">
        <fgColor rgb="FFFFDDFF"/>
        <bgColor indexed="41"/>
      </patternFill>
    </fill>
    <fill>
      <patternFill patternType="solid">
        <fgColor rgb="FFDCB9FF"/>
        <bgColor indexed="24"/>
      </patternFill>
    </fill>
    <fill>
      <patternFill patternType="solid">
        <fgColor rgb="FFBF3F7F"/>
        <bgColor indexed="61"/>
      </patternFill>
    </fill>
    <fill>
      <patternFill patternType="solid">
        <fgColor rgb="FFFFFFCC"/>
        <bgColor indexed="64"/>
      </patternFill>
    </fill>
    <fill>
      <patternFill patternType="solid">
        <fgColor rgb="FFD0DEEC"/>
        <bgColor indexed="41"/>
      </patternFill>
    </fill>
    <fill>
      <patternFill patternType="solid">
        <fgColor rgb="FFFFDBB7"/>
        <bgColor indexed="41"/>
      </patternFill>
    </fill>
    <fill>
      <patternFill patternType="solid">
        <fgColor rgb="FFFFCC00"/>
        <bgColor indexed="49"/>
      </patternFill>
    </fill>
    <fill>
      <patternFill patternType="solid">
        <fgColor rgb="FF00FF00"/>
        <bgColor indexed="24"/>
      </patternFill>
    </fill>
    <fill>
      <patternFill patternType="solid">
        <fgColor rgb="FF00FF00"/>
        <bgColor indexed="31"/>
      </patternFill>
    </fill>
    <fill>
      <patternFill patternType="solid">
        <fgColor rgb="FF00FF00"/>
        <bgColor indexed="34"/>
      </patternFill>
    </fill>
    <fill>
      <patternFill patternType="solid">
        <fgColor theme="7" tint="0.59999389629810485"/>
        <bgColor indexed="51"/>
      </patternFill>
    </fill>
    <fill>
      <patternFill patternType="solid">
        <fgColor theme="7" tint="0.59999389629810485"/>
        <bgColor indexed="35"/>
      </patternFill>
    </fill>
    <fill>
      <patternFill patternType="solid">
        <fgColor theme="7" tint="0.59999389629810485"/>
        <bgColor indexed="13"/>
      </patternFill>
    </fill>
    <fill>
      <patternFill patternType="solid">
        <fgColor theme="7" tint="0.59999389629810485"/>
        <bgColor indexed="49"/>
      </patternFill>
    </fill>
    <fill>
      <patternFill patternType="solid">
        <fgColor rgb="FF00FF00"/>
        <bgColor indexed="49"/>
      </patternFill>
    </fill>
    <fill>
      <patternFill patternType="solid">
        <fgColor rgb="FF9FC1A2"/>
        <bgColor indexed="64"/>
      </patternFill>
    </fill>
    <fill>
      <patternFill patternType="solid">
        <fgColor rgb="FF9FC1A2"/>
        <bgColor indexed="35"/>
      </patternFill>
    </fill>
    <fill>
      <patternFill patternType="solid">
        <fgColor rgb="FFFFFF99"/>
        <bgColor indexed="41"/>
      </patternFill>
    </fill>
    <fill>
      <patternFill patternType="solid">
        <fgColor rgb="FFB5CAE1"/>
        <bgColor indexed="41"/>
      </patternFill>
    </fill>
    <fill>
      <patternFill patternType="solid">
        <fgColor rgb="FFFFCC99"/>
        <bgColor indexed="41"/>
      </patternFill>
    </fill>
    <fill>
      <patternFill patternType="solid">
        <fgColor rgb="FFFFCCFF"/>
        <bgColor indexed="41"/>
      </patternFill>
    </fill>
    <fill>
      <patternFill patternType="solid">
        <fgColor rgb="FFD06E9F"/>
        <bgColor indexed="61"/>
      </patternFill>
    </fill>
    <fill>
      <patternFill patternType="solid">
        <fgColor rgb="FFCC99FF"/>
        <bgColor indexed="24"/>
      </patternFill>
    </fill>
    <fill>
      <patternFill patternType="solid">
        <fgColor rgb="FFCCFFFF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3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4D7A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FFCC00"/>
        <bgColor indexed="51"/>
      </patternFill>
    </fill>
    <fill>
      <patternFill patternType="solid">
        <fgColor rgb="FFFFCC00"/>
        <bgColor indexed="13"/>
      </patternFill>
    </fill>
    <fill>
      <patternFill patternType="solid">
        <fgColor rgb="FFFFCC00"/>
        <bgColor indexed="35"/>
      </patternFill>
    </fill>
    <fill>
      <patternFill patternType="solid">
        <fgColor rgb="FF00FFFF"/>
        <bgColor indexed="35"/>
      </patternFill>
    </fill>
    <fill>
      <patternFill patternType="solid">
        <fgColor rgb="FF00FFFF"/>
        <bgColor indexed="64"/>
      </patternFill>
    </fill>
  </fills>
  <borders count="60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</borders>
  <cellStyleXfs count="1863">
    <xf numFmtId="0" fontId="0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14" applyNumberFormat="0" applyAlignment="0" applyProtection="0"/>
    <xf numFmtId="0" fontId="14" fillId="31" borderId="15" applyNumberFormat="0" applyAlignment="0" applyProtection="0"/>
    <xf numFmtId="43" fontId="3" fillId="0" borderId="0" applyFill="0" applyBorder="0" applyAlignment="0" applyProtection="0"/>
    <xf numFmtId="0" fontId="6" fillId="0" borderId="0"/>
    <xf numFmtId="0" fontId="7" fillId="0" borderId="0"/>
    <xf numFmtId="0" fontId="15" fillId="0" borderId="0" applyNumberFormat="0" applyFill="0" applyBorder="0" applyAlignment="0" applyProtection="0"/>
    <xf numFmtId="0" fontId="16" fillId="32" borderId="0" applyNumberFormat="0" applyBorder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19" fillId="0" borderId="0" applyNumberFormat="0" applyFill="0" applyBorder="0" applyAlignment="0" applyProtection="0"/>
    <xf numFmtId="0" fontId="20" fillId="33" borderId="14" applyNumberFormat="0" applyAlignment="0" applyProtection="0"/>
    <xf numFmtId="0" fontId="21" fillId="0" borderId="19" applyNumberFormat="0" applyFill="0" applyAlignment="0" applyProtection="0"/>
    <xf numFmtId="0" fontId="22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35" borderId="20" applyNumberFormat="0" applyFont="0" applyAlignment="0" applyProtection="0"/>
    <xf numFmtId="0" fontId="23" fillId="30" borderId="21" applyNumberFormat="0" applyAlignment="0" applyProtection="0"/>
    <xf numFmtId="0" fontId="24" fillId="0" borderId="0" applyNumberFormat="0" applyFill="0" applyBorder="0" applyAlignment="0" applyProtection="0"/>
    <xf numFmtId="0" fontId="25" fillId="0" borderId="22" applyNumberFormat="0" applyFill="0" applyAlignment="0" applyProtection="0"/>
    <xf numFmtId="0" fontId="26" fillId="0" borderId="0" applyNumberFormat="0" applyFill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43" fontId="3" fillId="0" borderId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12">
    <xf numFmtId="0" fontId="0" fillId="0" borderId="0" xfId="0"/>
    <xf numFmtId="11" fontId="0" fillId="0" borderId="0" xfId="0" applyNumberFormat="1"/>
    <xf numFmtId="0" fontId="0" fillId="0" borderId="0" xfId="0" applyNumberFormat="1" applyFont="1" applyFill="1"/>
    <xf numFmtId="0" fontId="0" fillId="0" borderId="0" xfId="0" applyFill="1" applyBorder="1"/>
    <xf numFmtId="0" fontId="6" fillId="0" borderId="0" xfId="185" applyFill="1"/>
    <xf numFmtId="0" fontId="0" fillId="63" borderId="4" xfId="0" applyFill="1" applyBorder="1"/>
    <xf numFmtId="0" fontId="0" fillId="0" borderId="1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2" xfId="0" applyBorder="1"/>
    <xf numFmtId="0" fontId="0" fillId="64" borderId="4" xfId="0" applyFill="1" applyBorder="1"/>
    <xf numFmtId="0" fontId="0" fillId="64" borderId="1" xfId="0" applyFill="1" applyBorder="1"/>
    <xf numFmtId="0" fontId="0" fillId="64" borderId="5" xfId="0" applyFill="1" applyBorder="1"/>
    <xf numFmtId="0" fontId="0" fillId="64" borderId="7" xfId="0" applyFill="1" applyBorder="1"/>
    <xf numFmtId="11" fontId="0" fillId="64" borderId="2" xfId="0" applyNumberFormat="1" applyFill="1" applyBorder="1"/>
    <xf numFmtId="0" fontId="0" fillId="64" borderId="8" xfId="0" applyFill="1" applyBorder="1"/>
    <xf numFmtId="0" fontId="0" fillId="65" borderId="4" xfId="0" applyFill="1" applyBorder="1"/>
    <xf numFmtId="0" fontId="0" fillId="65" borderId="1" xfId="0" applyFill="1" applyBorder="1"/>
    <xf numFmtId="0" fontId="0" fillId="65" borderId="5" xfId="0" applyFill="1" applyBorder="1"/>
    <xf numFmtId="0" fontId="0" fillId="65" borderId="7" xfId="0" applyFill="1" applyBorder="1"/>
    <xf numFmtId="11" fontId="0" fillId="65" borderId="2" xfId="0" applyNumberFormat="1" applyFill="1" applyBorder="1"/>
    <xf numFmtId="0" fontId="0" fillId="65" borderId="8" xfId="0" applyFill="1" applyBorder="1"/>
    <xf numFmtId="0" fontId="0" fillId="63" borderId="1" xfId="0" applyFill="1" applyBorder="1"/>
    <xf numFmtId="0" fontId="0" fillId="63" borderId="5" xfId="0" applyFill="1" applyBorder="1"/>
    <xf numFmtId="0" fontId="0" fillId="63" borderId="7" xfId="0" applyFill="1" applyBorder="1"/>
    <xf numFmtId="0" fontId="0" fillId="63" borderId="8" xfId="0" applyFill="1" applyBorder="1"/>
    <xf numFmtId="0" fontId="6" fillId="0" borderId="4" xfId="185" applyBorder="1"/>
    <xf numFmtId="0" fontId="0" fillId="0" borderId="0" xfId="0" applyBorder="1"/>
    <xf numFmtId="0" fontId="0" fillId="0" borderId="6" xfId="0" applyBorder="1"/>
    <xf numFmtId="0" fontId="0" fillId="0" borderId="3" xfId="0" applyFill="1" applyBorder="1"/>
    <xf numFmtId="0" fontId="0" fillId="0" borderId="3" xfId="0" applyBorder="1"/>
    <xf numFmtId="164" fontId="0" fillId="0" borderId="0" xfId="0" applyNumberFormat="1" applyFill="1" applyBorder="1"/>
    <xf numFmtId="0" fontId="0" fillId="0" borderId="0" xfId="0" applyNumberFormat="1" applyFill="1" applyBorder="1"/>
    <xf numFmtId="0" fontId="6" fillId="66" borderId="4" xfId="185" applyFill="1" applyBorder="1"/>
    <xf numFmtId="0" fontId="6" fillId="0" borderId="3" xfId="185" applyBorder="1"/>
    <xf numFmtId="0" fontId="0" fillId="0" borderId="0" xfId="0" applyAlignment="1"/>
    <xf numFmtId="11" fontId="0" fillId="0" borderId="0" xfId="0" applyNumberFormat="1" applyBorder="1"/>
    <xf numFmtId="0" fontId="0" fillId="0" borderId="6" xfId="0" applyBorder="1" applyAlignment="1"/>
    <xf numFmtId="0" fontId="6" fillId="0" borderId="3" xfId="185" applyFill="1" applyBorder="1"/>
    <xf numFmtId="11" fontId="0" fillId="63" borderId="2" xfId="0" applyNumberFormat="1" applyFill="1" applyBorder="1"/>
    <xf numFmtId="0" fontId="6" fillId="66" borderId="3" xfId="185" applyFill="1" applyBorder="1"/>
    <xf numFmtId="0" fontId="7" fillId="0" borderId="0" xfId="186" applyBorder="1" applyAlignment="1">
      <alignment horizontal="center"/>
    </xf>
    <xf numFmtId="0" fontId="0" fillId="0" borderId="3" xfId="186" applyFont="1" applyBorder="1"/>
    <xf numFmtId="0" fontId="7" fillId="0" borderId="0" xfId="186" applyBorder="1"/>
    <xf numFmtId="0" fontId="0" fillId="66" borderId="3" xfId="0" applyFill="1" applyBorder="1"/>
    <xf numFmtId="0" fontId="4" fillId="0" borderId="27" xfId="0" applyFont="1" applyBorder="1"/>
    <xf numFmtId="0" fontId="0" fillId="72" borderId="27" xfId="0" applyFill="1" applyBorder="1"/>
    <xf numFmtId="0" fontId="0" fillId="36" borderId="27" xfId="0" applyFill="1" applyBorder="1"/>
    <xf numFmtId="0" fontId="0" fillId="70" borderId="27" xfId="0" applyFill="1" applyBorder="1"/>
    <xf numFmtId="0" fontId="0" fillId="73" borderId="27" xfId="0" applyFill="1" applyBorder="1"/>
    <xf numFmtId="0" fontId="0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11" fontId="0" fillId="71" borderId="1" xfId="0" applyNumberFormat="1" applyFill="1" applyBorder="1" applyAlignment="1">
      <alignment vertical="center"/>
    </xf>
    <xf numFmtId="0" fontId="0" fillId="3" borderId="3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3" borderId="10" xfId="0" applyFont="1" applyFill="1" applyBorder="1" applyAlignment="1">
      <alignment vertical="center"/>
    </xf>
    <xf numFmtId="0" fontId="0" fillId="3" borderId="6" xfId="0" applyFont="1" applyFill="1" applyBorder="1" applyAlignment="1">
      <alignment vertical="center"/>
    </xf>
    <xf numFmtId="0" fontId="0" fillId="45" borderId="10" xfId="0" applyFont="1" applyFill="1" applyBorder="1" applyAlignment="1">
      <alignment vertical="center"/>
    </xf>
    <xf numFmtId="0" fontId="4" fillId="45" borderId="0" xfId="0" applyFont="1" applyFill="1" applyBorder="1" applyAlignment="1">
      <alignment vertical="center"/>
    </xf>
    <xf numFmtId="0" fontId="0" fillId="67" borderId="0" xfId="0" applyFont="1" applyFill="1" applyBorder="1" applyAlignment="1">
      <alignment horizontal="center" vertical="center"/>
    </xf>
    <xf numFmtId="0" fontId="0" fillId="67" borderId="6" xfId="0" applyFont="1" applyFill="1" applyBorder="1" applyAlignment="1">
      <alignment vertical="center"/>
    </xf>
    <xf numFmtId="0" fontId="0" fillId="54" borderId="10" xfId="0" applyFont="1" applyFill="1" applyBorder="1" applyAlignment="1">
      <alignment vertical="center"/>
    </xf>
    <xf numFmtId="0" fontId="0" fillId="54" borderId="0" xfId="0" applyFont="1" applyFill="1" applyBorder="1" applyAlignment="1">
      <alignment vertical="center"/>
    </xf>
    <xf numFmtId="0" fontId="0" fillId="55" borderId="10" xfId="0" applyFont="1" applyFill="1" applyBorder="1" applyAlignment="1">
      <alignment vertical="center"/>
    </xf>
    <xf numFmtId="0" fontId="0" fillId="55" borderId="0" xfId="0" applyFont="1" applyFill="1" applyBorder="1" applyAlignment="1">
      <alignment horizontal="center" vertical="center"/>
    </xf>
    <xf numFmtId="0" fontId="0" fillId="55" borderId="6" xfId="0" applyFont="1" applyFill="1" applyBorder="1" applyAlignment="1">
      <alignment vertical="center"/>
    </xf>
    <xf numFmtId="0" fontId="0" fillId="4" borderId="3" xfId="0" applyFont="1" applyFill="1" applyBorder="1" applyAlignment="1">
      <alignment vertical="center"/>
    </xf>
    <xf numFmtId="0" fontId="0" fillId="4" borderId="6" xfId="0" applyFont="1" applyFill="1" applyBorder="1" applyAlignment="1">
      <alignment vertical="center"/>
    </xf>
    <xf numFmtId="11" fontId="0" fillId="71" borderId="0" xfId="0" applyNumberFormat="1" applyFill="1" applyBorder="1" applyAlignment="1">
      <alignment vertical="center"/>
    </xf>
    <xf numFmtId="0" fontId="4" fillId="67" borderId="6" xfId="0" applyFont="1" applyFill="1" applyBorder="1" applyAlignment="1">
      <alignment vertical="center"/>
    </xf>
    <xf numFmtId="0" fontId="4" fillId="55" borderId="6" xfId="0" applyFont="1" applyFill="1" applyBorder="1" applyAlignment="1">
      <alignment vertical="center"/>
    </xf>
    <xf numFmtId="0" fontId="4" fillId="67" borderId="8" xfId="0" applyFont="1" applyFill="1" applyBorder="1" applyAlignment="1">
      <alignment vertical="center"/>
    </xf>
    <xf numFmtId="0" fontId="4" fillId="55" borderId="8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NumberFormat="1" applyFill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NumberFormat="1" applyFont="1" applyAlignment="1">
      <alignment vertical="center"/>
    </xf>
    <xf numFmtId="11" fontId="0" fillId="71" borderId="2" xfId="0" applyNumberFormat="1" applyFill="1" applyBorder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Border="1" applyAlignment="1">
      <alignment vertical="center"/>
    </xf>
    <xf numFmtId="0" fontId="6" fillId="0" borderId="0" xfId="185" applyFont="1" applyFill="1" applyAlignment="1">
      <alignment vertical="center"/>
    </xf>
    <xf numFmtId="0" fontId="6" fillId="0" borderId="0" xfId="185" applyFont="1" applyAlignment="1">
      <alignment vertical="center"/>
    </xf>
    <xf numFmtId="0" fontId="6" fillId="0" borderId="0" xfId="185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0" fontId="28" fillId="70" borderId="38" xfId="0" applyNumberFormat="1" applyFont="1" applyFill="1" applyBorder="1" applyAlignment="1">
      <alignment horizontal="center" vertical="center"/>
    </xf>
    <xf numFmtId="0" fontId="30" fillId="70" borderId="1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11" fontId="28" fillId="70" borderId="0" xfId="0" applyNumberFormat="1" applyFont="1" applyFill="1" applyAlignment="1">
      <alignment horizontal="center" vertical="center"/>
    </xf>
    <xf numFmtId="0" fontId="28" fillId="70" borderId="0" xfId="0" applyFont="1" applyFill="1" applyAlignment="1">
      <alignment horizontal="center" vertical="center"/>
    </xf>
    <xf numFmtId="0" fontId="28" fillId="70" borderId="13" xfId="0" applyNumberFormat="1" applyFont="1" applyFill="1" applyBorder="1" applyAlignment="1">
      <alignment horizontal="center" vertical="center"/>
    </xf>
    <xf numFmtId="11" fontId="28" fillId="70" borderId="13" xfId="0" applyNumberFormat="1" applyFont="1" applyFill="1" applyBorder="1" applyAlignment="1">
      <alignment horizontal="center" vertical="center"/>
    </xf>
    <xf numFmtId="11" fontId="28" fillId="70" borderId="37" xfId="0" applyNumberFormat="1" applyFont="1" applyFill="1" applyBorder="1" applyAlignment="1">
      <alignment horizontal="center" vertical="center"/>
    </xf>
    <xf numFmtId="0" fontId="4" fillId="46" borderId="47" xfId="0" applyFont="1" applyFill="1" applyBorder="1" applyAlignment="1">
      <alignment horizontal="center" vertical="center"/>
    </xf>
    <xf numFmtId="11" fontId="4" fillId="54" borderId="2" xfId="0" applyNumberFormat="1" applyFont="1" applyFill="1" applyBorder="1" applyAlignment="1">
      <alignment horizontal="center" vertical="center"/>
    </xf>
    <xf numFmtId="1" fontId="28" fillId="70" borderId="0" xfId="0" applyNumberFormat="1" applyFont="1" applyFill="1" applyAlignment="1">
      <alignment horizontal="center" vertical="center"/>
    </xf>
    <xf numFmtId="0" fontId="0" fillId="72" borderId="0" xfId="0" applyNumberFormat="1" applyFill="1" applyAlignment="1">
      <alignment horizontal="center" vertical="center"/>
    </xf>
    <xf numFmtId="11" fontId="0" fillId="36" borderId="0" xfId="0" applyNumberFormat="1" applyFill="1" applyBorder="1" applyAlignment="1">
      <alignment horizontal="center" vertical="center"/>
    </xf>
    <xf numFmtId="0" fontId="0" fillId="45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66" fontId="0" fillId="0" borderId="0" xfId="0" applyNumberFormat="1" applyAlignment="1">
      <alignment vertical="center"/>
    </xf>
    <xf numFmtId="11" fontId="4" fillId="0" borderId="0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Alignment="1">
      <alignment horizontal="center" vertical="center"/>
    </xf>
    <xf numFmtId="11" fontId="4" fillId="54" borderId="0" xfId="0" applyNumberFormat="1" applyFont="1" applyFill="1" applyBorder="1" applyAlignment="1">
      <alignment horizontal="center" vertical="center"/>
    </xf>
    <xf numFmtId="169" fontId="0" fillId="36" borderId="0" xfId="0" applyNumberForma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/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28" fillId="70" borderId="0" xfId="0" applyFont="1" applyFill="1" applyAlignment="1">
      <alignment horizontal="center" vertical="center"/>
    </xf>
    <xf numFmtId="0" fontId="0" fillId="0" borderId="0" xfId="0"/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28" fillId="7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28" fillId="70" borderId="0" xfId="0" applyNumberFormat="1" applyFont="1" applyFill="1" applyAlignment="1">
      <alignment horizontal="center" vertical="center"/>
    </xf>
    <xf numFmtId="0" fontId="28" fillId="70" borderId="0" xfId="0" applyFont="1" applyFill="1" applyAlignment="1">
      <alignment horizontal="center" vertical="center"/>
    </xf>
    <xf numFmtId="0" fontId="0" fillId="0" borderId="0" xfId="0" applyNumberFormat="1" applyBorder="1"/>
    <xf numFmtId="11" fontId="0" fillId="0" borderId="0" xfId="0" applyNumberForma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NumberFormat="1" applyFill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0" borderId="0" xfId="0" applyFont="1" applyAlignment="1">
      <alignment horizontal="left" vertical="center"/>
    </xf>
    <xf numFmtId="0" fontId="28" fillId="70" borderId="0" xfId="0" applyNumberFormat="1" applyFont="1" applyFill="1" applyAlignment="1">
      <alignment horizontal="center" vertical="center"/>
    </xf>
    <xf numFmtId="0" fontId="28" fillId="70" borderId="0" xfId="0" applyFont="1" applyFill="1" applyAlignment="1">
      <alignment horizontal="center" vertical="center"/>
    </xf>
    <xf numFmtId="1" fontId="28" fillId="0" borderId="0" xfId="0" applyNumberFormat="1" applyFont="1" applyFill="1" applyAlignment="1">
      <alignment horizontal="center" vertical="center"/>
    </xf>
    <xf numFmtId="0" fontId="0" fillId="54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Font="1" applyAlignment="1">
      <alignment horizontal="left" vertical="center"/>
    </xf>
    <xf numFmtId="0" fontId="0" fillId="71" borderId="4" xfId="0" applyFill="1" applyBorder="1" applyAlignment="1">
      <alignment vertical="center"/>
    </xf>
    <xf numFmtId="0" fontId="0" fillId="71" borderId="5" xfId="0" applyFill="1" applyBorder="1" applyAlignment="1">
      <alignment vertical="center"/>
    </xf>
    <xf numFmtId="0" fontId="0" fillId="71" borderId="3" xfId="0" applyFill="1" applyBorder="1" applyAlignment="1">
      <alignment vertical="center"/>
    </xf>
    <xf numFmtId="0" fontId="0" fillId="71" borderId="6" xfId="0" applyFill="1" applyBorder="1" applyAlignment="1">
      <alignment vertical="center"/>
    </xf>
    <xf numFmtId="0" fontId="0" fillId="71" borderId="7" xfId="0" applyFill="1" applyBorder="1" applyAlignment="1">
      <alignment vertical="center"/>
    </xf>
    <xf numFmtId="0" fontId="28" fillId="70" borderId="0" xfId="0" applyFont="1" applyFill="1" applyAlignment="1">
      <alignment horizontal="center" vertical="center"/>
    </xf>
    <xf numFmtId="0" fontId="4" fillId="49" borderId="0" xfId="0" applyFont="1" applyFill="1" applyBorder="1" applyAlignment="1">
      <alignment vertical="center"/>
    </xf>
    <xf numFmtId="0" fontId="4" fillId="49" borderId="2" xfId="0" applyFont="1" applyFill="1" applyBorder="1" applyAlignment="1">
      <alignment vertical="center"/>
    </xf>
    <xf numFmtId="0" fontId="4" fillId="49" borderId="3" xfId="0" applyFont="1" applyFill="1" applyBorder="1" applyAlignment="1">
      <alignment horizontal="right" vertical="center"/>
    </xf>
    <xf numFmtId="0" fontId="4" fillId="49" borderId="7" xfId="0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NumberFormat="1" applyFont="1" applyAlignment="1">
      <alignment vertical="center"/>
    </xf>
    <xf numFmtId="0" fontId="4" fillId="3" borderId="0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0" fillId="46" borderId="5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4" fillId="50" borderId="8" xfId="0" applyFont="1" applyFill="1" applyBorder="1" applyAlignment="1">
      <alignment horizontal="left" vertical="center"/>
    </xf>
    <xf numFmtId="11" fontId="4" fillId="50" borderId="2" xfId="0" applyNumberFormat="1" applyFont="1" applyFill="1" applyBorder="1" applyAlignment="1">
      <alignment horizontal="center" vertical="center"/>
    </xf>
    <xf numFmtId="0" fontId="4" fillId="50" borderId="7" xfId="0" applyFont="1" applyFill="1" applyBorder="1" applyAlignment="1">
      <alignment horizontal="right" vertical="center"/>
    </xf>
    <xf numFmtId="0" fontId="4" fillId="50" borderId="6" xfId="0" applyFont="1" applyFill="1" applyBorder="1" applyAlignment="1">
      <alignment horizontal="left" vertical="center"/>
    </xf>
    <xf numFmtId="0" fontId="0" fillId="71" borderId="0" xfId="0" applyFill="1" applyBorder="1" applyAlignment="1">
      <alignment vertical="center"/>
    </xf>
    <xf numFmtId="0" fontId="0" fillId="71" borderId="2" xfId="0" applyFill="1" applyBorder="1" applyAlignment="1">
      <alignment vertical="center"/>
    </xf>
    <xf numFmtId="11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11" fontId="0" fillId="0" borderId="0" xfId="0" applyNumberFormat="1" applyBorder="1" applyAlignment="1">
      <alignment horizontal="center" vertical="center"/>
    </xf>
    <xf numFmtId="0" fontId="3" fillId="36" borderId="0" xfId="184" applyNumberFormat="1" applyFill="1" applyBorder="1" applyAlignment="1">
      <alignment horizontal="center" vertical="center"/>
    </xf>
    <xf numFmtId="167" fontId="0" fillId="36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2" borderId="0" xfId="0" applyNumberForma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36" borderId="0" xfId="0" applyFill="1" applyBorder="1" applyAlignment="1">
      <alignment horizontal="center" vertical="center"/>
    </xf>
    <xf numFmtId="0" fontId="3" fillId="2" borderId="0" xfId="184" applyNumberFormat="1" applyFill="1" applyBorder="1" applyAlignment="1">
      <alignment horizontal="center" vertical="center"/>
    </xf>
    <xf numFmtId="0" fontId="0" fillId="36" borderId="0" xfId="0" applyNumberForma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right" vertical="center"/>
    </xf>
    <xf numFmtId="0" fontId="4" fillId="3" borderId="11" xfId="0" applyFont="1" applyFill="1" applyBorder="1" applyAlignment="1">
      <alignment horizontal="right" vertical="center"/>
    </xf>
    <xf numFmtId="0" fontId="4" fillId="3" borderId="3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right" vertical="center"/>
    </xf>
    <xf numFmtId="0" fontId="4" fillId="49" borderId="0" xfId="0" applyFont="1" applyFill="1" applyBorder="1" applyAlignment="1">
      <alignment horizontal="center" vertical="center"/>
    </xf>
    <xf numFmtId="0" fontId="4" fillId="50" borderId="3" xfId="0" applyFont="1" applyFill="1" applyBorder="1" applyAlignment="1">
      <alignment horizontal="right" vertical="center"/>
    </xf>
    <xf numFmtId="11" fontId="4" fillId="50" borderId="0" xfId="0" applyNumberFormat="1" applyFont="1" applyFill="1" applyBorder="1" applyAlignment="1">
      <alignment horizontal="center" vertical="center"/>
    </xf>
    <xf numFmtId="0" fontId="4" fillId="67" borderId="2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/>
    </xf>
    <xf numFmtId="0" fontId="28" fillId="70" borderId="13" xfId="0" applyFont="1" applyFill="1" applyBorder="1" applyAlignment="1">
      <alignment horizontal="center" vertical="center"/>
    </xf>
    <xf numFmtId="0" fontId="0" fillId="67" borderId="0" xfId="0" applyFont="1" applyFill="1" applyBorder="1" applyAlignment="1">
      <alignment vertical="center"/>
    </xf>
    <xf numFmtId="165" fontId="0" fillId="36" borderId="0" xfId="0" applyNumberFormat="1" applyFill="1" applyBorder="1" applyAlignment="1">
      <alignment horizontal="center" vertical="center"/>
    </xf>
    <xf numFmtId="0" fontId="4" fillId="54" borderId="0" xfId="0" applyFont="1" applyFill="1" applyBorder="1" applyAlignment="1">
      <alignment vertical="center"/>
    </xf>
    <xf numFmtId="0" fontId="4" fillId="54" borderId="2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4" fillId="54" borderId="10" xfId="0" applyFont="1" applyFill="1" applyBorder="1" applyAlignment="1">
      <alignment horizontal="right" vertical="center"/>
    </xf>
    <xf numFmtId="0" fontId="4" fillId="54" borderId="11" xfId="0" applyFont="1" applyFill="1" applyBorder="1" applyAlignment="1">
      <alignment horizontal="right" vertical="center"/>
    </xf>
    <xf numFmtId="0" fontId="4" fillId="55" borderId="10" xfId="0" applyFont="1" applyFill="1" applyBorder="1" applyAlignment="1">
      <alignment horizontal="right" vertical="center"/>
    </xf>
    <xf numFmtId="0" fontId="4" fillId="55" borderId="11" xfId="0" applyFont="1" applyFill="1" applyBorder="1" applyAlignment="1">
      <alignment horizontal="right" vertical="center"/>
    </xf>
    <xf numFmtId="1" fontId="0" fillId="0" borderId="0" xfId="0" applyNumberFormat="1" applyBorder="1" applyAlignment="1">
      <alignment horizontal="center" vertical="center"/>
    </xf>
    <xf numFmtId="11" fontId="4" fillId="4" borderId="3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NumberFormat="1" applyFill="1" applyAlignment="1">
      <alignment vertical="center"/>
    </xf>
    <xf numFmtId="0" fontId="4" fillId="67" borderId="0" xfId="0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Border="1" applyAlignment="1">
      <alignment vertical="center"/>
    </xf>
    <xf numFmtId="0" fontId="4" fillId="45" borderId="0" xfId="0" applyFont="1" applyFill="1" applyBorder="1" applyAlignment="1">
      <alignment vertical="center"/>
    </xf>
    <xf numFmtId="0" fontId="4" fillId="45" borderId="2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4" fillId="45" borderId="10" xfId="0" applyFont="1" applyFill="1" applyBorder="1" applyAlignment="1">
      <alignment horizontal="right" vertical="center"/>
    </xf>
    <xf numFmtId="0" fontId="4" fillId="45" borderId="11" xfId="0" applyFont="1" applyFill="1" applyBorder="1" applyAlignment="1">
      <alignment horizontal="right" vertical="center"/>
    </xf>
    <xf numFmtId="0" fontId="0" fillId="0" borderId="0" xfId="0"/>
    <xf numFmtId="0" fontId="0" fillId="4" borderId="6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71" borderId="5" xfId="0" applyFill="1" applyBorder="1" applyAlignment="1">
      <alignment vertical="center"/>
    </xf>
    <xf numFmtId="0" fontId="0" fillId="71" borderId="6" xfId="0" applyFill="1" applyBorder="1" applyAlignment="1">
      <alignment vertical="center"/>
    </xf>
    <xf numFmtId="0" fontId="0" fillId="71" borderId="8" xfId="0" applyFill="1" applyBorder="1" applyAlignment="1">
      <alignment vertical="center"/>
    </xf>
    <xf numFmtId="0" fontId="4" fillId="71" borderId="23" xfId="0" applyFont="1" applyFill="1" applyBorder="1" applyAlignment="1">
      <alignment horizontal="center" vertical="center"/>
    </xf>
    <xf numFmtId="0" fontId="4" fillId="71" borderId="24" xfId="0" applyFont="1" applyFill="1" applyBorder="1" applyAlignment="1">
      <alignment horizontal="center" vertical="center"/>
    </xf>
    <xf numFmtId="0" fontId="4" fillId="71" borderId="25" xfId="0" applyFont="1" applyFill="1" applyBorder="1" applyAlignment="1">
      <alignment horizontal="center" vertical="center"/>
    </xf>
    <xf numFmtId="11" fontId="4" fillId="4" borderId="7" xfId="0" applyNumberFormat="1" applyFont="1" applyFill="1" applyBorder="1" applyAlignment="1">
      <alignment horizontal="right" vertical="center"/>
    </xf>
    <xf numFmtId="0" fontId="0" fillId="0" borderId="0" xfId="0"/>
    <xf numFmtId="0" fontId="0" fillId="46" borderId="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4" fillId="45" borderId="0" xfId="0" applyFont="1" applyFill="1" applyBorder="1" applyAlignment="1">
      <alignment vertical="center"/>
    </xf>
    <xf numFmtId="0" fontId="0" fillId="4" borderId="3" xfId="0" applyFont="1" applyFill="1" applyBorder="1" applyAlignment="1">
      <alignment vertical="center"/>
    </xf>
    <xf numFmtId="0" fontId="0" fillId="4" borderId="6" xfId="0" applyFont="1" applyFill="1" applyBorder="1" applyAlignment="1">
      <alignment vertical="center"/>
    </xf>
    <xf numFmtId="0" fontId="4" fillId="49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4" fillId="54" borderId="0" xfId="0" applyFont="1" applyFill="1" applyBorder="1" applyAlignment="1">
      <alignment vertical="center"/>
    </xf>
    <xf numFmtId="0" fontId="4" fillId="49" borderId="2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4" fillId="45" borderId="2" xfId="0" applyFont="1" applyFill="1" applyBorder="1" applyAlignment="1">
      <alignment vertical="center"/>
    </xf>
    <xf numFmtId="0" fontId="4" fillId="54" borderId="2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NumberFormat="1" applyFill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" fillId="0" borderId="0" xfId="185" applyFont="1" applyFill="1" applyAlignment="1">
      <alignment vertical="center"/>
    </xf>
    <xf numFmtId="0" fontId="6" fillId="0" borderId="0" xfId="185" applyFont="1" applyAlignment="1">
      <alignment vertical="center"/>
    </xf>
    <xf numFmtId="0" fontId="6" fillId="0" borderId="0" xfId="185" applyAlignment="1">
      <alignment vertical="center"/>
    </xf>
    <xf numFmtId="0" fontId="6" fillId="0" borderId="0" xfId="185" applyAlignment="1">
      <alignment horizontal="center" vertical="center"/>
    </xf>
    <xf numFmtId="0" fontId="0" fillId="71" borderId="4" xfId="0" applyFill="1" applyBorder="1" applyAlignment="1">
      <alignment vertical="center"/>
    </xf>
    <xf numFmtId="0" fontId="0" fillId="71" borderId="3" xfId="0" applyFill="1" applyBorder="1" applyAlignment="1">
      <alignment vertical="center"/>
    </xf>
    <xf numFmtId="0" fontId="0" fillId="71" borderId="7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11" fontId="28" fillId="70" borderId="0" xfId="0" applyNumberFormat="1" applyFont="1" applyFill="1" applyAlignment="1">
      <alignment horizontal="center" vertical="center"/>
    </xf>
    <xf numFmtId="0" fontId="28" fillId="70" borderId="0" xfId="0" applyNumberFormat="1" applyFont="1" applyFill="1" applyAlignment="1">
      <alignment horizontal="center" vertical="center"/>
    </xf>
    <xf numFmtId="0" fontId="28" fillId="70" borderId="0" xfId="0" applyFont="1" applyFill="1" applyAlignment="1">
      <alignment horizontal="center" vertical="center"/>
    </xf>
    <xf numFmtId="11" fontId="4" fillId="69" borderId="0" xfId="0" applyNumberFormat="1" applyFont="1" applyFill="1" applyBorder="1" applyAlignment="1">
      <alignment horizontal="center" vertical="center"/>
    </xf>
    <xf numFmtId="11" fontId="4" fillId="69" borderId="2" xfId="0" applyNumberFormat="1" applyFont="1" applyFill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0" fillId="36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11" fontId="0" fillId="0" borderId="0" xfId="0" applyNumberFormat="1" applyFont="1" applyAlignment="1">
      <alignment horizontal="center" vertical="center"/>
    </xf>
    <xf numFmtId="0" fontId="3" fillId="36" borderId="0" xfId="184" applyNumberForma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1" fontId="0" fillId="36" borderId="37" xfId="0" applyNumberFormat="1" applyFill="1" applyBorder="1" applyAlignment="1">
      <alignment horizontal="center" vertical="center"/>
    </xf>
    <xf numFmtId="11" fontId="0" fillId="36" borderId="13" xfId="0" applyNumberFormat="1" applyFill="1" applyBorder="1" applyAlignment="1">
      <alignment horizontal="center" vertical="center"/>
    </xf>
    <xf numFmtId="11" fontId="0" fillId="36" borderId="38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11" fontId="0" fillId="36" borderId="0" xfId="0" applyNumberFormat="1" applyFont="1" applyFill="1" applyAlignment="1">
      <alignment horizontal="center" vertical="center"/>
    </xf>
    <xf numFmtId="11" fontId="0" fillId="36" borderId="51" xfId="0" applyNumberFormat="1" applyFill="1" applyBorder="1" applyAlignment="1">
      <alignment horizontal="center" vertical="center"/>
    </xf>
    <xf numFmtId="11" fontId="0" fillId="36" borderId="13" xfId="0" applyNumberFormat="1" applyFont="1" applyFill="1" applyBorder="1" applyAlignment="1">
      <alignment horizontal="center" vertical="center"/>
    </xf>
    <xf numFmtId="11" fontId="0" fillId="36" borderId="38" xfId="0" applyNumberFormat="1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1" fontId="0" fillId="0" borderId="0" xfId="0" applyNumberFormat="1" applyFont="1" applyFill="1" applyAlignment="1">
      <alignment horizontal="center" vertical="center"/>
    </xf>
    <xf numFmtId="0" fontId="0" fillId="37" borderId="0" xfId="0" applyNumberForma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11" fontId="27" fillId="0" borderId="0" xfId="0" applyNumberFormat="1" applyFont="1" applyAlignment="1">
      <alignment horizontal="center" vertical="center"/>
    </xf>
    <xf numFmtId="11" fontId="0" fillId="0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6" fontId="3" fillId="36" borderId="0" xfId="184" applyNumberFormat="1" applyFill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28" fillId="70" borderId="13" xfId="0" applyNumberFormat="1" applyFont="1" applyFill="1" applyBorder="1" applyAlignment="1">
      <alignment horizontal="center" vertical="center"/>
    </xf>
    <xf numFmtId="11" fontId="28" fillId="70" borderId="13" xfId="0" applyNumberFormat="1" applyFont="1" applyFill="1" applyBorder="1" applyAlignment="1">
      <alignment horizontal="center" vertical="center"/>
    </xf>
    <xf numFmtId="11" fontId="28" fillId="70" borderId="37" xfId="0" applyNumberFormat="1" applyFont="1" applyFill="1" applyBorder="1" applyAlignment="1">
      <alignment horizontal="center" vertical="center"/>
    </xf>
    <xf numFmtId="0" fontId="4" fillId="49" borderId="3" xfId="0" applyFont="1" applyFill="1" applyBorder="1" applyAlignment="1">
      <alignment horizontal="right" vertical="center"/>
    </xf>
    <xf numFmtId="0" fontId="4" fillId="49" borderId="7" xfId="0" applyFont="1" applyFill="1" applyBorder="1" applyAlignment="1">
      <alignment horizontal="right" vertical="center"/>
    </xf>
    <xf numFmtId="0" fontId="4" fillId="3" borderId="3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right" vertical="center"/>
    </xf>
    <xf numFmtId="0" fontId="4" fillId="3" borderId="10" xfId="0" applyFont="1" applyFill="1" applyBorder="1" applyAlignment="1">
      <alignment horizontal="right" vertical="center"/>
    </xf>
    <xf numFmtId="0" fontId="4" fillId="3" borderId="11" xfId="0" applyFont="1" applyFill="1" applyBorder="1" applyAlignment="1">
      <alignment horizontal="right" vertical="center"/>
    </xf>
    <xf numFmtId="0" fontId="4" fillId="46" borderId="41" xfId="0" applyFont="1" applyFill="1" applyBorder="1" applyAlignment="1">
      <alignment horizontal="center" vertical="center"/>
    </xf>
    <xf numFmtId="0" fontId="4" fillId="46" borderId="1" xfId="0" applyFont="1" applyFill="1" applyBorder="1" applyAlignment="1">
      <alignment horizontal="center" vertical="center"/>
    </xf>
    <xf numFmtId="0" fontId="4" fillId="46" borderId="12" xfId="0" applyFont="1" applyFill="1" applyBorder="1" applyAlignment="1">
      <alignment horizontal="center" vertical="center"/>
    </xf>
    <xf numFmtId="0" fontId="4" fillId="54" borderId="10" xfId="0" applyFont="1" applyFill="1" applyBorder="1" applyAlignment="1">
      <alignment horizontal="right" vertical="center"/>
    </xf>
    <xf numFmtId="0" fontId="4" fillId="54" borderId="11" xfId="0" applyFont="1" applyFill="1" applyBorder="1" applyAlignment="1">
      <alignment horizontal="right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4" fillId="45" borderId="10" xfId="0" applyFont="1" applyFill="1" applyBorder="1" applyAlignment="1">
      <alignment horizontal="right" vertical="center"/>
    </xf>
    <xf numFmtId="0" fontId="4" fillId="45" borderId="11" xfId="0" applyFont="1" applyFill="1" applyBorder="1" applyAlignment="1">
      <alignment horizontal="right" vertical="center"/>
    </xf>
    <xf numFmtId="11" fontId="4" fillId="45" borderId="0" xfId="0" applyNumberFormat="1" applyFont="1" applyFill="1" applyBorder="1" applyAlignment="1">
      <alignment horizontal="center" vertical="center"/>
    </xf>
    <xf numFmtId="11" fontId="4" fillId="45" borderId="2" xfId="0" applyNumberFormat="1" applyFont="1" applyFill="1" applyBorder="1" applyAlignment="1">
      <alignment horizontal="center" vertical="center"/>
    </xf>
    <xf numFmtId="11" fontId="4" fillId="67" borderId="0" xfId="0" applyNumberFormat="1" applyFont="1" applyFill="1" applyBorder="1" applyAlignment="1">
      <alignment horizontal="center" vertical="center"/>
    </xf>
    <xf numFmtId="11" fontId="4" fillId="67" borderId="2" xfId="0" applyNumberFormat="1" applyFont="1" applyFill="1" applyBorder="1" applyAlignment="1">
      <alignment horizontal="center" vertical="center"/>
    </xf>
    <xf numFmtId="11" fontId="4" fillId="55" borderId="0" xfId="0" applyNumberFormat="1" applyFont="1" applyFill="1" applyBorder="1" applyAlignment="1">
      <alignment horizontal="center" vertical="center"/>
    </xf>
    <xf numFmtId="11" fontId="4" fillId="55" borderId="2" xfId="0" applyNumberFormat="1" applyFont="1" applyFill="1" applyBorder="1" applyAlignment="1">
      <alignment horizontal="center" vertical="center"/>
    </xf>
    <xf numFmtId="0" fontId="4" fillId="55" borderId="10" xfId="0" applyFont="1" applyFill="1" applyBorder="1" applyAlignment="1">
      <alignment horizontal="right" vertical="center"/>
    </xf>
    <xf numFmtId="0" fontId="4" fillId="55" borderId="11" xfId="0" applyFont="1" applyFill="1" applyBorder="1" applyAlignment="1">
      <alignment horizontal="right" vertical="center"/>
    </xf>
    <xf numFmtId="11" fontId="4" fillId="45" borderId="0" xfId="0" applyNumberFormat="1" applyFont="1" applyFill="1" applyBorder="1" applyAlignment="1">
      <alignment horizontal="center" vertical="center"/>
    </xf>
    <xf numFmtId="11" fontId="4" fillId="45" borderId="2" xfId="0" applyNumberFormat="1" applyFont="1" applyFill="1" applyBorder="1" applyAlignment="1">
      <alignment horizontal="center" vertical="center"/>
    </xf>
    <xf numFmtId="0" fontId="4" fillId="45" borderId="10" xfId="0" applyFont="1" applyFill="1" applyBorder="1" applyAlignment="1">
      <alignment horizontal="right" vertical="center"/>
    </xf>
    <xf numFmtId="0" fontId="4" fillId="45" borderId="11" xfId="0" applyFont="1" applyFill="1" applyBorder="1" applyAlignment="1">
      <alignment horizontal="right" vertical="center"/>
    </xf>
    <xf numFmtId="168" fontId="0" fillId="0" borderId="0" xfId="0" applyNumberFormat="1" applyFont="1" applyFill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1" fontId="28" fillId="70" borderId="38" xfId="0" applyNumberFormat="1" applyFont="1" applyFill="1" applyBorder="1" applyAlignment="1">
      <alignment horizontal="center" vertical="center"/>
    </xf>
    <xf numFmtId="11" fontId="4" fillId="4" borderId="0" xfId="0" applyNumberFormat="1" applyFont="1" applyFill="1" applyBorder="1" applyAlignment="1">
      <alignment horizontal="center" vertical="center"/>
    </xf>
    <xf numFmtId="11" fontId="4" fillId="4" borderId="2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185" applyFont="1" applyAlignment="1">
      <alignment horizontal="center" vertical="center"/>
    </xf>
    <xf numFmtId="167" fontId="0" fillId="36" borderId="0" xfId="0" applyNumberFormat="1" applyFill="1" applyAlignment="1">
      <alignment horizontal="center" vertical="center"/>
    </xf>
    <xf numFmtId="11" fontId="6" fillId="0" borderId="0" xfId="185" applyNumberFormat="1" applyFont="1" applyAlignment="1">
      <alignment horizontal="center" vertical="center"/>
    </xf>
    <xf numFmtId="0" fontId="6" fillId="0" borderId="0" xfId="185" applyNumberFormat="1" applyFont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11" fontId="4" fillId="3" borderId="0" xfId="0" applyNumberFormat="1" applyFont="1" applyFill="1" applyBorder="1" applyAlignment="1">
      <alignment horizontal="center" vertical="center"/>
    </xf>
    <xf numFmtId="11" fontId="4" fillId="3" borderId="2" xfId="0" applyNumberFormat="1" applyFont="1" applyFill="1" applyBorder="1" applyAlignment="1">
      <alignment horizontal="center" vertical="center"/>
    </xf>
    <xf numFmtId="11" fontId="4" fillId="53" borderId="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1" fontId="0" fillId="71" borderId="1" xfId="0" applyNumberFormat="1" applyFill="1" applyBorder="1" applyAlignment="1">
      <alignment horizontal="center" vertical="center"/>
    </xf>
    <xf numFmtId="11" fontId="0" fillId="71" borderId="0" xfId="0" applyNumberFormat="1" applyFill="1" applyBorder="1" applyAlignment="1">
      <alignment horizontal="center" vertical="center"/>
    </xf>
    <xf numFmtId="11" fontId="0" fillId="71" borderId="2" xfId="0" applyNumberFormat="1" applyFill="1" applyBorder="1" applyAlignment="1">
      <alignment horizontal="center" vertical="center"/>
    </xf>
    <xf numFmtId="168" fontId="28" fillId="70" borderId="0" xfId="0" applyNumberFormat="1" applyFont="1" applyFill="1" applyAlignment="1">
      <alignment horizontal="center" vertical="center"/>
    </xf>
    <xf numFmtId="11" fontId="0" fillId="0" borderId="0" xfId="0" applyNumberFormat="1" applyAlignment="1">
      <alignment vertical="center"/>
    </xf>
    <xf numFmtId="0" fontId="0" fillId="0" borderId="0" xfId="0" applyNumberFormat="1" applyAlignment="1">
      <alignment vertical="center"/>
    </xf>
    <xf numFmtId="0" fontId="4" fillId="0" borderId="23" xfId="0" applyFont="1" applyBorder="1" applyAlignment="1"/>
    <xf numFmtId="0" fontId="4" fillId="0" borderId="24" xfId="0" applyFont="1" applyBorder="1" applyAlignment="1"/>
    <xf numFmtId="0" fontId="4" fillId="0" borderId="25" xfId="0" applyFont="1" applyBorder="1" applyAlignment="1"/>
    <xf numFmtId="0" fontId="31" fillId="0" borderId="0" xfId="0" applyFont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4" fillId="47" borderId="3" xfId="0" applyFont="1" applyFill="1" applyBorder="1" applyAlignment="1">
      <alignment horizontal="right" vertical="center"/>
    </xf>
    <xf numFmtId="0" fontId="4" fillId="47" borderId="7" xfId="0" applyFont="1" applyFill="1" applyBorder="1" applyAlignment="1">
      <alignment horizontal="right" vertical="center"/>
    </xf>
    <xf numFmtId="0" fontId="4" fillId="47" borderId="10" xfId="0" applyFont="1" applyFill="1" applyBorder="1" applyAlignment="1">
      <alignment horizontal="right" vertical="center"/>
    </xf>
    <xf numFmtId="0" fontId="4" fillId="47" borderId="11" xfId="0" applyFont="1" applyFill="1" applyBorder="1" applyAlignment="1">
      <alignment horizontal="right" vertical="center"/>
    </xf>
    <xf numFmtId="0" fontId="4" fillId="48" borderId="6" xfId="0" applyFont="1" applyFill="1" applyBorder="1" applyAlignment="1">
      <alignment horizontal="left" vertical="center"/>
    </xf>
    <xf numFmtId="0" fontId="4" fillId="48" borderId="8" xfId="0" applyFont="1" applyFill="1" applyBorder="1" applyAlignment="1">
      <alignment horizontal="left" vertical="center"/>
    </xf>
    <xf numFmtId="11" fontId="4" fillId="47" borderId="0" xfId="0" applyNumberFormat="1" applyFont="1" applyFill="1" applyBorder="1" applyAlignment="1">
      <alignment horizontal="center" vertical="center"/>
    </xf>
    <xf numFmtId="11" fontId="4" fillId="47" borderId="2" xfId="0" applyNumberFormat="1" applyFont="1" applyFill="1" applyBorder="1" applyAlignment="1">
      <alignment horizontal="center" vertical="center"/>
    </xf>
    <xf numFmtId="11" fontId="4" fillId="48" borderId="0" xfId="0" applyNumberFormat="1" applyFont="1" applyFill="1" applyBorder="1" applyAlignment="1">
      <alignment horizontal="center" vertical="center"/>
    </xf>
    <xf numFmtId="11" fontId="4" fillId="48" borderId="2" xfId="0" applyNumberFormat="1" applyFont="1" applyFill="1" applyBorder="1" applyAlignment="1">
      <alignment horizontal="center" vertical="center"/>
    </xf>
    <xf numFmtId="0" fontId="4" fillId="48" borderId="26" xfId="0" applyFont="1" applyFill="1" applyBorder="1" applyAlignment="1">
      <alignment horizontal="left" vertical="center"/>
    </xf>
    <xf numFmtId="0" fontId="4" fillId="48" borderId="40" xfId="0" applyFont="1" applyFill="1" applyBorder="1" applyAlignment="1">
      <alignment horizontal="left" vertical="center"/>
    </xf>
    <xf numFmtId="0" fontId="34" fillId="47" borderId="4" xfId="0" applyFont="1" applyFill="1" applyBorder="1" applyAlignment="1">
      <alignment horizontal="center" vertical="center"/>
    </xf>
    <xf numFmtId="0" fontId="34" fillId="47" borderId="1" xfId="0" applyFont="1" applyFill="1" applyBorder="1" applyAlignment="1">
      <alignment horizontal="center" vertical="center"/>
    </xf>
    <xf numFmtId="0" fontId="34" fillId="47" borderId="39" xfId="0" applyFont="1" applyFill="1" applyBorder="1" applyAlignment="1">
      <alignment horizontal="center" vertical="center"/>
    </xf>
    <xf numFmtId="0" fontId="34" fillId="47" borderId="9" xfId="0" applyFont="1" applyFill="1" applyBorder="1" applyAlignment="1">
      <alignment horizontal="center" vertical="center"/>
    </xf>
    <xf numFmtId="0" fontId="34" fillId="47" borderId="5" xfId="0" applyFont="1" applyFill="1" applyBorder="1" applyAlignment="1">
      <alignment horizontal="center" vertical="center"/>
    </xf>
    <xf numFmtId="0" fontId="4" fillId="45" borderId="6" xfId="0" applyFont="1" applyFill="1" applyBorder="1" applyAlignment="1">
      <alignment horizontal="left" vertical="center"/>
    </xf>
    <xf numFmtId="0" fontId="4" fillId="45" borderId="8" xfId="0" applyFont="1" applyFill="1" applyBorder="1" applyAlignment="1">
      <alignment horizontal="left" vertical="center"/>
    </xf>
    <xf numFmtId="11" fontId="4" fillId="45" borderId="0" xfId="0" applyNumberFormat="1" applyFont="1" applyFill="1" applyBorder="1" applyAlignment="1">
      <alignment horizontal="center" vertical="center"/>
    </xf>
    <xf numFmtId="11" fontId="4" fillId="45" borderId="2" xfId="0" applyNumberFormat="1" applyFont="1" applyFill="1" applyBorder="1" applyAlignment="1">
      <alignment horizontal="center" vertical="center"/>
    </xf>
    <xf numFmtId="0" fontId="4" fillId="45" borderId="10" xfId="0" applyFont="1" applyFill="1" applyBorder="1" applyAlignment="1">
      <alignment horizontal="right" vertical="center"/>
    </xf>
    <xf numFmtId="0" fontId="4" fillId="45" borderId="11" xfId="0" applyFont="1" applyFill="1" applyBorder="1" applyAlignment="1">
      <alignment horizontal="right" vertical="center"/>
    </xf>
    <xf numFmtId="0" fontId="4" fillId="45" borderId="26" xfId="0" applyFont="1" applyFill="1" applyBorder="1" applyAlignment="1">
      <alignment horizontal="left" vertical="center"/>
    </xf>
    <xf numFmtId="0" fontId="4" fillId="45" borderId="40" xfId="0" applyFont="1" applyFill="1" applyBorder="1" applyAlignment="1">
      <alignment horizontal="left" vertical="center"/>
    </xf>
    <xf numFmtId="0" fontId="34" fillId="81" borderId="9" xfId="0" applyFont="1" applyFill="1" applyBorder="1" applyAlignment="1">
      <alignment horizontal="center" vertical="center"/>
    </xf>
    <xf numFmtId="0" fontId="34" fillId="81" borderId="1" xfId="0" applyFont="1" applyFill="1" applyBorder="1" applyAlignment="1">
      <alignment horizontal="center" vertical="center"/>
    </xf>
    <xf numFmtId="0" fontId="34" fillId="81" borderId="5" xfId="0" applyFont="1" applyFill="1" applyBorder="1" applyAlignment="1">
      <alignment horizontal="center" vertical="center"/>
    </xf>
    <xf numFmtId="0" fontId="34" fillId="81" borderId="4" xfId="0" applyFont="1" applyFill="1" applyBorder="1" applyAlignment="1">
      <alignment horizontal="center" vertical="center"/>
    </xf>
    <xf numFmtId="0" fontId="4" fillId="45" borderId="3" xfId="0" applyFont="1" applyFill="1" applyBorder="1" applyAlignment="1">
      <alignment horizontal="right" vertical="center"/>
    </xf>
    <xf numFmtId="0" fontId="4" fillId="45" borderId="7" xfId="0" applyFont="1" applyFill="1" applyBorder="1" applyAlignment="1">
      <alignment horizontal="right" vertical="center"/>
    </xf>
    <xf numFmtId="0" fontId="4" fillId="75" borderId="26" xfId="0" applyFont="1" applyFill="1" applyBorder="1" applyAlignment="1">
      <alignment horizontal="left" vertical="center"/>
    </xf>
    <xf numFmtId="0" fontId="4" fillId="75" borderId="40" xfId="0" applyFont="1" applyFill="1" applyBorder="1" applyAlignment="1">
      <alignment horizontal="left" vertical="center"/>
    </xf>
    <xf numFmtId="0" fontId="34" fillId="81" borderId="39" xfId="0" applyFont="1" applyFill="1" applyBorder="1" applyAlignment="1">
      <alignment horizontal="center" vertical="center"/>
    </xf>
    <xf numFmtId="0" fontId="4" fillId="75" borderId="6" xfId="0" applyFont="1" applyFill="1" applyBorder="1" applyAlignment="1">
      <alignment horizontal="left" vertical="center"/>
    </xf>
    <xf numFmtId="0" fontId="4" fillId="75" borderId="8" xfId="0" applyFont="1" applyFill="1" applyBorder="1" applyAlignment="1">
      <alignment horizontal="left" vertical="center"/>
    </xf>
    <xf numFmtId="11" fontId="4" fillId="58" borderId="0" xfId="0" applyNumberFormat="1" applyFont="1" applyFill="1" applyBorder="1" applyAlignment="1">
      <alignment horizontal="center" vertical="center"/>
    </xf>
    <xf numFmtId="11" fontId="4" fillId="58" borderId="2" xfId="0" applyNumberFormat="1" applyFont="1" applyFill="1" applyBorder="1" applyAlignment="1">
      <alignment horizontal="center" vertical="center"/>
    </xf>
    <xf numFmtId="0" fontId="4" fillId="58" borderId="10" xfId="0" applyFont="1" applyFill="1" applyBorder="1" applyAlignment="1">
      <alignment horizontal="right" vertical="center"/>
    </xf>
    <xf numFmtId="0" fontId="4" fillId="58" borderId="11" xfId="0" applyFont="1" applyFill="1" applyBorder="1" applyAlignment="1">
      <alignment horizontal="right" vertical="center"/>
    </xf>
    <xf numFmtId="0" fontId="4" fillId="58" borderId="26" xfId="0" applyFont="1" applyFill="1" applyBorder="1" applyAlignment="1">
      <alignment horizontal="left" vertical="center"/>
    </xf>
    <xf numFmtId="0" fontId="4" fillId="58" borderId="40" xfId="0" applyFont="1" applyFill="1" applyBorder="1" applyAlignment="1">
      <alignment horizontal="left" vertical="center"/>
    </xf>
    <xf numFmtId="0" fontId="35" fillId="4" borderId="52" xfId="0" applyFont="1" applyFill="1" applyBorder="1" applyAlignment="1">
      <alignment horizontal="center" vertical="center"/>
    </xf>
    <xf numFmtId="0" fontId="35" fillId="4" borderId="53" xfId="0" applyFont="1" applyFill="1" applyBorder="1" applyAlignment="1">
      <alignment horizontal="center" vertical="center"/>
    </xf>
    <xf numFmtId="0" fontId="35" fillId="4" borderId="54" xfId="0" applyFont="1" applyFill="1" applyBorder="1" applyAlignment="1">
      <alignment horizontal="center" vertical="center"/>
    </xf>
    <xf numFmtId="0" fontId="4" fillId="57" borderId="10" xfId="0" applyFont="1" applyFill="1" applyBorder="1" applyAlignment="1">
      <alignment horizontal="right" vertical="center"/>
    </xf>
    <xf numFmtId="0" fontId="4" fillId="57" borderId="11" xfId="0" applyFont="1" applyFill="1" applyBorder="1" applyAlignment="1">
      <alignment horizontal="right" vertical="center"/>
    </xf>
    <xf numFmtId="0" fontId="4" fillId="57" borderId="26" xfId="0" applyFont="1" applyFill="1" applyBorder="1" applyAlignment="1">
      <alignment horizontal="left" vertical="center"/>
    </xf>
    <xf numFmtId="0" fontId="4" fillId="57" borderId="40" xfId="0" applyFont="1" applyFill="1" applyBorder="1" applyAlignment="1">
      <alignment horizontal="left" vertical="center"/>
    </xf>
    <xf numFmtId="11" fontId="4" fillId="57" borderId="0" xfId="0" applyNumberFormat="1" applyFont="1" applyFill="1" applyBorder="1" applyAlignment="1">
      <alignment horizontal="center" vertical="center"/>
    </xf>
    <xf numFmtId="11" fontId="4" fillId="57" borderId="2" xfId="0" applyNumberFormat="1" applyFont="1" applyFill="1" applyBorder="1" applyAlignment="1">
      <alignment horizontal="center" vertical="center"/>
    </xf>
    <xf numFmtId="0" fontId="4" fillId="44" borderId="6" xfId="0" applyFont="1" applyFill="1" applyBorder="1" applyAlignment="1">
      <alignment horizontal="left" vertical="center"/>
    </xf>
    <xf numFmtId="0" fontId="4" fillId="44" borderId="8" xfId="0" applyFont="1" applyFill="1" applyBorder="1" applyAlignment="1">
      <alignment horizontal="left" vertical="center"/>
    </xf>
    <xf numFmtId="11" fontId="4" fillId="44" borderId="0" xfId="0" applyNumberFormat="1" applyFont="1" applyFill="1" applyBorder="1" applyAlignment="1">
      <alignment horizontal="center" vertical="center"/>
    </xf>
    <xf numFmtId="11" fontId="4" fillId="44" borderId="2" xfId="0" applyNumberFormat="1" applyFont="1" applyFill="1" applyBorder="1" applyAlignment="1">
      <alignment horizontal="center" vertical="center"/>
    </xf>
    <xf numFmtId="0" fontId="4" fillId="44" borderId="3" xfId="0" applyFont="1" applyFill="1" applyBorder="1" applyAlignment="1">
      <alignment horizontal="right" vertical="center"/>
    </xf>
    <xf numFmtId="0" fontId="4" fillId="44" borderId="7" xfId="0" applyFont="1" applyFill="1" applyBorder="1" applyAlignment="1">
      <alignment horizontal="right" vertical="center"/>
    </xf>
    <xf numFmtId="0" fontId="4" fillId="57" borderId="6" xfId="0" applyFont="1" applyFill="1" applyBorder="1" applyAlignment="1">
      <alignment horizontal="left" vertical="center"/>
    </xf>
    <xf numFmtId="0" fontId="4" fillId="57" borderId="8" xfId="0" applyFont="1" applyFill="1" applyBorder="1" applyAlignment="1">
      <alignment horizontal="left" vertical="center"/>
    </xf>
    <xf numFmtId="0" fontId="4" fillId="59" borderId="6" xfId="0" applyFont="1" applyFill="1" applyBorder="1" applyAlignment="1">
      <alignment horizontal="left" vertical="center"/>
    </xf>
    <xf numFmtId="0" fontId="4" fillId="59" borderId="8" xfId="0" applyFont="1" applyFill="1" applyBorder="1" applyAlignment="1">
      <alignment horizontal="left" vertical="center"/>
    </xf>
    <xf numFmtId="11" fontId="4" fillId="59" borderId="0" xfId="0" applyNumberFormat="1" applyFont="1" applyFill="1" applyBorder="1" applyAlignment="1">
      <alignment horizontal="center" vertical="center"/>
    </xf>
    <xf numFmtId="11" fontId="4" fillId="59" borderId="2" xfId="0" applyNumberFormat="1" applyFont="1" applyFill="1" applyBorder="1" applyAlignment="1">
      <alignment horizontal="center" vertical="center"/>
    </xf>
    <xf numFmtId="0" fontId="4" fillId="59" borderId="10" xfId="0" applyFont="1" applyFill="1" applyBorder="1" applyAlignment="1">
      <alignment horizontal="right" vertical="center"/>
    </xf>
    <xf numFmtId="0" fontId="4" fillId="59" borderId="11" xfId="0" applyFont="1" applyFill="1" applyBorder="1" applyAlignment="1">
      <alignment horizontal="right" vertical="center"/>
    </xf>
    <xf numFmtId="0" fontId="4" fillId="59" borderId="26" xfId="0" applyFont="1" applyFill="1" applyBorder="1" applyAlignment="1">
      <alignment horizontal="left" vertical="center"/>
    </xf>
    <xf numFmtId="0" fontId="4" fillId="59" borderId="40" xfId="0" applyFont="1" applyFill="1" applyBorder="1" applyAlignment="1">
      <alignment horizontal="left" vertical="center"/>
    </xf>
    <xf numFmtId="0" fontId="4" fillId="59" borderId="3" xfId="0" applyFont="1" applyFill="1" applyBorder="1" applyAlignment="1">
      <alignment horizontal="right" vertical="center"/>
    </xf>
    <xf numFmtId="0" fontId="4" fillId="59" borderId="7" xfId="0" applyFont="1" applyFill="1" applyBorder="1" applyAlignment="1">
      <alignment horizontal="right" vertical="center"/>
    </xf>
    <xf numFmtId="0" fontId="4" fillId="39" borderId="6" xfId="0" applyFont="1" applyFill="1" applyBorder="1" applyAlignment="1">
      <alignment horizontal="left" vertical="center"/>
    </xf>
    <xf numFmtId="0" fontId="4" fillId="39" borderId="8" xfId="0" applyFont="1" applyFill="1" applyBorder="1" applyAlignment="1">
      <alignment horizontal="left" vertical="center"/>
    </xf>
    <xf numFmtId="11" fontId="4" fillId="39" borderId="0" xfId="0" applyNumberFormat="1" applyFont="1" applyFill="1" applyBorder="1" applyAlignment="1">
      <alignment horizontal="center" vertical="center"/>
    </xf>
    <xf numFmtId="11" fontId="4" fillId="39" borderId="2" xfId="0" applyNumberFormat="1" applyFont="1" applyFill="1" applyBorder="1" applyAlignment="1">
      <alignment horizontal="center" vertical="center"/>
    </xf>
    <xf numFmtId="0" fontId="4" fillId="39" borderId="3" xfId="0" applyFont="1" applyFill="1" applyBorder="1" applyAlignment="1">
      <alignment horizontal="right" vertical="center"/>
    </xf>
    <xf numFmtId="0" fontId="4" fillId="39" borderId="7" xfId="0" applyFont="1" applyFill="1" applyBorder="1" applyAlignment="1">
      <alignment horizontal="right" vertical="center"/>
    </xf>
    <xf numFmtId="0" fontId="4" fillId="58" borderId="6" xfId="0" applyFont="1" applyFill="1" applyBorder="1" applyAlignment="1">
      <alignment horizontal="left" vertical="center"/>
    </xf>
    <xf numFmtId="0" fontId="4" fillId="58" borderId="8" xfId="0" applyFont="1" applyFill="1" applyBorder="1" applyAlignment="1">
      <alignment horizontal="left" vertical="center"/>
    </xf>
    <xf numFmtId="0" fontId="4" fillId="58" borderId="3" xfId="0" applyFont="1" applyFill="1" applyBorder="1" applyAlignment="1">
      <alignment horizontal="right" vertical="center"/>
    </xf>
    <xf numFmtId="0" fontId="4" fillId="58" borderId="7" xfId="0" applyFont="1" applyFill="1" applyBorder="1" applyAlignment="1">
      <alignment horizontal="right" vertical="center"/>
    </xf>
    <xf numFmtId="11" fontId="4" fillId="40" borderId="0" xfId="0" applyNumberFormat="1" applyFont="1" applyFill="1" applyBorder="1" applyAlignment="1">
      <alignment horizontal="center" vertical="center"/>
    </xf>
    <xf numFmtId="11" fontId="4" fillId="40" borderId="2" xfId="0" applyNumberFormat="1" applyFont="1" applyFill="1" applyBorder="1" applyAlignment="1">
      <alignment horizontal="center" vertical="center"/>
    </xf>
    <xf numFmtId="11" fontId="4" fillId="61" borderId="0" xfId="0" applyNumberFormat="1" applyFont="1" applyFill="1" applyBorder="1" applyAlignment="1">
      <alignment horizontal="center" vertical="center"/>
    </xf>
    <xf numFmtId="11" fontId="4" fillId="61" borderId="2" xfId="0" applyNumberFormat="1" applyFont="1" applyFill="1" applyBorder="1" applyAlignment="1">
      <alignment horizontal="center" vertical="center"/>
    </xf>
    <xf numFmtId="0" fontId="4" fillId="61" borderId="3" xfId="0" applyFont="1" applyFill="1" applyBorder="1" applyAlignment="1">
      <alignment horizontal="right" vertical="center"/>
    </xf>
    <xf numFmtId="0" fontId="4" fillId="61" borderId="7" xfId="0" applyFont="1" applyFill="1" applyBorder="1" applyAlignment="1">
      <alignment horizontal="right" vertical="center"/>
    </xf>
    <xf numFmtId="0" fontId="4" fillId="40" borderId="6" xfId="0" applyFont="1" applyFill="1" applyBorder="1" applyAlignment="1">
      <alignment horizontal="left" vertical="center"/>
    </xf>
    <xf numFmtId="0" fontId="4" fillId="40" borderId="8" xfId="0" applyFont="1" applyFill="1" applyBorder="1" applyAlignment="1">
      <alignment horizontal="left" vertical="center"/>
    </xf>
    <xf numFmtId="0" fontId="4" fillId="62" borderId="3" xfId="0" applyFont="1" applyFill="1" applyBorder="1" applyAlignment="1">
      <alignment horizontal="right" vertical="center"/>
    </xf>
    <xf numFmtId="0" fontId="4" fillId="62" borderId="7" xfId="0" applyFont="1" applyFill="1" applyBorder="1" applyAlignment="1">
      <alignment horizontal="right" vertical="center"/>
    </xf>
    <xf numFmtId="0" fontId="4" fillId="38" borderId="6" xfId="0" applyFont="1" applyFill="1" applyBorder="1" applyAlignment="1">
      <alignment horizontal="left" vertical="center"/>
    </xf>
    <xf numFmtId="0" fontId="4" fillId="38" borderId="8" xfId="0" applyFont="1" applyFill="1" applyBorder="1" applyAlignment="1">
      <alignment horizontal="left" vertical="center"/>
    </xf>
    <xf numFmtId="11" fontId="4" fillId="38" borderId="0" xfId="0" applyNumberFormat="1" applyFont="1" applyFill="1" applyBorder="1" applyAlignment="1">
      <alignment horizontal="center" vertical="center"/>
    </xf>
    <xf numFmtId="11" fontId="4" fillId="38" borderId="2" xfId="0" applyNumberFormat="1" applyFont="1" applyFill="1" applyBorder="1" applyAlignment="1">
      <alignment horizontal="center" vertical="center"/>
    </xf>
    <xf numFmtId="0" fontId="4" fillId="38" borderId="3" xfId="0" applyFont="1" applyFill="1" applyBorder="1" applyAlignment="1">
      <alignment horizontal="right" vertical="center"/>
    </xf>
    <xf numFmtId="0" fontId="4" fillId="38" borderId="7" xfId="0" applyFont="1" applyFill="1" applyBorder="1" applyAlignment="1">
      <alignment horizontal="right" vertical="center"/>
    </xf>
    <xf numFmtId="0" fontId="4" fillId="61" borderId="6" xfId="0" applyFont="1" applyFill="1" applyBorder="1" applyAlignment="1">
      <alignment horizontal="left" vertical="center"/>
    </xf>
    <xf numFmtId="0" fontId="4" fillId="61" borderId="8" xfId="0" applyFont="1" applyFill="1" applyBorder="1" applyAlignment="1">
      <alignment horizontal="left" vertical="center"/>
    </xf>
    <xf numFmtId="0" fontId="4" fillId="61" borderId="10" xfId="0" applyFont="1" applyFill="1" applyBorder="1" applyAlignment="1">
      <alignment horizontal="right" vertical="center"/>
    </xf>
    <xf numFmtId="0" fontId="4" fillId="61" borderId="11" xfId="0" applyFont="1" applyFill="1" applyBorder="1" applyAlignment="1">
      <alignment horizontal="right" vertical="center"/>
    </xf>
    <xf numFmtId="0" fontId="4" fillId="61" borderId="26" xfId="0" applyFont="1" applyFill="1" applyBorder="1" applyAlignment="1">
      <alignment horizontal="left" vertical="center"/>
    </xf>
    <xf numFmtId="0" fontId="4" fillId="61" borderId="40" xfId="0" applyFont="1" applyFill="1" applyBorder="1" applyAlignment="1">
      <alignment horizontal="left" vertical="center"/>
    </xf>
    <xf numFmtId="0" fontId="4" fillId="57" borderId="10" xfId="0" applyFont="1" applyFill="1" applyBorder="1" applyAlignment="1">
      <alignment horizontal="center" vertical="center"/>
    </xf>
    <xf numFmtId="0" fontId="4" fillId="57" borderId="11" xfId="0" applyFont="1" applyFill="1" applyBorder="1" applyAlignment="1">
      <alignment horizontal="center" vertical="center"/>
    </xf>
    <xf numFmtId="0" fontId="4" fillId="57" borderId="3" xfId="0" applyFont="1" applyFill="1" applyBorder="1" applyAlignment="1">
      <alignment horizontal="right" vertical="center"/>
    </xf>
    <xf numFmtId="0" fontId="4" fillId="57" borderId="7" xfId="0" applyFont="1" applyFill="1" applyBorder="1" applyAlignment="1">
      <alignment horizontal="right" vertical="center"/>
    </xf>
    <xf numFmtId="0" fontId="4" fillId="43" borderId="6" xfId="0" applyFont="1" applyFill="1" applyBorder="1" applyAlignment="1">
      <alignment horizontal="left" vertical="center"/>
    </xf>
    <xf numFmtId="0" fontId="4" fillId="43" borderId="8" xfId="0" applyFont="1" applyFill="1" applyBorder="1" applyAlignment="1">
      <alignment horizontal="left" vertical="center"/>
    </xf>
    <xf numFmtId="11" fontId="4" fillId="43" borderId="0" xfId="0" applyNumberFormat="1" applyFont="1" applyFill="1" applyBorder="1" applyAlignment="1">
      <alignment horizontal="center" vertical="center"/>
    </xf>
    <xf numFmtId="11" fontId="4" fillId="43" borderId="2" xfId="0" applyNumberFormat="1" applyFont="1" applyFill="1" applyBorder="1" applyAlignment="1">
      <alignment horizontal="center" vertical="center"/>
    </xf>
    <xf numFmtId="0" fontId="4" fillId="43" borderId="3" xfId="0" applyFont="1" applyFill="1" applyBorder="1" applyAlignment="1">
      <alignment horizontal="right" vertical="center"/>
    </xf>
    <xf numFmtId="0" fontId="4" fillId="43" borderId="7" xfId="0" applyFont="1" applyFill="1" applyBorder="1" applyAlignment="1">
      <alignment horizontal="right" vertical="center"/>
    </xf>
    <xf numFmtId="0" fontId="4" fillId="56" borderId="6" xfId="0" applyFont="1" applyFill="1" applyBorder="1" applyAlignment="1">
      <alignment horizontal="left" vertical="center"/>
    </xf>
    <xf numFmtId="0" fontId="4" fillId="56" borderId="8" xfId="0" applyFont="1" applyFill="1" applyBorder="1" applyAlignment="1">
      <alignment horizontal="left" vertical="center"/>
    </xf>
    <xf numFmtId="11" fontId="4" fillId="56" borderId="0" xfId="0" applyNumberFormat="1" applyFont="1" applyFill="1" applyBorder="1" applyAlignment="1">
      <alignment horizontal="center" vertical="center"/>
    </xf>
    <xf numFmtId="11" fontId="4" fillId="56" borderId="2" xfId="0" applyNumberFormat="1" applyFont="1" applyFill="1" applyBorder="1" applyAlignment="1">
      <alignment horizontal="center" vertical="center"/>
    </xf>
    <xf numFmtId="0" fontId="4" fillId="56" borderId="10" xfId="0" applyFont="1" applyFill="1" applyBorder="1" applyAlignment="1">
      <alignment horizontal="right" vertical="center"/>
    </xf>
    <xf numFmtId="0" fontId="4" fillId="56" borderId="11" xfId="0" applyFont="1" applyFill="1" applyBorder="1" applyAlignment="1">
      <alignment horizontal="right" vertical="center"/>
    </xf>
    <xf numFmtId="0" fontId="4" fillId="56" borderId="26" xfId="0" applyFont="1" applyFill="1" applyBorder="1" applyAlignment="1">
      <alignment horizontal="left" vertical="center"/>
    </xf>
    <xf numFmtId="0" fontId="4" fillId="56" borderId="40" xfId="0" applyFont="1" applyFill="1" applyBorder="1" applyAlignment="1">
      <alignment horizontal="left" vertical="center"/>
    </xf>
    <xf numFmtId="0" fontId="4" fillId="62" borderId="26" xfId="0" applyFont="1" applyFill="1" applyBorder="1" applyAlignment="1">
      <alignment horizontal="left" vertical="center"/>
    </xf>
    <xf numFmtId="0" fontId="4" fillId="62" borderId="40" xfId="0" applyFont="1" applyFill="1" applyBorder="1" applyAlignment="1">
      <alignment horizontal="left" vertical="center"/>
    </xf>
    <xf numFmtId="11" fontId="4" fillId="62" borderId="0" xfId="0" applyNumberFormat="1" applyFont="1" applyFill="1" applyBorder="1" applyAlignment="1">
      <alignment horizontal="center" vertical="center"/>
    </xf>
    <xf numFmtId="11" fontId="4" fillId="62" borderId="2" xfId="0" applyNumberFormat="1" applyFont="1" applyFill="1" applyBorder="1" applyAlignment="1">
      <alignment horizontal="center" vertical="center"/>
    </xf>
    <xf numFmtId="0" fontId="4" fillId="62" borderId="10" xfId="0" applyFont="1" applyFill="1" applyBorder="1" applyAlignment="1">
      <alignment horizontal="right" vertical="center"/>
    </xf>
    <xf numFmtId="0" fontId="4" fillId="62" borderId="11" xfId="0" applyFont="1" applyFill="1" applyBorder="1" applyAlignment="1">
      <alignment horizontal="right" vertical="center"/>
    </xf>
    <xf numFmtId="0" fontId="4" fillId="56" borderId="3" xfId="0" applyFont="1" applyFill="1" applyBorder="1" applyAlignment="1">
      <alignment horizontal="right" vertical="center"/>
    </xf>
    <xf numFmtId="0" fontId="4" fillId="56" borderId="7" xfId="0" applyFont="1" applyFill="1" applyBorder="1" applyAlignment="1">
      <alignment horizontal="right" vertical="center"/>
    </xf>
    <xf numFmtId="0" fontId="4" fillId="42" borderId="6" xfId="0" applyFont="1" applyFill="1" applyBorder="1" applyAlignment="1">
      <alignment horizontal="left" vertical="center"/>
    </xf>
    <xf numFmtId="0" fontId="4" fillId="42" borderId="8" xfId="0" applyFont="1" applyFill="1" applyBorder="1" applyAlignment="1">
      <alignment horizontal="left" vertical="center"/>
    </xf>
    <xf numFmtId="11" fontId="4" fillId="42" borderId="0" xfId="0" applyNumberFormat="1" applyFont="1" applyFill="1" applyBorder="1" applyAlignment="1">
      <alignment horizontal="center" vertical="center"/>
    </xf>
    <xf numFmtId="11" fontId="4" fillId="42" borderId="2" xfId="0" applyNumberFormat="1" applyFont="1" applyFill="1" applyBorder="1" applyAlignment="1">
      <alignment horizontal="center" vertical="center"/>
    </xf>
    <xf numFmtId="0" fontId="4" fillId="42" borderId="3" xfId="0" applyFont="1" applyFill="1" applyBorder="1" applyAlignment="1">
      <alignment horizontal="right" vertical="center"/>
    </xf>
    <xf numFmtId="0" fontId="4" fillId="42" borderId="7" xfId="0" applyFont="1" applyFill="1" applyBorder="1" applyAlignment="1">
      <alignment horizontal="right" vertical="center"/>
    </xf>
    <xf numFmtId="0" fontId="4" fillId="62" borderId="6" xfId="0" applyFont="1" applyFill="1" applyBorder="1" applyAlignment="1">
      <alignment horizontal="left" vertical="center"/>
    </xf>
    <xf numFmtId="0" fontId="4" fillId="62" borderId="8" xfId="0" applyFont="1" applyFill="1" applyBorder="1" applyAlignment="1">
      <alignment horizontal="left" vertical="center"/>
    </xf>
    <xf numFmtId="0" fontId="32" fillId="69" borderId="32" xfId="0" applyFont="1" applyFill="1" applyBorder="1" applyAlignment="1">
      <alignment horizontal="center" vertical="center"/>
    </xf>
    <xf numFmtId="0" fontId="32" fillId="75" borderId="32" xfId="0" applyFont="1" applyFill="1" applyBorder="1" applyAlignment="1">
      <alignment horizontal="center" vertical="center"/>
    </xf>
    <xf numFmtId="0" fontId="32" fillId="74" borderId="32" xfId="0" applyFont="1" applyFill="1" applyBorder="1" applyAlignment="1">
      <alignment horizontal="center" vertical="center"/>
    </xf>
    <xf numFmtId="0" fontId="34" fillId="59" borderId="9" xfId="0" applyFont="1" applyFill="1" applyBorder="1" applyAlignment="1">
      <alignment horizontal="center" vertical="center"/>
    </xf>
    <xf numFmtId="0" fontId="34" fillId="59" borderId="1" xfId="0" applyFont="1" applyFill="1" applyBorder="1" applyAlignment="1">
      <alignment horizontal="center" vertical="center"/>
    </xf>
    <xf numFmtId="0" fontId="34" fillId="59" borderId="5" xfId="0" applyFont="1" applyFill="1" applyBorder="1" applyAlignment="1">
      <alignment horizontal="center" vertical="center"/>
    </xf>
    <xf numFmtId="0" fontId="35" fillId="84" borderId="4" xfId="0" applyFont="1" applyFill="1" applyBorder="1" applyAlignment="1">
      <alignment horizontal="center" vertical="center"/>
    </xf>
    <xf numFmtId="0" fontId="35" fillId="84" borderId="1" xfId="0" applyFont="1" applyFill="1" applyBorder="1" applyAlignment="1">
      <alignment horizontal="center" vertical="center"/>
    </xf>
    <xf numFmtId="0" fontId="35" fillId="84" borderId="5" xfId="0" applyFont="1" applyFill="1" applyBorder="1" applyAlignment="1">
      <alignment horizontal="center" vertical="center"/>
    </xf>
    <xf numFmtId="0" fontId="34" fillId="58" borderId="9" xfId="0" applyFont="1" applyFill="1" applyBorder="1" applyAlignment="1">
      <alignment horizontal="center" vertical="center"/>
    </xf>
    <xf numFmtId="0" fontId="34" fillId="58" borderId="1" xfId="0" applyFont="1" applyFill="1" applyBorder="1" applyAlignment="1">
      <alignment horizontal="center" vertical="center"/>
    </xf>
    <xf numFmtId="0" fontId="34" fillId="58" borderId="5" xfId="0" applyFont="1" applyFill="1" applyBorder="1" applyAlignment="1">
      <alignment horizontal="center" vertical="center"/>
    </xf>
    <xf numFmtId="0" fontId="34" fillId="39" borderId="4" xfId="0" applyFont="1" applyFill="1" applyBorder="1" applyAlignment="1">
      <alignment horizontal="center" vertical="center"/>
    </xf>
    <xf numFmtId="0" fontId="34" fillId="39" borderId="1" xfId="0" applyFont="1" applyFill="1" applyBorder="1" applyAlignment="1">
      <alignment horizontal="center" vertical="center"/>
    </xf>
    <xf numFmtId="0" fontId="34" fillId="39" borderId="5" xfId="0" applyFont="1" applyFill="1" applyBorder="1" applyAlignment="1">
      <alignment horizontal="center" vertical="center"/>
    </xf>
    <xf numFmtId="0" fontId="34" fillId="59" borderId="4" xfId="0" applyFont="1" applyFill="1" applyBorder="1" applyAlignment="1">
      <alignment horizontal="center" vertical="center"/>
    </xf>
    <xf numFmtId="0" fontId="34" fillId="59" borderId="39" xfId="0" applyFont="1" applyFill="1" applyBorder="1" applyAlignment="1">
      <alignment horizontal="center" vertical="center"/>
    </xf>
    <xf numFmtId="0" fontId="34" fillId="44" borderId="4" xfId="0" applyFont="1" applyFill="1" applyBorder="1" applyAlignment="1">
      <alignment horizontal="center" vertical="center"/>
    </xf>
    <xf numFmtId="0" fontId="34" fillId="44" borderId="1" xfId="0" applyFont="1" applyFill="1" applyBorder="1" applyAlignment="1">
      <alignment horizontal="center" vertical="center"/>
    </xf>
    <xf numFmtId="0" fontId="34" fillId="44" borderId="5" xfId="0" applyFont="1" applyFill="1" applyBorder="1" applyAlignment="1">
      <alignment horizontal="center" vertical="center"/>
    </xf>
    <xf numFmtId="0" fontId="34" fillId="58" borderId="4" xfId="0" applyFont="1" applyFill="1" applyBorder="1" applyAlignment="1">
      <alignment horizontal="center" vertical="center"/>
    </xf>
    <xf numFmtId="0" fontId="34" fillId="58" borderId="39" xfId="0" applyFont="1" applyFill="1" applyBorder="1" applyAlignment="1">
      <alignment horizontal="center" vertical="center"/>
    </xf>
    <xf numFmtId="0" fontId="34" fillId="56" borderId="9" xfId="0" applyFont="1" applyFill="1" applyBorder="1" applyAlignment="1">
      <alignment horizontal="center" vertical="center"/>
    </xf>
    <xf numFmtId="0" fontId="34" fillId="56" borderId="1" xfId="0" applyFont="1" applyFill="1" applyBorder="1" applyAlignment="1">
      <alignment horizontal="center" vertical="center"/>
    </xf>
    <xf numFmtId="0" fontId="34" fillId="56" borderId="5" xfId="0" applyFont="1" applyFill="1" applyBorder="1" applyAlignment="1">
      <alignment horizontal="center" vertical="center"/>
    </xf>
    <xf numFmtId="0" fontId="34" fillId="43" borderId="4" xfId="0" applyFont="1" applyFill="1" applyBorder="1" applyAlignment="1">
      <alignment horizontal="center" vertical="center"/>
    </xf>
    <xf numFmtId="0" fontId="34" fillId="43" borderId="1" xfId="0" applyFont="1" applyFill="1" applyBorder="1" applyAlignment="1">
      <alignment horizontal="center" vertical="center"/>
    </xf>
    <xf numFmtId="0" fontId="34" fillId="43" borderId="5" xfId="0" applyFont="1" applyFill="1" applyBorder="1" applyAlignment="1">
      <alignment horizontal="center" vertical="center"/>
    </xf>
    <xf numFmtId="0" fontId="34" fillId="57" borderId="4" xfId="0" applyFont="1" applyFill="1" applyBorder="1" applyAlignment="1">
      <alignment horizontal="center" vertical="center"/>
    </xf>
    <xf numFmtId="0" fontId="34" fillId="57" borderId="1" xfId="0" applyFont="1" applyFill="1" applyBorder="1" applyAlignment="1">
      <alignment horizontal="center" vertical="center"/>
    </xf>
    <xf numFmtId="0" fontId="34" fillId="57" borderId="39" xfId="0" applyFont="1" applyFill="1" applyBorder="1" applyAlignment="1">
      <alignment horizontal="center" vertical="center"/>
    </xf>
    <xf numFmtId="0" fontId="34" fillId="57" borderId="9" xfId="0" applyFont="1" applyFill="1" applyBorder="1" applyAlignment="1">
      <alignment horizontal="center" vertical="center"/>
    </xf>
    <xf numFmtId="0" fontId="34" fillId="62" borderId="9" xfId="0" applyFont="1" applyFill="1" applyBorder="1" applyAlignment="1">
      <alignment horizontal="center" vertical="center"/>
    </xf>
    <xf numFmtId="0" fontId="34" fillId="62" borderId="1" xfId="0" applyFont="1" applyFill="1" applyBorder="1" applyAlignment="1">
      <alignment horizontal="center" vertical="center"/>
    </xf>
    <xf numFmtId="0" fontId="34" fillId="62" borderId="5" xfId="0" applyFont="1" applyFill="1" applyBorder="1" applyAlignment="1">
      <alignment horizontal="center" vertical="center"/>
    </xf>
    <xf numFmtId="0" fontId="34" fillId="42" borderId="4" xfId="0" applyFont="1" applyFill="1" applyBorder="1" applyAlignment="1">
      <alignment horizontal="center" vertical="center"/>
    </xf>
    <xf numFmtId="0" fontId="34" fillId="42" borderId="1" xfId="0" applyFont="1" applyFill="1" applyBorder="1" applyAlignment="1">
      <alignment horizontal="center" vertical="center"/>
    </xf>
    <xf numFmtId="0" fontId="34" fillId="42" borderId="5" xfId="0" applyFont="1" applyFill="1" applyBorder="1" applyAlignment="1">
      <alignment horizontal="center" vertical="center"/>
    </xf>
    <xf numFmtId="0" fontId="34" fillId="56" borderId="4" xfId="0" applyFont="1" applyFill="1" applyBorder="1" applyAlignment="1">
      <alignment horizontal="center" vertical="center"/>
    </xf>
    <xf numFmtId="0" fontId="34" fillId="56" borderId="39" xfId="0" applyFont="1" applyFill="1" applyBorder="1" applyAlignment="1">
      <alignment horizontal="center" vertical="center"/>
    </xf>
    <xf numFmtId="0" fontId="4" fillId="40" borderId="3" xfId="0" applyFont="1" applyFill="1" applyBorder="1" applyAlignment="1">
      <alignment horizontal="right" vertical="center"/>
    </xf>
    <xf numFmtId="0" fontId="4" fillId="40" borderId="7" xfId="0" applyFont="1" applyFill="1" applyBorder="1" applyAlignment="1">
      <alignment horizontal="right" vertical="center"/>
    </xf>
    <xf numFmtId="0" fontId="4" fillId="76" borderId="32" xfId="0" applyFont="1" applyFill="1" applyBorder="1" applyAlignment="1">
      <alignment horizontal="center" vertical="center"/>
    </xf>
    <xf numFmtId="0" fontId="34" fillId="61" borderId="9" xfId="0" applyFont="1" applyFill="1" applyBorder="1" applyAlignment="1">
      <alignment horizontal="center" vertical="center"/>
    </xf>
    <xf numFmtId="0" fontId="34" fillId="61" borderId="1" xfId="0" applyFont="1" applyFill="1" applyBorder="1" applyAlignment="1">
      <alignment horizontal="center" vertical="center"/>
    </xf>
    <xf numFmtId="0" fontId="34" fillId="61" borderId="5" xfId="0" applyFont="1" applyFill="1" applyBorder="1" applyAlignment="1">
      <alignment horizontal="center" vertical="center"/>
    </xf>
    <xf numFmtId="0" fontId="34" fillId="38" borderId="4" xfId="0" applyFont="1" applyFill="1" applyBorder="1" applyAlignment="1">
      <alignment horizontal="center" vertical="center"/>
    </xf>
    <xf numFmtId="0" fontId="34" fillId="38" borderId="1" xfId="0" applyFont="1" applyFill="1" applyBorder="1" applyAlignment="1">
      <alignment horizontal="center" vertical="center"/>
    </xf>
    <xf numFmtId="0" fontId="34" fillId="38" borderId="5" xfId="0" applyFont="1" applyFill="1" applyBorder="1" applyAlignment="1">
      <alignment horizontal="center" vertical="center"/>
    </xf>
    <xf numFmtId="0" fontId="34" fillId="62" borderId="4" xfId="0" applyFont="1" applyFill="1" applyBorder="1" applyAlignment="1">
      <alignment horizontal="center" vertical="center"/>
    </xf>
    <xf numFmtId="0" fontId="34" fillId="62" borderId="39" xfId="0" applyFont="1" applyFill="1" applyBorder="1" applyAlignment="1">
      <alignment horizontal="center" vertical="center"/>
    </xf>
    <xf numFmtId="0" fontId="34" fillId="41" borderId="9" xfId="0" applyFont="1" applyFill="1" applyBorder="1" applyAlignment="1">
      <alignment horizontal="center" vertical="center"/>
    </xf>
    <xf numFmtId="0" fontId="34" fillId="41" borderId="1" xfId="0" applyFont="1" applyFill="1" applyBorder="1" applyAlignment="1">
      <alignment horizontal="center" vertical="center"/>
    </xf>
    <xf numFmtId="0" fontId="34" fillId="41" borderId="5" xfId="0" applyFont="1" applyFill="1" applyBorder="1" applyAlignment="1">
      <alignment horizontal="center" vertical="center"/>
    </xf>
    <xf numFmtId="0" fontId="34" fillId="40" borderId="4" xfId="0" applyFont="1" applyFill="1" applyBorder="1" applyAlignment="1">
      <alignment horizontal="center" vertical="center"/>
    </xf>
    <xf numFmtId="0" fontId="34" fillId="40" borderId="1" xfId="0" applyFont="1" applyFill="1" applyBorder="1" applyAlignment="1">
      <alignment horizontal="center" vertical="center"/>
    </xf>
    <xf numFmtId="0" fontId="34" fillId="40" borderId="5" xfId="0" applyFont="1" applyFill="1" applyBorder="1" applyAlignment="1">
      <alignment horizontal="center" vertical="center"/>
    </xf>
    <xf numFmtId="0" fontId="34" fillId="61" borderId="4" xfId="0" applyFont="1" applyFill="1" applyBorder="1" applyAlignment="1">
      <alignment horizontal="center" vertical="center"/>
    </xf>
    <xf numFmtId="0" fontId="34" fillId="61" borderId="39" xfId="0" applyFont="1" applyFill="1" applyBorder="1" applyAlignment="1">
      <alignment horizontal="center" vertical="center"/>
    </xf>
    <xf numFmtId="0" fontId="34" fillId="55" borderId="9" xfId="0" applyFont="1" applyFill="1" applyBorder="1" applyAlignment="1">
      <alignment horizontal="center" vertical="center"/>
    </xf>
    <xf numFmtId="0" fontId="34" fillId="55" borderId="1" xfId="0" applyFont="1" applyFill="1" applyBorder="1" applyAlignment="1">
      <alignment horizontal="center" vertical="center"/>
    </xf>
    <xf numFmtId="0" fontId="34" fillId="55" borderId="5" xfId="0" applyFont="1" applyFill="1" applyBorder="1" applyAlignment="1">
      <alignment horizontal="center" vertical="center"/>
    </xf>
    <xf numFmtId="0" fontId="34" fillId="60" borderId="4" xfId="0" applyFont="1" applyFill="1" applyBorder="1" applyAlignment="1">
      <alignment horizontal="center" vertical="center"/>
    </xf>
    <xf numFmtId="0" fontId="34" fillId="60" borderId="1" xfId="0" applyFont="1" applyFill="1" applyBorder="1" applyAlignment="1">
      <alignment horizontal="center" vertical="center"/>
    </xf>
    <xf numFmtId="0" fontId="34" fillId="60" borderId="5" xfId="0" applyFont="1" applyFill="1" applyBorder="1" applyAlignment="1">
      <alignment horizontal="center" vertical="center"/>
    </xf>
    <xf numFmtId="0" fontId="34" fillId="41" borderId="4" xfId="0" applyFont="1" applyFill="1" applyBorder="1" applyAlignment="1">
      <alignment horizontal="center" vertical="center"/>
    </xf>
    <xf numFmtId="0" fontId="34" fillId="41" borderId="39" xfId="0" applyFont="1" applyFill="1" applyBorder="1" applyAlignment="1">
      <alignment horizontal="center" vertical="center"/>
    </xf>
    <xf numFmtId="0" fontId="29" fillId="70" borderId="4" xfId="0" applyFont="1" applyFill="1" applyBorder="1" applyAlignment="1">
      <alignment horizontal="center" vertical="center" wrapText="1"/>
    </xf>
    <xf numFmtId="0" fontId="29" fillId="70" borderId="1" xfId="0" applyFont="1" applyFill="1" applyBorder="1" applyAlignment="1">
      <alignment horizontal="center" vertical="center" wrapText="1"/>
    </xf>
    <xf numFmtId="0" fontId="29" fillId="70" borderId="3" xfId="0" applyFont="1" applyFill="1" applyBorder="1" applyAlignment="1">
      <alignment horizontal="center" vertical="center" wrapText="1"/>
    </xf>
    <xf numFmtId="0" fontId="29" fillId="70" borderId="0" xfId="0" applyFont="1" applyFill="1" applyBorder="1" applyAlignment="1">
      <alignment horizontal="center" vertical="center" wrapText="1"/>
    </xf>
    <xf numFmtId="0" fontId="29" fillId="70" borderId="7" xfId="0" applyFont="1" applyFill="1" applyBorder="1" applyAlignment="1">
      <alignment horizontal="center" vertical="center" wrapText="1"/>
    </xf>
    <xf numFmtId="0" fontId="29" fillId="70" borderId="2" xfId="0" applyFont="1" applyFill="1" applyBorder="1" applyAlignment="1">
      <alignment horizontal="center" vertical="center" wrapText="1"/>
    </xf>
    <xf numFmtId="0" fontId="4" fillId="71" borderId="23" xfId="0" applyFont="1" applyFill="1" applyBorder="1" applyAlignment="1">
      <alignment horizontal="center" vertical="center"/>
    </xf>
    <xf numFmtId="0" fontId="4" fillId="71" borderId="24" xfId="0" applyFont="1" applyFill="1" applyBorder="1" applyAlignment="1">
      <alignment horizontal="center" vertical="center"/>
    </xf>
    <xf numFmtId="0" fontId="4" fillId="71" borderId="25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34" fillId="67" borderId="1" xfId="0" applyFont="1" applyFill="1" applyBorder="1" applyAlignment="1">
      <alignment horizontal="center" vertical="center"/>
    </xf>
    <xf numFmtId="0" fontId="34" fillId="67" borderId="5" xfId="0" applyFont="1" applyFill="1" applyBorder="1" applyAlignment="1">
      <alignment horizontal="center" vertical="center"/>
    </xf>
    <xf numFmtId="0" fontId="34" fillId="54" borderId="4" xfId="0" applyFont="1" applyFill="1" applyBorder="1" applyAlignment="1">
      <alignment horizontal="center" vertical="center"/>
    </xf>
    <xf numFmtId="0" fontId="34" fillId="54" borderId="1" xfId="0" applyFont="1" applyFill="1" applyBorder="1" applyAlignment="1">
      <alignment horizontal="center" vertical="center"/>
    </xf>
    <xf numFmtId="0" fontId="34" fillId="54" borderId="39" xfId="0" applyFont="1" applyFill="1" applyBorder="1" applyAlignment="1">
      <alignment horizontal="center" vertical="center"/>
    </xf>
    <xf numFmtId="0" fontId="34" fillId="82" borderId="9" xfId="0" applyFont="1" applyFill="1" applyBorder="1" applyAlignment="1">
      <alignment horizontal="center" vertical="center"/>
    </xf>
    <xf numFmtId="0" fontId="34" fillId="82" borderId="1" xfId="0" applyFont="1" applyFill="1" applyBorder="1" applyAlignment="1">
      <alignment horizontal="center" vertical="center"/>
    </xf>
    <xf numFmtId="0" fontId="34" fillId="82" borderId="39" xfId="0" applyFont="1" applyFill="1" applyBorder="1" applyAlignment="1">
      <alignment horizontal="center" vertical="center"/>
    </xf>
    <xf numFmtId="0" fontId="34" fillId="83" borderId="9" xfId="0" applyFont="1" applyFill="1" applyBorder="1" applyAlignment="1">
      <alignment horizontal="center" vertical="center"/>
    </xf>
    <xf numFmtId="0" fontId="34" fillId="83" borderId="1" xfId="0" applyFont="1" applyFill="1" applyBorder="1" applyAlignment="1">
      <alignment horizontal="center" vertical="center"/>
    </xf>
    <xf numFmtId="0" fontId="33" fillId="77" borderId="23" xfId="584" applyFont="1" applyFill="1" applyBorder="1" applyAlignment="1">
      <alignment horizontal="center" vertical="center"/>
    </xf>
    <xf numFmtId="0" fontId="33" fillId="77" borderId="24" xfId="584" applyFont="1" applyFill="1" applyBorder="1" applyAlignment="1">
      <alignment horizontal="center" vertical="center"/>
    </xf>
    <xf numFmtId="0" fontId="33" fillId="77" borderId="25" xfId="584" applyFont="1" applyFill="1" applyBorder="1" applyAlignment="1">
      <alignment horizontal="center" vertical="center"/>
    </xf>
    <xf numFmtId="0" fontId="34" fillId="50" borderId="9" xfId="0" applyFont="1" applyFill="1" applyBorder="1" applyAlignment="1">
      <alignment horizontal="center" vertical="center"/>
    </xf>
    <xf numFmtId="0" fontId="34" fillId="50" borderId="1" xfId="0" applyFont="1" applyFill="1" applyBorder="1" applyAlignment="1">
      <alignment horizontal="center" vertical="center"/>
    </xf>
    <xf numFmtId="0" fontId="34" fillId="50" borderId="5" xfId="0" applyFont="1" applyFill="1" applyBorder="1" applyAlignment="1">
      <alignment horizontal="center" vertical="center"/>
    </xf>
    <xf numFmtId="0" fontId="34" fillId="51" borderId="9" xfId="0" applyFont="1" applyFill="1" applyBorder="1" applyAlignment="1">
      <alignment horizontal="center" vertical="center"/>
    </xf>
    <xf numFmtId="0" fontId="34" fillId="51" borderId="1" xfId="0" applyFont="1" applyFill="1" applyBorder="1" applyAlignment="1">
      <alignment horizontal="center" vertical="center"/>
    </xf>
    <xf numFmtId="0" fontId="34" fillId="51" borderId="39" xfId="0" applyFont="1" applyFill="1" applyBorder="1" applyAlignment="1">
      <alignment horizontal="center" vertical="center"/>
    </xf>
    <xf numFmtId="0" fontId="34" fillId="49" borderId="4" xfId="0" applyFont="1" applyFill="1" applyBorder="1" applyAlignment="1">
      <alignment horizontal="center" vertical="center"/>
    </xf>
    <xf numFmtId="0" fontId="34" fillId="49" borderId="1" xfId="0" applyFont="1" applyFill="1" applyBorder="1" applyAlignment="1">
      <alignment horizontal="center" vertical="center"/>
    </xf>
    <xf numFmtId="0" fontId="34" fillId="49" borderId="39" xfId="0" applyFont="1" applyFill="1" applyBorder="1" applyAlignment="1">
      <alignment horizontal="center" vertical="center"/>
    </xf>
    <xf numFmtId="0" fontId="4" fillId="50" borderId="0" xfId="0" applyFont="1" applyFill="1" applyBorder="1" applyAlignment="1">
      <alignment horizontal="left" vertical="center"/>
    </xf>
    <xf numFmtId="0" fontId="4" fillId="50" borderId="2" xfId="0" applyFont="1" applyFill="1" applyBorder="1" applyAlignment="1">
      <alignment horizontal="left" vertical="center"/>
    </xf>
    <xf numFmtId="0" fontId="4" fillId="52" borderId="3" xfId="0" applyFont="1" applyFill="1" applyBorder="1" applyAlignment="1">
      <alignment horizontal="right" vertical="center"/>
    </xf>
    <xf numFmtId="0" fontId="4" fillId="52" borderId="7" xfId="0" applyFont="1" applyFill="1" applyBorder="1" applyAlignment="1">
      <alignment horizontal="right" vertical="center"/>
    </xf>
    <xf numFmtId="0" fontId="4" fillId="50" borderId="10" xfId="0" applyFont="1" applyFill="1" applyBorder="1" applyAlignment="1">
      <alignment horizontal="right" vertical="center"/>
    </xf>
    <xf numFmtId="0" fontId="4" fillId="50" borderId="11" xfId="0" applyFont="1" applyFill="1" applyBorder="1" applyAlignment="1">
      <alignment horizontal="right" vertical="center"/>
    </xf>
    <xf numFmtId="0" fontId="4" fillId="50" borderId="6" xfId="0" applyFont="1" applyFill="1" applyBorder="1" applyAlignment="1">
      <alignment horizontal="left" vertical="center"/>
    </xf>
    <xf numFmtId="0" fontId="4" fillId="50" borderId="8" xfId="0" applyFont="1" applyFill="1" applyBorder="1" applyAlignment="1">
      <alignment horizontal="left" vertical="center"/>
    </xf>
    <xf numFmtId="11" fontId="4" fillId="69" borderId="0" xfId="0" applyNumberFormat="1" applyFont="1" applyFill="1" applyBorder="1" applyAlignment="1">
      <alignment horizontal="center" vertical="center"/>
    </xf>
    <xf numFmtId="11" fontId="4" fillId="69" borderId="2" xfId="0" applyNumberFormat="1" applyFont="1" applyFill="1" applyBorder="1" applyAlignment="1">
      <alignment horizontal="center" vertical="center"/>
    </xf>
    <xf numFmtId="0" fontId="4" fillId="51" borderId="26" xfId="0" applyFont="1" applyFill="1" applyBorder="1" applyAlignment="1">
      <alignment horizontal="left" vertical="center"/>
    </xf>
    <xf numFmtId="0" fontId="4" fillId="51" borderId="40" xfId="0" applyFont="1" applyFill="1" applyBorder="1" applyAlignment="1">
      <alignment horizontal="left" vertical="center"/>
    </xf>
    <xf numFmtId="0" fontId="4" fillId="51" borderId="10" xfId="0" applyFont="1" applyFill="1" applyBorder="1" applyAlignment="1">
      <alignment horizontal="right" vertical="center"/>
    </xf>
    <xf numFmtId="0" fontId="4" fillId="51" borderId="11" xfId="0" applyFont="1" applyFill="1" applyBorder="1" applyAlignment="1">
      <alignment horizontal="right" vertical="center"/>
    </xf>
    <xf numFmtId="0" fontId="4" fillId="47" borderId="26" xfId="0" applyFont="1" applyFill="1" applyBorder="1" applyAlignment="1">
      <alignment horizontal="left" vertical="center"/>
    </xf>
    <xf numFmtId="0" fontId="4" fillId="47" borderId="40" xfId="0" applyFont="1" applyFill="1" applyBorder="1" applyAlignment="1">
      <alignment horizontal="left" vertical="center"/>
    </xf>
    <xf numFmtId="0" fontId="34" fillId="3" borderId="4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4" fillId="3" borderId="9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4" fillId="47" borderId="6" xfId="0" applyFont="1" applyFill="1" applyBorder="1" applyAlignment="1">
      <alignment horizontal="left" vertical="center"/>
    </xf>
    <xf numFmtId="0" fontId="4" fillId="47" borderId="8" xfId="0" applyFont="1" applyFill="1" applyBorder="1" applyAlignment="1">
      <alignment horizontal="left" vertical="center"/>
    </xf>
    <xf numFmtId="0" fontId="4" fillId="52" borderId="26" xfId="0" applyFont="1" applyFill="1" applyBorder="1" applyAlignment="1">
      <alignment horizontal="left" vertical="center"/>
    </xf>
    <xf numFmtId="0" fontId="4" fillId="52" borderId="40" xfId="0" applyFont="1" applyFill="1" applyBorder="1" applyAlignment="1">
      <alignment horizontal="left" vertical="center"/>
    </xf>
    <xf numFmtId="0" fontId="4" fillId="52" borderId="10" xfId="0" applyFont="1" applyFill="1" applyBorder="1" applyAlignment="1">
      <alignment horizontal="right" vertical="center"/>
    </xf>
    <xf numFmtId="0" fontId="4" fillId="52" borderId="11" xfId="0" applyFont="1" applyFill="1" applyBorder="1" applyAlignment="1">
      <alignment horizontal="right" vertical="center"/>
    </xf>
    <xf numFmtId="0" fontId="4" fillId="52" borderId="0" xfId="0" applyFont="1" applyFill="1" applyBorder="1" applyAlignment="1">
      <alignment horizontal="right" vertical="center"/>
    </xf>
    <xf numFmtId="0" fontId="4" fillId="52" borderId="2" xfId="0" applyFont="1" applyFill="1" applyBorder="1" applyAlignment="1">
      <alignment horizontal="right" vertical="center"/>
    </xf>
    <xf numFmtId="0" fontId="4" fillId="52" borderId="6" xfId="0" applyFont="1" applyFill="1" applyBorder="1" applyAlignment="1">
      <alignment horizontal="left" vertical="center"/>
    </xf>
    <xf numFmtId="0" fontId="4" fillId="52" borderId="8" xfId="0" applyFont="1" applyFill="1" applyBorder="1" applyAlignment="1">
      <alignment horizontal="left" vertical="center"/>
    </xf>
    <xf numFmtId="0" fontId="34" fillId="49" borderId="9" xfId="0" applyFont="1" applyFill="1" applyBorder="1" applyAlignment="1">
      <alignment horizontal="center" vertical="center"/>
    </xf>
    <xf numFmtId="0" fontId="34" fillId="49" borderId="5" xfId="0" applyFont="1" applyFill="1" applyBorder="1" applyAlignment="1">
      <alignment horizontal="center" vertical="center"/>
    </xf>
    <xf numFmtId="11" fontId="4" fillId="52" borderId="0" xfId="0" applyNumberFormat="1" applyFont="1" applyFill="1" applyBorder="1" applyAlignment="1">
      <alignment horizontal="center" vertical="center"/>
    </xf>
    <xf numFmtId="11" fontId="4" fillId="52" borderId="2" xfId="0" applyNumberFormat="1" applyFont="1" applyFill="1" applyBorder="1" applyAlignment="1">
      <alignment horizontal="center" vertical="center"/>
    </xf>
    <xf numFmtId="0" fontId="34" fillId="46" borderId="4" xfId="0" applyFont="1" applyFill="1" applyBorder="1" applyAlignment="1">
      <alignment horizontal="center" vertical="center" wrapText="1"/>
    </xf>
    <xf numFmtId="0" fontId="34" fillId="46" borderId="3" xfId="0" applyFont="1" applyFill="1" applyBorder="1" applyAlignment="1">
      <alignment horizontal="center" vertical="center" wrapText="1"/>
    </xf>
    <xf numFmtId="0" fontId="34" fillId="46" borderId="7" xfId="0" applyFont="1" applyFill="1" applyBorder="1" applyAlignment="1">
      <alignment horizontal="center" vertical="center" wrapText="1"/>
    </xf>
    <xf numFmtId="0" fontId="4" fillId="46" borderId="6" xfId="0" applyFont="1" applyFill="1" applyBorder="1" applyAlignment="1">
      <alignment horizontal="left" vertical="center"/>
    </xf>
    <xf numFmtId="0" fontId="4" fillId="46" borderId="8" xfId="0" applyFont="1" applyFill="1" applyBorder="1" applyAlignment="1">
      <alignment horizontal="left" vertical="center"/>
    </xf>
    <xf numFmtId="11" fontId="4" fillId="46" borderId="45" xfId="0" applyNumberFormat="1" applyFont="1" applyFill="1" applyBorder="1" applyAlignment="1">
      <alignment horizontal="center" vertical="center"/>
    </xf>
    <xf numFmtId="11" fontId="4" fillId="46" borderId="46" xfId="0" applyNumberFormat="1" applyFont="1" applyFill="1" applyBorder="1" applyAlignment="1">
      <alignment horizontal="center" vertical="center"/>
    </xf>
    <xf numFmtId="11" fontId="4" fillId="46" borderId="50" xfId="0" applyNumberFormat="1" applyFont="1" applyFill="1" applyBorder="1" applyAlignment="1">
      <alignment horizontal="center" vertical="center"/>
    </xf>
    <xf numFmtId="11" fontId="4" fillId="46" borderId="44" xfId="0" applyNumberFormat="1" applyFont="1" applyFill="1" applyBorder="1" applyAlignment="1">
      <alignment horizontal="center" vertical="center"/>
    </xf>
    <xf numFmtId="11" fontId="4" fillId="46" borderId="13" xfId="0" applyNumberFormat="1" applyFont="1" applyFill="1" applyBorder="1" applyAlignment="1">
      <alignment horizontal="center" vertical="center"/>
    </xf>
    <xf numFmtId="11" fontId="4" fillId="46" borderId="49" xfId="0" applyNumberFormat="1" applyFont="1" applyFill="1" applyBorder="1" applyAlignment="1">
      <alignment horizontal="center" vertical="center"/>
    </xf>
    <xf numFmtId="11" fontId="4" fillId="46" borderId="43" xfId="0" applyNumberFormat="1" applyFont="1" applyFill="1" applyBorder="1" applyAlignment="1">
      <alignment horizontal="center" vertical="center"/>
    </xf>
    <xf numFmtId="11" fontId="4" fillId="46" borderId="42" xfId="0" applyNumberFormat="1" applyFont="1" applyFill="1" applyBorder="1" applyAlignment="1">
      <alignment horizontal="center" vertical="center"/>
    </xf>
    <xf numFmtId="11" fontId="4" fillId="46" borderId="48" xfId="0" applyNumberFormat="1" applyFont="1" applyFill="1" applyBorder="1" applyAlignment="1">
      <alignment horizontal="center" vertical="center"/>
    </xf>
    <xf numFmtId="0" fontId="4" fillId="85" borderId="0" xfId="0" applyFont="1" applyFill="1" applyAlignment="1">
      <alignment horizontal="center" vertical="center"/>
    </xf>
    <xf numFmtId="0" fontId="34" fillId="57" borderId="5" xfId="0" applyFont="1" applyFill="1" applyBorder="1" applyAlignment="1">
      <alignment horizontal="center" vertical="center"/>
    </xf>
    <xf numFmtId="0" fontId="34" fillId="50" borderId="4" xfId="0" applyFont="1" applyFill="1" applyBorder="1" applyAlignment="1">
      <alignment horizontal="center" vertical="center"/>
    </xf>
    <xf numFmtId="0" fontId="4" fillId="41" borderId="26" xfId="0" applyFont="1" applyFill="1" applyBorder="1" applyAlignment="1">
      <alignment horizontal="left" vertical="center"/>
    </xf>
    <xf numFmtId="0" fontId="4" fillId="41" borderId="40" xfId="0" applyFont="1" applyFill="1" applyBorder="1" applyAlignment="1">
      <alignment horizontal="left" vertical="center"/>
    </xf>
    <xf numFmtId="11" fontId="4" fillId="41" borderId="0" xfId="0" applyNumberFormat="1" applyFont="1" applyFill="1" applyBorder="1" applyAlignment="1">
      <alignment horizontal="center" vertical="center"/>
    </xf>
    <xf numFmtId="11" fontId="4" fillId="41" borderId="2" xfId="0" applyNumberFormat="1" applyFont="1" applyFill="1" applyBorder="1" applyAlignment="1">
      <alignment horizontal="center" vertical="center"/>
    </xf>
    <xf numFmtId="0" fontId="4" fillId="41" borderId="3" xfId="0" applyFont="1" applyFill="1" applyBorder="1" applyAlignment="1">
      <alignment horizontal="right" vertical="center"/>
    </xf>
    <xf numFmtId="0" fontId="4" fillId="41" borderId="7" xfId="0" applyFont="1" applyFill="1" applyBorder="1" applyAlignment="1">
      <alignment horizontal="right" vertical="center"/>
    </xf>
    <xf numFmtId="0" fontId="4" fillId="60" borderId="6" xfId="0" applyFont="1" applyFill="1" applyBorder="1" applyAlignment="1">
      <alignment horizontal="left" vertical="center"/>
    </xf>
    <xf numFmtId="0" fontId="4" fillId="60" borderId="8" xfId="0" applyFont="1" applyFill="1" applyBorder="1" applyAlignment="1">
      <alignment horizontal="left" vertical="center"/>
    </xf>
    <xf numFmtId="11" fontId="4" fillId="60" borderId="0" xfId="0" applyNumberFormat="1" applyFont="1" applyFill="1" applyBorder="1" applyAlignment="1">
      <alignment horizontal="center" vertical="center"/>
    </xf>
    <xf numFmtId="11" fontId="4" fillId="60" borderId="2" xfId="0" applyNumberFormat="1" applyFont="1" applyFill="1" applyBorder="1" applyAlignment="1">
      <alignment horizontal="center" vertical="center"/>
    </xf>
    <xf numFmtId="0" fontId="4" fillId="60" borderId="3" xfId="0" applyFont="1" applyFill="1" applyBorder="1" applyAlignment="1">
      <alignment horizontal="right" vertical="center"/>
    </xf>
    <xf numFmtId="0" fontId="4" fillId="60" borderId="7" xfId="0" applyFont="1" applyFill="1" applyBorder="1" applyAlignment="1">
      <alignment horizontal="right" vertical="center"/>
    </xf>
    <xf numFmtId="0" fontId="4" fillId="41" borderId="6" xfId="0" applyFont="1" applyFill="1" applyBorder="1" applyAlignment="1">
      <alignment horizontal="left" vertical="center"/>
    </xf>
    <xf numFmtId="0" fontId="4" fillId="41" borderId="8" xfId="0" applyFont="1" applyFill="1" applyBorder="1" applyAlignment="1">
      <alignment horizontal="left" vertical="center"/>
    </xf>
    <xf numFmtId="0" fontId="4" fillId="41" borderId="10" xfId="0" applyFont="1" applyFill="1" applyBorder="1" applyAlignment="1">
      <alignment horizontal="right" vertical="center"/>
    </xf>
    <xf numFmtId="0" fontId="4" fillId="41" borderId="11" xfId="0" applyFont="1" applyFill="1" applyBorder="1" applyAlignment="1">
      <alignment horizontal="right" vertical="center"/>
    </xf>
    <xf numFmtId="0" fontId="33" fillId="78" borderId="23" xfId="584" applyFont="1" applyFill="1" applyBorder="1" applyAlignment="1">
      <alignment horizontal="center" vertical="center"/>
    </xf>
    <xf numFmtId="0" fontId="33" fillId="78" borderId="24" xfId="584" applyFont="1" applyFill="1" applyBorder="1" applyAlignment="1">
      <alignment horizontal="center" vertical="center"/>
    </xf>
    <xf numFmtId="0" fontId="33" fillId="78" borderId="25" xfId="584" applyFont="1" applyFill="1" applyBorder="1" applyAlignment="1">
      <alignment horizontal="center" vertical="center"/>
    </xf>
    <xf numFmtId="0" fontId="29" fillId="70" borderId="5" xfId="0" applyFont="1" applyFill="1" applyBorder="1" applyAlignment="1">
      <alignment horizontal="center" vertical="center" wrapText="1"/>
    </xf>
    <xf numFmtId="0" fontId="29" fillId="70" borderId="6" xfId="0" applyFont="1" applyFill="1" applyBorder="1" applyAlignment="1">
      <alignment horizontal="center" vertical="center" wrapText="1"/>
    </xf>
    <xf numFmtId="0" fontId="29" fillId="70" borderId="8" xfId="0" applyFont="1" applyFill="1" applyBorder="1" applyAlignment="1">
      <alignment horizontal="center" vertical="center" wrapText="1"/>
    </xf>
    <xf numFmtId="0" fontId="4" fillId="45" borderId="0" xfId="0" applyNumberFormat="1" applyFont="1" applyFill="1" applyBorder="1" applyAlignment="1">
      <alignment horizontal="center" vertical="center"/>
    </xf>
    <xf numFmtId="0" fontId="4" fillId="50" borderId="26" xfId="0" applyFont="1" applyFill="1" applyBorder="1" applyAlignment="1">
      <alignment horizontal="left" vertical="center"/>
    </xf>
    <xf numFmtId="0" fontId="4" fillId="50" borderId="40" xfId="0" applyFont="1" applyFill="1" applyBorder="1" applyAlignment="1">
      <alignment horizontal="left" vertical="center"/>
    </xf>
    <xf numFmtId="0" fontId="33" fillId="79" borderId="23" xfId="584" applyFont="1" applyFill="1" applyBorder="1" applyAlignment="1">
      <alignment horizontal="center" vertical="center"/>
    </xf>
    <xf numFmtId="0" fontId="33" fillId="79" borderId="24" xfId="584" applyFont="1" applyFill="1" applyBorder="1" applyAlignment="1">
      <alignment horizontal="center" vertical="center"/>
    </xf>
    <xf numFmtId="0" fontId="33" fillId="79" borderId="25" xfId="584" applyFont="1" applyFill="1" applyBorder="1" applyAlignment="1">
      <alignment horizontal="center" vertical="center"/>
    </xf>
    <xf numFmtId="0" fontId="33" fillId="80" borderId="23" xfId="584" applyFont="1" applyFill="1" applyBorder="1" applyAlignment="1">
      <alignment horizontal="center" vertical="center"/>
    </xf>
    <xf numFmtId="0" fontId="33" fillId="80" borderId="24" xfId="584" applyFont="1" applyFill="1" applyBorder="1" applyAlignment="1">
      <alignment horizontal="center" vertical="center"/>
    </xf>
    <xf numFmtId="0" fontId="33" fillId="80" borderId="25" xfId="584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46" borderId="57" xfId="0" applyFont="1" applyFill="1" applyBorder="1" applyAlignment="1">
      <alignment horizontal="center" vertical="center" wrapText="1"/>
    </xf>
    <xf numFmtId="0" fontId="34" fillId="46" borderId="58" xfId="0" applyFont="1" applyFill="1" applyBorder="1" applyAlignment="1">
      <alignment horizontal="center" vertical="center" wrapText="1"/>
    </xf>
    <xf numFmtId="0" fontId="34" fillId="46" borderId="59" xfId="0" applyFont="1" applyFill="1" applyBorder="1" applyAlignment="1">
      <alignment horizontal="center" vertical="center" wrapText="1"/>
    </xf>
    <xf numFmtId="0" fontId="4" fillId="46" borderId="55" xfId="0" applyFont="1" applyFill="1" applyBorder="1" applyAlignment="1">
      <alignment horizontal="left" vertical="center"/>
    </xf>
    <xf numFmtId="0" fontId="4" fillId="46" borderId="56" xfId="0" applyFont="1" applyFill="1" applyBorder="1" applyAlignment="1">
      <alignment horizontal="left" vertical="center"/>
    </xf>
    <xf numFmtId="0" fontId="34" fillId="83" borderId="5" xfId="0" applyFont="1" applyFill="1" applyBorder="1" applyAlignment="1">
      <alignment horizontal="center" vertical="center"/>
    </xf>
    <xf numFmtId="0" fontId="4" fillId="60" borderId="3" xfId="0" applyFont="1" applyFill="1" applyBorder="1" applyAlignment="1">
      <alignment horizontal="center" vertical="center"/>
    </xf>
    <xf numFmtId="0" fontId="4" fillId="60" borderId="7" xfId="0" applyFont="1" applyFill="1" applyBorder="1" applyAlignment="1">
      <alignment horizontal="center" vertical="center"/>
    </xf>
    <xf numFmtId="0" fontId="4" fillId="60" borderId="6" xfId="0" applyFont="1" applyFill="1" applyBorder="1" applyAlignment="1">
      <alignment horizontal="center" vertical="center"/>
    </xf>
    <xf numFmtId="0" fontId="4" fillId="60" borderId="8" xfId="0" applyFont="1" applyFill="1" applyBorder="1" applyAlignment="1">
      <alignment horizontal="center" vertical="center"/>
    </xf>
    <xf numFmtId="0" fontId="34" fillId="67" borderId="4" xfId="0" applyFont="1" applyFill="1" applyBorder="1" applyAlignment="1">
      <alignment horizontal="center" vertical="center"/>
    </xf>
    <xf numFmtId="0" fontId="0" fillId="66" borderId="0" xfId="0" applyFill="1" applyAlignment="1">
      <alignment horizontal="center"/>
    </xf>
    <xf numFmtId="0" fontId="0" fillId="68" borderId="0" xfId="0" applyFill="1" applyAlignment="1">
      <alignment wrapText="1"/>
    </xf>
    <xf numFmtId="0" fontId="0" fillId="68" borderId="0" xfId="0" applyFill="1" applyBorder="1" applyAlignment="1">
      <alignment wrapText="1"/>
    </xf>
  </cellXfs>
  <cellStyles count="1863">
    <cellStyle name="20% - Accent1" xfId="1" builtinId="30" customBuiltin="1"/>
    <cellStyle name="20% - Accent1 10" xfId="951"/>
    <cellStyle name="20% - Accent1 2" xfId="2"/>
    <cellStyle name="20% - Accent1 2 2" xfId="3"/>
    <cellStyle name="20% - Accent1 2 2 2" xfId="4"/>
    <cellStyle name="20% - Accent1 2 2 2 2" xfId="401"/>
    <cellStyle name="20% - Accent1 2 2 2 2 2" xfId="771"/>
    <cellStyle name="20% - Accent1 2 2 2 2 2 2" xfId="1683"/>
    <cellStyle name="20% - Accent1 2 2 2 2 3" xfId="1136"/>
    <cellStyle name="20% - Accent1 2 2 2 3" xfId="218"/>
    <cellStyle name="20% - Accent1 2 2 2 3 2" xfId="1501"/>
    <cellStyle name="20% - Accent1 2 2 2 4" xfId="589"/>
    <cellStyle name="20% - Accent1 2 2 2 4 2" xfId="1319"/>
    <cellStyle name="20% - Accent1 2 2 2 5" xfId="954"/>
    <cellStyle name="20% - Accent1 2 2 3" xfId="400"/>
    <cellStyle name="20% - Accent1 2 2 3 2" xfId="770"/>
    <cellStyle name="20% - Accent1 2 2 3 2 2" xfId="1682"/>
    <cellStyle name="20% - Accent1 2 2 3 3" xfId="1135"/>
    <cellStyle name="20% - Accent1 2 2 4" xfId="217"/>
    <cellStyle name="20% - Accent1 2 2 4 2" xfId="1500"/>
    <cellStyle name="20% - Accent1 2 2 5" xfId="588"/>
    <cellStyle name="20% - Accent1 2 2 5 2" xfId="1318"/>
    <cellStyle name="20% - Accent1 2 2 6" xfId="953"/>
    <cellStyle name="20% - Accent1 2 3" xfId="5"/>
    <cellStyle name="20% - Accent1 2 3 2" xfId="6"/>
    <cellStyle name="20% - Accent1 2 3 2 2" xfId="403"/>
    <cellStyle name="20% - Accent1 2 3 2 2 2" xfId="773"/>
    <cellStyle name="20% - Accent1 2 3 2 2 2 2" xfId="1685"/>
    <cellStyle name="20% - Accent1 2 3 2 2 3" xfId="1138"/>
    <cellStyle name="20% - Accent1 2 3 2 3" xfId="220"/>
    <cellStyle name="20% - Accent1 2 3 2 3 2" xfId="1503"/>
    <cellStyle name="20% - Accent1 2 3 2 4" xfId="591"/>
    <cellStyle name="20% - Accent1 2 3 2 4 2" xfId="1321"/>
    <cellStyle name="20% - Accent1 2 3 2 5" xfId="956"/>
    <cellStyle name="20% - Accent1 2 3 3" xfId="402"/>
    <cellStyle name="20% - Accent1 2 3 3 2" xfId="772"/>
    <cellStyle name="20% - Accent1 2 3 3 2 2" xfId="1684"/>
    <cellStyle name="20% - Accent1 2 3 3 3" xfId="1137"/>
    <cellStyle name="20% - Accent1 2 3 4" xfId="219"/>
    <cellStyle name="20% - Accent1 2 3 4 2" xfId="1502"/>
    <cellStyle name="20% - Accent1 2 3 5" xfId="590"/>
    <cellStyle name="20% - Accent1 2 3 5 2" xfId="1320"/>
    <cellStyle name="20% - Accent1 2 3 6" xfId="955"/>
    <cellStyle name="20% - Accent1 2 4" xfId="7"/>
    <cellStyle name="20% - Accent1 2 4 2" xfId="404"/>
    <cellStyle name="20% - Accent1 2 4 2 2" xfId="774"/>
    <cellStyle name="20% - Accent1 2 4 2 2 2" xfId="1686"/>
    <cellStyle name="20% - Accent1 2 4 2 3" xfId="1139"/>
    <cellStyle name="20% - Accent1 2 4 3" xfId="221"/>
    <cellStyle name="20% - Accent1 2 4 3 2" xfId="1504"/>
    <cellStyle name="20% - Accent1 2 4 4" xfId="592"/>
    <cellStyle name="20% - Accent1 2 4 4 2" xfId="1322"/>
    <cellStyle name="20% - Accent1 2 4 5" xfId="957"/>
    <cellStyle name="20% - Accent1 2 5" xfId="8"/>
    <cellStyle name="20% - Accent1 2 5 2" xfId="405"/>
    <cellStyle name="20% - Accent1 2 5 2 2" xfId="775"/>
    <cellStyle name="20% - Accent1 2 5 2 2 2" xfId="1687"/>
    <cellStyle name="20% - Accent1 2 5 2 3" xfId="1140"/>
    <cellStyle name="20% - Accent1 2 5 3" xfId="222"/>
    <cellStyle name="20% - Accent1 2 5 3 2" xfId="1505"/>
    <cellStyle name="20% - Accent1 2 5 4" xfId="593"/>
    <cellStyle name="20% - Accent1 2 5 4 2" xfId="1323"/>
    <cellStyle name="20% - Accent1 2 5 5" xfId="958"/>
    <cellStyle name="20% - Accent1 2 6" xfId="399"/>
    <cellStyle name="20% - Accent1 2 6 2" xfId="769"/>
    <cellStyle name="20% - Accent1 2 6 2 2" xfId="1681"/>
    <cellStyle name="20% - Accent1 2 6 3" xfId="1134"/>
    <cellStyle name="20% - Accent1 2 7" xfId="216"/>
    <cellStyle name="20% - Accent1 2 7 2" xfId="1499"/>
    <cellStyle name="20% - Accent1 2 8" xfId="587"/>
    <cellStyle name="20% - Accent1 2 8 2" xfId="1317"/>
    <cellStyle name="20% - Accent1 2 9" xfId="952"/>
    <cellStyle name="20% - Accent1 3" xfId="9"/>
    <cellStyle name="20% - Accent1 3 2" xfId="10"/>
    <cellStyle name="20% - Accent1 3 2 2" xfId="407"/>
    <cellStyle name="20% - Accent1 3 2 2 2" xfId="777"/>
    <cellStyle name="20% - Accent1 3 2 2 2 2" xfId="1689"/>
    <cellStyle name="20% - Accent1 3 2 2 3" xfId="1142"/>
    <cellStyle name="20% - Accent1 3 2 3" xfId="224"/>
    <cellStyle name="20% - Accent1 3 2 3 2" xfId="1507"/>
    <cellStyle name="20% - Accent1 3 2 4" xfId="595"/>
    <cellStyle name="20% - Accent1 3 2 4 2" xfId="1325"/>
    <cellStyle name="20% - Accent1 3 2 5" xfId="960"/>
    <cellStyle name="20% - Accent1 3 3" xfId="406"/>
    <cellStyle name="20% - Accent1 3 3 2" xfId="776"/>
    <cellStyle name="20% - Accent1 3 3 2 2" xfId="1688"/>
    <cellStyle name="20% - Accent1 3 3 3" xfId="1141"/>
    <cellStyle name="20% - Accent1 3 4" xfId="223"/>
    <cellStyle name="20% - Accent1 3 4 2" xfId="1506"/>
    <cellStyle name="20% - Accent1 3 5" xfId="594"/>
    <cellStyle name="20% - Accent1 3 5 2" xfId="1324"/>
    <cellStyle name="20% - Accent1 3 6" xfId="959"/>
    <cellStyle name="20% - Accent1 4" xfId="11"/>
    <cellStyle name="20% - Accent1 4 2" xfId="12"/>
    <cellStyle name="20% - Accent1 4 2 2" xfId="409"/>
    <cellStyle name="20% - Accent1 4 2 2 2" xfId="779"/>
    <cellStyle name="20% - Accent1 4 2 2 2 2" xfId="1691"/>
    <cellStyle name="20% - Accent1 4 2 2 3" xfId="1144"/>
    <cellStyle name="20% - Accent1 4 2 3" xfId="226"/>
    <cellStyle name="20% - Accent1 4 2 3 2" xfId="1509"/>
    <cellStyle name="20% - Accent1 4 2 4" xfId="597"/>
    <cellStyle name="20% - Accent1 4 2 4 2" xfId="1327"/>
    <cellStyle name="20% - Accent1 4 2 5" xfId="962"/>
    <cellStyle name="20% - Accent1 4 3" xfId="408"/>
    <cellStyle name="20% - Accent1 4 3 2" xfId="778"/>
    <cellStyle name="20% - Accent1 4 3 2 2" xfId="1690"/>
    <cellStyle name="20% - Accent1 4 3 3" xfId="1143"/>
    <cellStyle name="20% - Accent1 4 4" xfId="225"/>
    <cellStyle name="20% - Accent1 4 4 2" xfId="1508"/>
    <cellStyle name="20% - Accent1 4 5" xfId="596"/>
    <cellStyle name="20% - Accent1 4 5 2" xfId="1326"/>
    <cellStyle name="20% - Accent1 4 6" xfId="961"/>
    <cellStyle name="20% - Accent1 5" xfId="13"/>
    <cellStyle name="20% - Accent1 5 2" xfId="410"/>
    <cellStyle name="20% - Accent1 5 2 2" xfId="780"/>
    <cellStyle name="20% - Accent1 5 2 2 2" xfId="1692"/>
    <cellStyle name="20% - Accent1 5 2 3" xfId="1145"/>
    <cellStyle name="20% - Accent1 5 3" xfId="227"/>
    <cellStyle name="20% - Accent1 5 3 2" xfId="1510"/>
    <cellStyle name="20% - Accent1 5 4" xfId="598"/>
    <cellStyle name="20% - Accent1 5 4 2" xfId="1328"/>
    <cellStyle name="20% - Accent1 5 5" xfId="963"/>
    <cellStyle name="20% - Accent1 6" xfId="14"/>
    <cellStyle name="20% - Accent1 6 2" xfId="411"/>
    <cellStyle name="20% - Accent1 6 2 2" xfId="781"/>
    <cellStyle name="20% - Accent1 6 2 2 2" xfId="1693"/>
    <cellStyle name="20% - Accent1 6 2 3" xfId="1146"/>
    <cellStyle name="20% - Accent1 6 3" xfId="228"/>
    <cellStyle name="20% - Accent1 6 3 2" xfId="1511"/>
    <cellStyle name="20% - Accent1 6 4" xfId="599"/>
    <cellStyle name="20% - Accent1 6 4 2" xfId="1329"/>
    <cellStyle name="20% - Accent1 6 5" xfId="964"/>
    <cellStyle name="20% - Accent1 7" xfId="398"/>
    <cellStyle name="20% - Accent1 7 2" xfId="768"/>
    <cellStyle name="20% - Accent1 7 2 2" xfId="1680"/>
    <cellStyle name="20% - Accent1 7 3" xfId="1133"/>
    <cellStyle name="20% - Accent1 8" xfId="215"/>
    <cellStyle name="20% - Accent1 8 2" xfId="1498"/>
    <cellStyle name="20% - Accent1 9" xfId="586"/>
    <cellStyle name="20% - Accent1 9 2" xfId="1316"/>
    <cellStyle name="20% - Accent2" xfId="15" builtinId="34" customBuiltin="1"/>
    <cellStyle name="20% - Accent2 10" xfId="965"/>
    <cellStyle name="20% - Accent2 2" xfId="16"/>
    <cellStyle name="20% - Accent2 2 2" xfId="17"/>
    <cellStyle name="20% - Accent2 2 2 2" xfId="18"/>
    <cellStyle name="20% - Accent2 2 2 2 2" xfId="415"/>
    <cellStyle name="20% - Accent2 2 2 2 2 2" xfId="785"/>
    <cellStyle name="20% - Accent2 2 2 2 2 2 2" xfId="1697"/>
    <cellStyle name="20% - Accent2 2 2 2 2 3" xfId="1150"/>
    <cellStyle name="20% - Accent2 2 2 2 3" xfId="232"/>
    <cellStyle name="20% - Accent2 2 2 2 3 2" xfId="1515"/>
    <cellStyle name="20% - Accent2 2 2 2 4" xfId="603"/>
    <cellStyle name="20% - Accent2 2 2 2 4 2" xfId="1333"/>
    <cellStyle name="20% - Accent2 2 2 2 5" xfId="968"/>
    <cellStyle name="20% - Accent2 2 2 3" xfId="414"/>
    <cellStyle name="20% - Accent2 2 2 3 2" xfId="784"/>
    <cellStyle name="20% - Accent2 2 2 3 2 2" xfId="1696"/>
    <cellStyle name="20% - Accent2 2 2 3 3" xfId="1149"/>
    <cellStyle name="20% - Accent2 2 2 4" xfId="231"/>
    <cellStyle name="20% - Accent2 2 2 4 2" xfId="1514"/>
    <cellStyle name="20% - Accent2 2 2 5" xfId="602"/>
    <cellStyle name="20% - Accent2 2 2 5 2" xfId="1332"/>
    <cellStyle name="20% - Accent2 2 2 6" xfId="967"/>
    <cellStyle name="20% - Accent2 2 3" xfId="19"/>
    <cellStyle name="20% - Accent2 2 3 2" xfId="20"/>
    <cellStyle name="20% - Accent2 2 3 2 2" xfId="417"/>
    <cellStyle name="20% - Accent2 2 3 2 2 2" xfId="787"/>
    <cellStyle name="20% - Accent2 2 3 2 2 2 2" xfId="1699"/>
    <cellStyle name="20% - Accent2 2 3 2 2 3" xfId="1152"/>
    <cellStyle name="20% - Accent2 2 3 2 3" xfId="234"/>
    <cellStyle name="20% - Accent2 2 3 2 3 2" xfId="1517"/>
    <cellStyle name="20% - Accent2 2 3 2 4" xfId="605"/>
    <cellStyle name="20% - Accent2 2 3 2 4 2" xfId="1335"/>
    <cellStyle name="20% - Accent2 2 3 2 5" xfId="970"/>
    <cellStyle name="20% - Accent2 2 3 3" xfId="416"/>
    <cellStyle name="20% - Accent2 2 3 3 2" xfId="786"/>
    <cellStyle name="20% - Accent2 2 3 3 2 2" xfId="1698"/>
    <cellStyle name="20% - Accent2 2 3 3 3" xfId="1151"/>
    <cellStyle name="20% - Accent2 2 3 4" xfId="233"/>
    <cellStyle name="20% - Accent2 2 3 4 2" xfId="1516"/>
    <cellStyle name="20% - Accent2 2 3 5" xfId="604"/>
    <cellStyle name="20% - Accent2 2 3 5 2" xfId="1334"/>
    <cellStyle name="20% - Accent2 2 3 6" xfId="969"/>
    <cellStyle name="20% - Accent2 2 4" xfId="21"/>
    <cellStyle name="20% - Accent2 2 4 2" xfId="418"/>
    <cellStyle name="20% - Accent2 2 4 2 2" xfId="788"/>
    <cellStyle name="20% - Accent2 2 4 2 2 2" xfId="1700"/>
    <cellStyle name="20% - Accent2 2 4 2 3" xfId="1153"/>
    <cellStyle name="20% - Accent2 2 4 3" xfId="235"/>
    <cellStyle name="20% - Accent2 2 4 3 2" xfId="1518"/>
    <cellStyle name="20% - Accent2 2 4 4" xfId="606"/>
    <cellStyle name="20% - Accent2 2 4 4 2" xfId="1336"/>
    <cellStyle name="20% - Accent2 2 4 5" xfId="971"/>
    <cellStyle name="20% - Accent2 2 5" xfId="22"/>
    <cellStyle name="20% - Accent2 2 5 2" xfId="419"/>
    <cellStyle name="20% - Accent2 2 5 2 2" xfId="789"/>
    <cellStyle name="20% - Accent2 2 5 2 2 2" xfId="1701"/>
    <cellStyle name="20% - Accent2 2 5 2 3" xfId="1154"/>
    <cellStyle name="20% - Accent2 2 5 3" xfId="236"/>
    <cellStyle name="20% - Accent2 2 5 3 2" xfId="1519"/>
    <cellStyle name="20% - Accent2 2 5 4" xfId="607"/>
    <cellStyle name="20% - Accent2 2 5 4 2" xfId="1337"/>
    <cellStyle name="20% - Accent2 2 5 5" xfId="972"/>
    <cellStyle name="20% - Accent2 2 6" xfId="413"/>
    <cellStyle name="20% - Accent2 2 6 2" xfId="783"/>
    <cellStyle name="20% - Accent2 2 6 2 2" xfId="1695"/>
    <cellStyle name="20% - Accent2 2 6 3" xfId="1148"/>
    <cellStyle name="20% - Accent2 2 7" xfId="230"/>
    <cellStyle name="20% - Accent2 2 7 2" xfId="1513"/>
    <cellStyle name="20% - Accent2 2 8" xfId="601"/>
    <cellStyle name="20% - Accent2 2 8 2" xfId="1331"/>
    <cellStyle name="20% - Accent2 2 9" xfId="966"/>
    <cellStyle name="20% - Accent2 3" xfId="23"/>
    <cellStyle name="20% - Accent2 3 2" xfId="24"/>
    <cellStyle name="20% - Accent2 3 2 2" xfId="421"/>
    <cellStyle name="20% - Accent2 3 2 2 2" xfId="791"/>
    <cellStyle name="20% - Accent2 3 2 2 2 2" xfId="1703"/>
    <cellStyle name="20% - Accent2 3 2 2 3" xfId="1156"/>
    <cellStyle name="20% - Accent2 3 2 3" xfId="238"/>
    <cellStyle name="20% - Accent2 3 2 3 2" xfId="1521"/>
    <cellStyle name="20% - Accent2 3 2 4" xfId="609"/>
    <cellStyle name="20% - Accent2 3 2 4 2" xfId="1339"/>
    <cellStyle name="20% - Accent2 3 2 5" xfId="974"/>
    <cellStyle name="20% - Accent2 3 3" xfId="420"/>
    <cellStyle name="20% - Accent2 3 3 2" xfId="790"/>
    <cellStyle name="20% - Accent2 3 3 2 2" xfId="1702"/>
    <cellStyle name="20% - Accent2 3 3 3" xfId="1155"/>
    <cellStyle name="20% - Accent2 3 4" xfId="237"/>
    <cellStyle name="20% - Accent2 3 4 2" xfId="1520"/>
    <cellStyle name="20% - Accent2 3 5" xfId="608"/>
    <cellStyle name="20% - Accent2 3 5 2" xfId="1338"/>
    <cellStyle name="20% - Accent2 3 6" xfId="973"/>
    <cellStyle name="20% - Accent2 4" xfId="25"/>
    <cellStyle name="20% - Accent2 4 2" xfId="26"/>
    <cellStyle name="20% - Accent2 4 2 2" xfId="423"/>
    <cellStyle name="20% - Accent2 4 2 2 2" xfId="793"/>
    <cellStyle name="20% - Accent2 4 2 2 2 2" xfId="1705"/>
    <cellStyle name="20% - Accent2 4 2 2 3" xfId="1158"/>
    <cellStyle name="20% - Accent2 4 2 3" xfId="240"/>
    <cellStyle name="20% - Accent2 4 2 3 2" xfId="1523"/>
    <cellStyle name="20% - Accent2 4 2 4" xfId="611"/>
    <cellStyle name="20% - Accent2 4 2 4 2" xfId="1341"/>
    <cellStyle name="20% - Accent2 4 2 5" xfId="976"/>
    <cellStyle name="20% - Accent2 4 3" xfId="422"/>
    <cellStyle name="20% - Accent2 4 3 2" xfId="792"/>
    <cellStyle name="20% - Accent2 4 3 2 2" xfId="1704"/>
    <cellStyle name="20% - Accent2 4 3 3" xfId="1157"/>
    <cellStyle name="20% - Accent2 4 4" xfId="239"/>
    <cellStyle name="20% - Accent2 4 4 2" xfId="1522"/>
    <cellStyle name="20% - Accent2 4 5" xfId="610"/>
    <cellStyle name="20% - Accent2 4 5 2" xfId="1340"/>
    <cellStyle name="20% - Accent2 4 6" xfId="975"/>
    <cellStyle name="20% - Accent2 5" xfId="27"/>
    <cellStyle name="20% - Accent2 5 2" xfId="424"/>
    <cellStyle name="20% - Accent2 5 2 2" xfId="794"/>
    <cellStyle name="20% - Accent2 5 2 2 2" xfId="1706"/>
    <cellStyle name="20% - Accent2 5 2 3" xfId="1159"/>
    <cellStyle name="20% - Accent2 5 3" xfId="241"/>
    <cellStyle name="20% - Accent2 5 3 2" xfId="1524"/>
    <cellStyle name="20% - Accent2 5 4" xfId="612"/>
    <cellStyle name="20% - Accent2 5 4 2" xfId="1342"/>
    <cellStyle name="20% - Accent2 5 5" xfId="977"/>
    <cellStyle name="20% - Accent2 6" xfId="28"/>
    <cellStyle name="20% - Accent2 6 2" xfId="425"/>
    <cellStyle name="20% - Accent2 6 2 2" xfId="795"/>
    <cellStyle name="20% - Accent2 6 2 2 2" xfId="1707"/>
    <cellStyle name="20% - Accent2 6 2 3" xfId="1160"/>
    <cellStyle name="20% - Accent2 6 3" xfId="242"/>
    <cellStyle name="20% - Accent2 6 3 2" xfId="1525"/>
    <cellStyle name="20% - Accent2 6 4" xfId="613"/>
    <cellStyle name="20% - Accent2 6 4 2" xfId="1343"/>
    <cellStyle name="20% - Accent2 6 5" xfId="978"/>
    <cellStyle name="20% - Accent2 7" xfId="412"/>
    <cellStyle name="20% - Accent2 7 2" xfId="782"/>
    <cellStyle name="20% - Accent2 7 2 2" xfId="1694"/>
    <cellStyle name="20% - Accent2 7 3" xfId="1147"/>
    <cellStyle name="20% - Accent2 8" xfId="229"/>
    <cellStyle name="20% - Accent2 8 2" xfId="1512"/>
    <cellStyle name="20% - Accent2 9" xfId="600"/>
    <cellStyle name="20% - Accent2 9 2" xfId="1330"/>
    <cellStyle name="20% - Accent3" xfId="29" builtinId="38" customBuiltin="1"/>
    <cellStyle name="20% - Accent3 10" xfId="979"/>
    <cellStyle name="20% - Accent3 2" xfId="30"/>
    <cellStyle name="20% - Accent3 2 2" xfId="31"/>
    <cellStyle name="20% - Accent3 2 2 2" xfId="32"/>
    <cellStyle name="20% - Accent3 2 2 2 2" xfId="429"/>
    <cellStyle name="20% - Accent3 2 2 2 2 2" xfId="799"/>
    <cellStyle name="20% - Accent3 2 2 2 2 2 2" xfId="1711"/>
    <cellStyle name="20% - Accent3 2 2 2 2 3" xfId="1164"/>
    <cellStyle name="20% - Accent3 2 2 2 3" xfId="246"/>
    <cellStyle name="20% - Accent3 2 2 2 3 2" xfId="1529"/>
    <cellStyle name="20% - Accent3 2 2 2 4" xfId="617"/>
    <cellStyle name="20% - Accent3 2 2 2 4 2" xfId="1347"/>
    <cellStyle name="20% - Accent3 2 2 2 5" xfId="982"/>
    <cellStyle name="20% - Accent3 2 2 3" xfId="428"/>
    <cellStyle name="20% - Accent3 2 2 3 2" xfId="798"/>
    <cellStyle name="20% - Accent3 2 2 3 2 2" xfId="1710"/>
    <cellStyle name="20% - Accent3 2 2 3 3" xfId="1163"/>
    <cellStyle name="20% - Accent3 2 2 4" xfId="245"/>
    <cellStyle name="20% - Accent3 2 2 4 2" xfId="1528"/>
    <cellStyle name="20% - Accent3 2 2 5" xfId="616"/>
    <cellStyle name="20% - Accent3 2 2 5 2" xfId="1346"/>
    <cellStyle name="20% - Accent3 2 2 6" xfId="981"/>
    <cellStyle name="20% - Accent3 2 3" xfId="33"/>
    <cellStyle name="20% - Accent3 2 3 2" xfId="34"/>
    <cellStyle name="20% - Accent3 2 3 2 2" xfId="431"/>
    <cellStyle name="20% - Accent3 2 3 2 2 2" xfId="801"/>
    <cellStyle name="20% - Accent3 2 3 2 2 2 2" xfId="1713"/>
    <cellStyle name="20% - Accent3 2 3 2 2 3" xfId="1166"/>
    <cellStyle name="20% - Accent3 2 3 2 3" xfId="248"/>
    <cellStyle name="20% - Accent3 2 3 2 3 2" xfId="1531"/>
    <cellStyle name="20% - Accent3 2 3 2 4" xfId="619"/>
    <cellStyle name="20% - Accent3 2 3 2 4 2" xfId="1349"/>
    <cellStyle name="20% - Accent3 2 3 2 5" xfId="984"/>
    <cellStyle name="20% - Accent3 2 3 3" xfId="430"/>
    <cellStyle name="20% - Accent3 2 3 3 2" xfId="800"/>
    <cellStyle name="20% - Accent3 2 3 3 2 2" xfId="1712"/>
    <cellStyle name="20% - Accent3 2 3 3 3" xfId="1165"/>
    <cellStyle name="20% - Accent3 2 3 4" xfId="247"/>
    <cellStyle name="20% - Accent3 2 3 4 2" xfId="1530"/>
    <cellStyle name="20% - Accent3 2 3 5" xfId="618"/>
    <cellStyle name="20% - Accent3 2 3 5 2" xfId="1348"/>
    <cellStyle name="20% - Accent3 2 3 6" xfId="983"/>
    <cellStyle name="20% - Accent3 2 4" xfId="35"/>
    <cellStyle name="20% - Accent3 2 4 2" xfId="432"/>
    <cellStyle name="20% - Accent3 2 4 2 2" xfId="802"/>
    <cellStyle name="20% - Accent3 2 4 2 2 2" xfId="1714"/>
    <cellStyle name="20% - Accent3 2 4 2 3" xfId="1167"/>
    <cellStyle name="20% - Accent3 2 4 3" xfId="249"/>
    <cellStyle name="20% - Accent3 2 4 3 2" xfId="1532"/>
    <cellStyle name="20% - Accent3 2 4 4" xfId="620"/>
    <cellStyle name="20% - Accent3 2 4 4 2" xfId="1350"/>
    <cellStyle name="20% - Accent3 2 4 5" xfId="985"/>
    <cellStyle name="20% - Accent3 2 5" xfId="36"/>
    <cellStyle name="20% - Accent3 2 5 2" xfId="433"/>
    <cellStyle name="20% - Accent3 2 5 2 2" xfId="803"/>
    <cellStyle name="20% - Accent3 2 5 2 2 2" xfId="1715"/>
    <cellStyle name="20% - Accent3 2 5 2 3" xfId="1168"/>
    <cellStyle name="20% - Accent3 2 5 3" xfId="250"/>
    <cellStyle name="20% - Accent3 2 5 3 2" xfId="1533"/>
    <cellStyle name="20% - Accent3 2 5 4" xfId="621"/>
    <cellStyle name="20% - Accent3 2 5 4 2" xfId="1351"/>
    <cellStyle name="20% - Accent3 2 5 5" xfId="986"/>
    <cellStyle name="20% - Accent3 2 6" xfId="427"/>
    <cellStyle name="20% - Accent3 2 6 2" xfId="797"/>
    <cellStyle name="20% - Accent3 2 6 2 2" xfId="1709"/>
    <cellStyle name="20% - Accent3 2 6 3" xfId="1162"/>
    <cellStyle name="20% - Accent3 2 7" xfId="244"/>
    <cellStyle name="20% - Accent3 2 7 2" xfId="1527"/>
    <cellStyle name="20% - Accent3 2 8" xfId="615"/>
    <cellStyle name="20% - Accent3 2 8 2" xfId="1345"/>
    <cellStyle name="20% - Accent3 2 9" xfId="980"/>
    <cellStyle name="20% - Accent3 3" xfId="37"/>
    <cellStyle name="20% - Accent3 3 2" xfId="38"/>
    <cellStyle name="20% - Accent3 3 2 2" xfId="435"/>
    <cellStyle name="20% - Accent3 3 2 2 2" xfId="805"/>
    <cellStyle name="20% - Accent3 3 2 2 2 2" xfId="1717"/>
    <cellStyle name="20% - Accent3 3 2 2 3" xfId="1170"/>
    <cellStyle name="20% - Accent3 3 2 3" xfId="252"/>
    <cellStyle name="20% - Accent3 3 2 3 2" xfId="1535"/>
    <cellStyle name="20% - Accent3 3 2 4" xfId="623"/>
    <cellStyle name="20% - Accent3 3 2 4 2" xfId="1353"/>
    <cellStyle name="20% - Accent3 3 2 5" xfId="988"/>
    <cellStyle name="20% - Accent3 3 3" xfId="434"/>
    <cellStyle name="20% - Accent3 3 3 2" xfId="804"/>
    <cellStyle name="20% - Accent3 3 3 2 2" xfId="1716"/>
    <cellStyle name="20% - Accent3 3 3 3" xfId="1169"/>
    <cellStyle name="20% - Accent3 3 4" xfId="251"/>
    <cellStyle name="20% - Accent3 3 4 2" xfId="1534"/>
    <cellStyle name="20% - Accent3 3 5" xfId="622"/>
    <cellStyle name="20% - Accent3 3 5 2" xfId="1352"/>
    <cellStyle name="20% - Accent3 3 6" xfId="987"/>
    <cellStyle name="20% - Accent3 4" xfId="39"/>
    <cellStyle name="20% - Accent3 4 2" xfId="40"/>
    <cellStyle name="20% - Accent3 4 2 2" xfId="437"/>
    <cellStyle name="20% - Accent3 4 2 2 2" xfId="807"/>
    <cellStyle name="20% - Accent3 4 2 2 2 2" xfId="1719"/>
    <cellStyle name="20% - Accent3 4 2 2 3" xfId="1172"/>
    <cellStyle name="20% - Accent3 4 2 3" xfId="254"/>
    <cellStyle name="20% - Accent3 4 2 3 2" xfId="1537"/>
    <cellStyle name="20% - Accent3 4 2 4" xfId="625"/>
    <cellStyle name="20% - Accent3 4 2 4 2" xfId="1355"/>
    <cellStyle name="20% - Accent3 4 2 5" xfId="990"/>
    <cellStyle name="20% - Accent3 4 3" xfId="436"/>
    <cellStyle name="20% - Accent3 4 3 2" xfId="806"/>
    <cellStyle name="20% - Accent3 4 3 2 2" xfId="1718"/>
    <cellStyle name="20% - Accent3 4 3 3" xfId="1171"/>
    <cellStyle name="20% - Accent3 4 4" xfId="253"/>
    <cellStyle name="20% - Accent3 4 4 2" xfId="1536"/>
    <cellStyle name="20% - Accent3 4 5" xfId="624"/>
    <cellStyle name="20% - Accent3 4 5 2" xfId="1354"/>
    <cellStyle name="20% - Accent3 4 6" xfId="989"/>
    <cellStyle name="20% - Accent3 5" xfId="41"/>
    <cellStyle name="20% - Accent3 5 2" xfId="438"/>
    <cellStyle name="20% - Accent3 5 2 2" xfId="808"/>
    <cellStyle name="20% - Accent3 5 2 2 2" xfId="1720"/>
    <cellStyle name="20% - Accent3 5 2 3" xfId="1173"/>
    <cellStyle name="20% - Accent3 5 3" xfId="255"/>
    <cellStyle name="20% - Accent3 5 3 2" xfId="1538"/>
    <cellStyle name="20% - Accent3 5 4" xfId="626"/>
    <cellStyle name="20% - Accent3 5 4 2" xfId="1356"/>
    <cellStyle name="20% - Accent3 5 5" xfId="991"/>
    <cellStyle name="20% - Accent3 6" xfId="42"/>
    <cellStyle name="20% - Accent3 6 2" xfId="439"/>
    <cellStyle name="20% - Accent3 6 2 2" xfId="809"/>
    <cellStyle name="20% - Accent3 6 2 2 2" xfId="1721"/>
    <cellStyle name="20% - Accent3 6 2 3" xfId="1174"/>
    <cellStyle name="20% - Accent3 6 3" xfId="256"/>
    <cellStyle name="20% - Accent3 6 3 2" xfId="1539"/>
    <cellStyle name="20% - Accent3 6 4" xfId="627"/>
    <cellStyle name="20% - Accent3 6 4 2" xfId="1357"/>
    <cellStyle name="20% - Accent3 6 5" xfId="992"/>
    <cellStyle name="20% - Accent3 7" xfId="426"/>
    <cellStyle name="20% - Accent3 7 2" xfId="796"/>
    <cellStyle name="20% - Accent3 7 2 2" xfId="1708"/>
    <cellStyle name="20% - Accent3 7 3" xfId="1161"/>
    <cellStyle name="20% - Accent3 8" xfId="243"/>
    <cellStyle name="20% - Accent3 8 2" xfId="1526"/>
    <cellStyle name="20% - Accent3 9" xfId="614"/>
    <cellStyle name="20% - Accent3 9 2" xfId="1344"/>
    <cellStyle name="20% - Accent4" xfId="43" builtinId="42" customBuiltin="1"/>
    <cellStyle name="20% - Accent4 10" xfId="993"/>
    <cellStyle name="20% - Accent4 2" xfId="44"/>
    <cellStyle name="20% - Accent4 2 2" xfId="45"/>
    <cellStyle name="20% - Accent4 2 2 2" xfId="46"/>
    <cellStyle name="20% - Accent4 2 2 2 2" xfId="443"/>
    <cellStyle name="20% - Accent4 2 2 2 2 2" xfId="813"/>
    <cellStyle name="20% - Accent4 2 2 2 2 2 2" xfId="1725"/>
    <cellStyle name="20% - Accent4 2 2 2 2 3" xfId="1178"/>
    <cellStyle name="20% - Accent4 2 2 2 3" xfId="260"/>
    <cellStyle name="20% - Accent4 2 2 2 3 2" xfId="1543"/>
    <cellStyle name="20% - Accent4 2 2 2 4" xfId="631"/>
    <cellStyle name="20% - Accent4 2 2 2 4 2" xfId="1361"/>
    <cellStyle name="20% - Accent4 2 2 2 5" xfId="996"/>
    <cellStyle name="20% - Accent4 2 2 3" xfId="442"/>
    <cellStyle name="20% - Accent4 2 2 3 2" xfId="812"/>
    <cellStyle name="20% - Accent4 2 2 3 2 2" xfId="1724"/>
    <cellStyle name="20% - Accent4 2 2 3 3" xfId="1177"/>
    <cellStyle name="20% - Accent4 2 2 4" xfId="259"/>
    <cellStyle name="20% - Accent4 2 2 4 2" xfId="1542"/>
    <cellStyle name="20% - Accent4 2 2 5" xfId="630"/>
    <cellStyle name="20% - Accent4 2 2 5 2" xfId="1360"/>
    <cellStyle name="20% - Accent4 2 2 6" xfId="995"/>
    <cellStyle name="20% - Accent4 2 3" xfId="47"/>
    <cellStyle name="20% - Accent4 2 3 2" xfId="48"/>
    <cellStyle name="20% - Accent4 2 3 2 2" xfId="445"/>
    <cellStyle name="20% - Accent4 2 3 2 2 2" xfId="815"/>
    <cellStyle name="20% - Accent4 2 3 2 2 2 2" xfId="1727"/>
    <cellStyle name="20% - Accent4 2 3 2 2 3" xfId="1180"/>
    <cellStyle name="20% - Accent4 2 3 2 3" xfId="262"/>
    <cellStyle name="20% - Accent4 2 3 2 3 2" xfId="1545"/>
    <cellStyle name="20% - Accent4 2 3 2 4" xfId="633"/>
    <cellStyle name="20% - Accent4 2 3 2 4 2" xfId="1363"/>
    <cellStyle name="20% - Accent4 2 3 2 5" xfId="998"/>
    <cellStyle name="20% - Accent4 2 3 3" xfId="444"/>
    <cellStyle name="20% - Accent4 2 3 3 2" xfId="814"/>
    <cellStyle name="20% - Accent4 2 3 3 2 2" xfId="1726"/>
    <cellStyle name="20% - Accent4 2 3 3 3" xfId="1179"/>
    <cellStyle name="20% - Accent4 2 3 4" xfId="261"/>
    <cellStyle name="20% - Accent4 2 3 4 2" xfId="1544"/>
    <cellStyle name="20% - Accent4 2 3 5" xfId="632"/>
    <cellStyle name="20% - Accent4 2 3 5 2" xfId="1362"/>
    <cellStyle name="20% - Accent4 2 3 6" xfId="997"/>
    <cellStyle name="20% - Accent4 2 4" xfId="49"/>
    <cellStyle name="20% - Accent4 2 4 2" xfId="446"/>
    <cellStyle name="20% - Accent4 2 4 2 2" xfId="816"/>
    <cellStyle name="20% - Accent4 2 4 2 2 2" xfId="1728"/>
    <cellStyle name="20% - Accent4 2 4 2 3" xfId="1181"/>
    <cellStyle name="20% - Accent4 2 4 3" xfId="263"/>
    <cellStyle name="20% - Accent4 2 4 3 2" xfId="1546"/>
    <cellStyle name="20% - Accent4 2 4 4" xfId="634"/>
    <cellStyle name="20% - Accent4 2 4 4 2" xfId="1364"/>
    <cellStyle name="20% - Accent4 2 4 5" xfId="999"/>
    <cellStyle name="20% - Accent4 2 5" xfId="50"/>
    <cellStyle name="20% - Accent4 2 5 2" xfId="447"/>
    <cellStyle name="20% - Accent4 2 5 2 2" xfId="817"/>
    <cellStyle name="20% - Accent4 2 5 2 2 2" xfId="1729"/>
    <cellStyle name="20% - Accent4 2 5 2 3" xfId="1182"/>
    <cellStyle name="20% - Accent4 2 5 3" xfId="264"/>
    <cellStyle name="20% - Accent4 2 5 3 2" xfId="1547"/>
    <cellStyle name="20% - Accent4 2 5 4" xfId="635"/>
    <cellStyle name="20% - Accent4 2 5 4 2" xfId="1365"/>
    <cellStyle name="20% - Accent4 2 5 5" xfId="1000"/>
    <cellStyle name="20% - Accent4 2 6" xfId="441"/>
    <cellStyle name="20% - Accent4 2 6 2" xfId="811"/>
    <cellStyle name="20% - Accent4 2 6 2 2" xfId="1723"/>
    <cellStyle name="20% - Accent4 2 6 3" xfId="1176"/>
    <cellStyle name="20% - Accent4 2 7" xfId="258"/>
    <cellStyle name="20% - Accent4 2 7 2" xfId="1541"/>
    <cellStyle name="20% - Accent4 2 8" xfId="629"/>
    <cellStyle name="20% - Accent4 2 8 2" xfId="1359"/>
    <cellStyle name="20% - Accent4 2 9" xfId="994"/>
    <cellStyle name="20% - Accent4 3" xfId="51"/>
    <cellStyle name="20% - Accent4 3 2" xfId="52"/>
    <cellStyle name="20% - Accent4 3 2 2" xfId="449"/>
    <cellStyle name="20% - Accent4 3 2 2 2" xfId="819"/>
    <cellStyle name="20% - Accent4 3 2 2 2 2" xfId="1731"/>
    <cellStyle name="20% - Accent4 3 2 2 3" xfId="1184"/>
    <cellStyle name="20% - Accent4 3 2 3" xfId="266"/>
    <cellStyle name="20% - Accent4 3 2 3 2" xfId="1549"/>
    <cellStyle name="20% - Accent4 3 2 4" xfId="637"/>
    <cellStyle name="20% - Accent4 3 2 4 2" xfId="1367"/>
    <cellStyle name="20% - Accent4 3 2 5" xfId="1002"/>
    <cellStyle name="20% - Accent4 3 3" xfId="448"/>
    <cellStyle name="20% - Accent4 3 3 2" xfId="818"/>
    <cellStyle name="20% - Accent4 3 3 2 2" xfId="1730"/>
    <cellStyle name="20% - Accent4 3 3 3" xfId="1183"/>
    <cellStyle name="20% - Accent4 3 4" xfId="265"/>
    <cellStyle name="20% - Accent4 3 4 2" xfId="1548"/>
    <cellStyle name="20% - Accent4 3 5" xfId="636"/>
    <cellStyle name="20% - Accent4 3 5 2" xfId="1366"/>
    <cellStyle name="20% - Accent4 3 6" xfId="1001"/>
    <cellStyle name="20% - Accent4 4" xfId="53"/>
    <cellStyle name="20% - Accent4 4 2" xfId="54"/>
    <cellStyle name="20% - Accent4 4 2 2" xfId="451"/>
    <cellStyle name="20% - Accent4 4 2 2 2" xfId="821"/>
    <cellStyle name="20% - Accent4 4 2 2 2 2" xfId="1733"/>
    <cellStyle name="20% - Accent4 4 2 2 3" xfId="1186"/>
    <cellStyle name="20% - Accent4 4 2 3" xfId="268"/>
    <cellStyle name="20% - Accent4 4 2 3 2" xfId="1551"/>
    <cellStyle name="20% - Accent4 4 2 4" xfId="639"/>
    <cellStyle name="20% - Accent4 4 2 4 2" xfId="1369"/>
    <cellStyle name="20% - Accent4 4 2 5" xfId="1004"/>
    <cellStyle name="20% - Accent4 4 3" xfId="450"/>
    <cellStyle name="20% - Accent4 4 3 2" xfId="820"/>
    <cellStyle name="20% - Accent4 4 3 2 2" xfId="1732"/>
    <cellStyle name="20% - Accent4 4 3 3" xfId="1185"/>
    <cellStyle name="20% - Accent4 4 4" xfId="267"/>
    <cellStyle name="20% - Accent4 4 4 2" xfId="1550"/>
    <cellStyle name="20% - Accent4 4 5" xfId="638"/>
    <cellStyle name="20% - Accent4 4 5 2" xfId="1368"/>
    <cellStyle name="20% - Accent4 4 6" xfId="1003"/>
    <cellStyle name="20% - Accent4 5" xfId="55"/>
    <cellStyle name="20% - Accent4 5 2" xfId="452"/>
    <cellStyle name="20% - Accent4 5 2 2" xfId="822"/>
    <cellStyle name="20% - Accent4 5 2 2 2" xfId="1734"/>
    <cellStyle name="20% - Accent4 5 2 3" xfId="1187"/>
    <cellStyle name="20% - Accent4 5 3" xfId="269"/>
    <cellStyle name="20% - Accent4 5 3 2" xfId="1552"/>
    <cellStyle name="20% - Accent4 5 4" xfId="640"/>
    <cellStyle name="20% - Accent4 5 4 2" xfId="1370"/>
    <cellStyle name="20% - Accent4 5 5" xfId="1005"/>
    <cellStyle name="20% - Accent4 6" xfId="56"/>
    <cellStyle name="20% - Accent4 6 2" xfId="453"/>
    <cellStyle name="20% - Accent4 6 2 2" xfId="823"/>
    <cellStyle name="20% - Accent4 6 2 2 2" xfId="1735"/>
    <cellStyle name="20% - Accent4 6 2 3" xfId="1188"/>
    <cellStyle name="20% - Accent4 6 3" xfId="270"/>
    <cellStyle name="20% - Accent4 6 3 2" xfId="1553"/>
    <cellStyle name="20% - Accent4 6 4" xfId="641"/>
    <cellStyle name="20% - Accent4 6 4 2" xfId="1371"/>
    <cellStyle name="20% - Accent4 6 5" xfId="1006"/>
    <cellStyle name="20% - Accent4 7" xfId="440"/>
    <cellStyle name="20% - Accent4 7 2" xfId="810"/>
    <cellStyle name="20% - Accent4 7 2 2" xfId="1722"/>
    <cellStyle name="20% - Accent4 7 3" xfId="1175"/>
    <cellStyle name="20% - Accent4 8" xfId="257"/>
    <cellStyle name="20% - Accent4 8 2" xfId="1540"/>
    <cellStyle name="20% - Accent4 9" xfId="628"/>
    <cellStyle name="20% - Accent4 9 2" xfId="1358"/>
    <cellStyle name="20% - Accent5" xfId="57" builtinId="46" customBuiltin="1"/>
    <cellStyle name="20% - Accent5 10" xfId="1007"/>
    <cellStyle name="20% - Accent5 2" xfId="58"/>
    <cellStyle name="20% - Accent5 2 2" xfId="59"/>
    <cellStyle name="20% - Accent5 2 2 2" xfId="60"/>
    <cellStyle name="20% - Accent5 2 2 2 2" xfId="457"/>
    <cellStyle name="20% - Accent5 2 2 2 2 2" xfId="827"/>
    <cellStyle name="20% - Accent5 2 2 2 2 2 2" xfId="1739"/>
    <cellStyle name="20% - Accent5 2 2 2 2 3" xfId="1192"/>
    <cellStyle name="20% - Accent5 2 2 2 3" xfId="274"/>
    <cellStyle name="20% - Accent5 2 2 2 3 2" xfId="1557"/>
    <cellStyle name="20% - Accent5 2 2 2 4" xfId="645"/>
    <cellStyle name="20% - Accent5 2 2 2 4 2" xfId="1375"/>
    <cellStyle name="20% - Accent5 2 2 2 5" xfId="1010"/>
    <cellStyle name="20% - Accent5 2 2 3" xfId="456"/>
    <cellStyle name="20% - Accent5 2 2 3 2" xfId="826"/>
    <cellStyle name="20% - Accent5 2 2 3 2 2" xfId="1738"/>
    <cellStyle name="20% - Accent5 2 2 3 3" xfId="1191"/>
    <cellStyle name="20% - Accent5 2 2 4" xfId="273"/>
    <cellStyle name="20% - Accent5 2 2 4 2" xfId="1556"/>
    <cellStyle name="20% - Accent5 2 2 5" xfId="644"/>
    <cellStyle name="20% - Accent5 2 2 5 2" xfId="1374"/>
    <cellStyle name="20% - Accent5 2 2 6" xfId="1009"/>
    <cellStyle name="20% - Accent5 2 3" xfId="61"/>
    <cellStyle name="20% - Accent5 2 3 2" xfId="62"/>
    <cellStyle name="20% - Accent5 2 3 2 2" xfId="459"/>
    <cellStyle name="20% - Accent5 2 3 2 2 2" xfId="829"/>
    <cellStyle name="20% - Accent5 2 3 2 2 2 2" xfId="1741"/>
    <cellStyle name="20% - Accent5 2 3 2 2 3" xfId="1194"/>
    <cellStyle name="20% - Accent5 2 3 2 3" xfId="276"/>
    <cellStyle name="20% - Accent5 2 3 2 3 2" xfId="1559"/>
    <cellStyle name="20% - Accent5 2 3 2 4" xfId="647"/>
    <cellStyle name="20% - Accent5 2 3 2 4 2" xfId="1377"/>
    <cellStyle name="20% - Accent5 2 3 2 5" xfId="1012"/>
    <cellStyle name="20% - Accent5 2 3 3" xfId="458"/>
    <cellStyle name="20% - Accent5 2 3 3 2" xfId="828"/>
    <cellStyle name="20% - Accent5 2 3 3 2 2" xfId="1740"/>
    <cellStyle name="20% - Accent5 2 3 3 3" xfId="1193"/>
    <cellStyle name="20% - Accent5 2 3 4" xfId="275"/>
    <cellStyle name="20% - Accent5 2 3 4 2" xfId="1558"/>
    <cellStyle name="20% - Accent5 2 3 5" xfId="646"/>
    <cellStyle name="20% - Accent5 2 3 5 2" xfId="1376"/>
    <cellStyle name="20% - Accent5 2 3 6" xfId="1011"/>
    <cellStyle name="20% - Accent5 2 4" xfId="63"/>
    <cellStyle name="20% - Accent5 2 4 2" xfId="460"/>
    <cellStyle name="20% - Accent5 2 4 2 2" xfId="830"/>
    <cellStyle name="20% - Accent5 2 4 2 2 2" xfId="1742"/>
    <cellStyle name="20% - Accent5 2 4 2 3" xfId="1195"/>
    <cellStyle name="20% - Accent5 2 4 3" xfId="277"/>
    <cellStyle name="20% - Accent5 2 4 3 2" xfId="1560"/>
    <cellStyle name="20% - Accent5 2 4 4" xfId="648"/>
    <cellStyle name="20% - Accent5 2 4 4 2" xfId="1378"/>
    <cellStyle name="20% - Accent5 2 4 5" xfId="1013"/>
    <cellStyle name="20% - Accent5 2 5" xfId="64"/>
    <cellStyle name="20% - Accent5 2 5 2" xfId="461"/>
    <cellStyle name="20% - Accent5 2 5 2 2" xfId="831"/>
    <cellStyle name="20% - Accent5 2 5 2 2 2" xfId="1743"/>
    <cellStyle name="20% - Accent5 2 5 2 3" xfId="1196"/>
    <cellStyle name="20% - Accent5 2 5 3" xfId="278"/>
    <cellStyle name="20% - Accent5 2 5 3 2" xfId="1561"/>
    <cellStyle name="20% - Accent5 2 5 4" xfId="649"/>
    <cellStyle name="20% - Accent5 2 5 4 2" xfId="1379"/>
    <cellStyle name="20% - Accent5 2 5 5" xfId="1014"/>
    <cellStyle name="20% - Accent5 2 6" xfId="455"/>
    <cellStyle name="20% - Accent5 2 6 2" xfId="825"/>
    <cellStyle name="20% - Accent5 2 6 2 2" xfId="1737"/>
    <cellStyle name="20% - Accent5 2 6 3" xfId="1190"/>
    <cellStyle name="20% - Accent5 2 7" xfId="272"/>
    <cellStyle name="20% - Accent5 2 7 2" xfId="1555"/>
    <cellStyle name="20% - Accent5 2 8" xfId="643"/>
    <cellStyle name="20% - Accent5 2 8 2" xfId="1373"/>
    <cellStyle name="20% - Accent5 2 9" xfId="1008"/>
    <cellStyle name="20% - Accent5 3" xfId="65"/>
    <cellStyle name="20% - Accent5 3 2" xfId="66"/>
    <cellStyle name="20% - Accent5 3 2 2" xfId="463"/>
    <cellStyle name="20% - Accent5 3 2 2 2" xfId="833"/>
    <cellStyle name="20% - Accent5 3 2 2 2 2" xfId="1745"/>
    <cellStyle name="20% - Accent5 3 2 2 3" xfId="1198"/>
    <cellStyle name="20% - Accent5 3 2 3" xfId="280"/>
    <cellStyle name="20% - Accent5 3 2 3 2" xfId="1563"/>
    <cellStyle name="20% - Accent5 3 2 4" xfId="651"/>
    <cellStyle name="20% - Accent5 3 2 4 2" xfId="1381"/>
    <cellStyle name="20% - Accent5 3 2 5" xfId="1016"/>
    <cellStyle name="20% - Accent5 3 3" xfId="462"/>
    <cellStyle name="20% - Accent5 3 3 2" xfId="832"/>
    <cellStyle name="20% - Accent5 3 3 2 2" xfId="1744"/>
    <cellStyle name="20% - Accent5 3 3 3" xfId="1197"/>
    <cellStyle name="20% - Accent5 3 4" xfId="279"/>
    <cellStyle name="20% - Accent5 3 4 2" xfId="1562"/>
    <cellStyle name="20% - Accent5 3 5" xfId="650"/>
    <cellStyle name="20% - Accent5 3 5 2" xfId="1380"/>
    <cellStyle name="20% - Accent5 3 6" xfId="1015"/>
    <cellStyle name="20% - Accent5 4" xfId="67"/>
    <cellStyle name="20% - Accent5 4 2" xfId="68"/>
    <cellStyle name="20% - Accent5 4 2 2" xfId="465"/>
    <cellStyle name="20% - Accent5 4 2 2 2" xfId="835"/>
    <cellStyle name="20% - Accent5 4 2 2 2 2" xfId="1747"/>
    <cellStyle name="20% - Accent5 4 2 2 3" xfId="1200"/>
    <cellStyle name="20% - Accent5 4 2 3" xfId="282"/>
    <cellStyle name="20% - Accent5 4 2 3 2" xfId="1565"/>
    <cellStyle name="20% - Accent5 4 2 4" xfId="653"/>
    <cellStyle name="20% - Accent5 4 2 4 2" xfId="1383"/>
    <cellStyle name="20% - Accent5 4 2 5" xfId="1018"/>
    <cellStyle name="20% - Accent5 4 3" xfId="464"/>
    <cellStyle name="20% - Accent5 4 3 2" xfId="834"/>
    <cellStyle name="20% - Accent5 4 3 2 2" xfId="1746"/>
    <cellStyle name="20% - Accent5 4 3 3" xfId="1199"/>
    <cellStyle name="20% - Accent5 4 4" xfId="281"/>
    <cellStyle name="20% - Accent5 4 4 2" xfId="1564"/>
    <cellStyle name="20% - Accent5 4 5" xfId="652"/>
    <cellStyle name="20% - Accent5 4 5 2" xfId="1382"/>
    <cellStyle name="20% - Accent5 4 6" xfId="1017"/>
    <cellStyle name="20% - Accent5 5" xfId="69"/>
    <cellStyle name="20% - Accent5 5 2" xfId="466"/>
    <cellStyle name="20% - Accent5 5 2 2" xfId="836"/>
    <cellStyle name="20% - Accent5 5 2 2 2" xfId="1748"/>
    <cellStyle name="20% - Accent5 5 2 3" xfId="1201"/>
    <cellStyle name="20% - Accent5 5 3" xfId="283"/>
    <cellStyle name="20% - Accent5 5 3 2" xfId="1566"/>
    <cellStyle name="20% - Accent5 5 4" xfId="654"/>
    <cellStyle name="20% - Accent5 5 4 2" xfId="1384"/>
    <cellStyle name="20% - Accent5 5 5" xfId="1019"/>
    <cellStyle name="20% - Accent5 6" xfId="70"/>
    <cellStyle name="20% - Accent5 6 2" xfId="467"/>
    <cellStyle name="20% - Accent5 6 2 2" xfId="837"/>
    <cellStyle name="20% - Accent5 6 2 2 2" xfId="1749"/>
    <cellStyle name="20% - Accent5 6 2 3" xfId="1202"/>
    <cellStyle name="20% - Accent5 6 3" xfId="284"/>
    <cellStyle name="20% - Accent5 6 3 2" xfId="1567"/>
    <cellStyle name="20% - Accent5 6 4" xfId="655"/>
    <cellStyle name="20% - Accent5 6 4 2" xfId="1385"/>
    <cellStyle name="20% - Accent5 6 5" xfId="1020"/>
    <cellStyle name="20% - Accent5 7" xfId="454"/>
    <cellStyle name="20% - Accent5 7 2" xfId="824"/>
    <cellStyle name="20% - Accent5 7 2 2" xfId="1736"/>
    <cellStyle name="20% - Accent5 7 3" xfId="1189"/>
    <cellStyle name="20% - Accent5 8" xfId="271"/>
    <cellStyle name="20% - Accent5 8 2" xfId="1554"/>
    <cellStyle name="20% - Accent5 9" xfId="642"/>
    <cellStyle name="20% - Accent5 9 2" xfId="1372"/>
    <cellStyle name="20% - Accent6" xfId="71" builtinId="50" customBuiltin="1"/>
    <cellStyle name="20% - Accent6 10" xfId="1021"/>
    <cellStyle name="20% - Accent6 2" xfId="72"/>
    <cellStyle name="20% - Accent6 2 2" xfId="73"/>
    <cellStyle name="20% - Accent6 2 2 2" xfId="74"/>
    <cellStyle name="20% - Accent6 2 2 2 2" xfId="471"/>
    <cellStyle name="20% - Accent6 2 2 2 2 2" xfId="841"/>
    <cellStyle name="20% - Accent6 2 2 2 2 2 2" xfId="1753"/>
    <cellStyle name="20% - Accent6 2 2 2 2 3" xfId="1206"/>
    <cellStyle name="20% - Accent6 2 2 2 3" xfId="288"/>
    <cellStyle name="20% - Accent6 2 2 2 3 2" xfId="1571"/>
    <cellStyle name="20% - Accent6 2 2 2 4" xfId="659"/>
    <cellStyle name="20% - Accent6 2 2 2 4 2" xfId="1389"/>
    <cellStyle name="20% - Accent6 2 2 2 5" xfId="1024"/>
    <cellStyle name="20% - Accent6 2 2 3" xfId="470"/>
    <cellStyle name="20% - Accent6 2 2 3 2" xfId="840"/>
    <cellStyle name="20% - Accent6 2 2 3 2 2" xfId="1752"/>
    <cellStyle name="20% - Accent6 2 2 3 3" xfId="1205"/>
    <cellStyle name="20% - Accent6 2 2 4" xfId="287"/>
    <cellStyle name="20% - Accent6 2 2 4 2" xfId="1570"/>
    <cellStyle name="20% - Accent6 2 2 5" xfId="658"/>
    <cellStyle name="20% - Accent6 2 2 5 2" xfId="1388"/>
    <cellStyle name="20% - Accent6 2 2 6" xfId="1023"/>
    <cellStyle name="20% - Accent6 2 3" xfId="75"/>
    <cellStyle name="20% - Accent6 2 3 2" xfId="76"/>
    <cellStyle name="20% - Accent6 2 3 2 2" xfId="473"/>
    <cellStyle name="20% - Accent6 2 3 2 2 2" xfId="843"/>
    <cellStyle name="20% - Accent6 2 3 2 2 2 2" xfId="1755"/>
    <cellStyle name="20% - Accent6 2 3 2 2 3" xfId="1208"/>
    <cellStyle name="20% - Accent6 2 3 2 3" xfId="290"/>
    <cellStyle name="20% - Accent6 2 3 2 3 2" xfId="1573"/>
    <cellStyle name="20% - Accent6 2 3 2 4" xfId="661"/>
    <cellStyle name="20% - Accent6 2 3 2 4 2" xfId="1391"/>
    <cellStyle name="20% - Accent6 2 3 2 5" xfId="1026"/>
    <cellStyle name="20% - Accent6 2 3 3" xfId="472"/>
    <cellStyle name="20% - Accent6 2 3 3 2" xfId="842"/>
    <cellStyle name="20% - Accent6 2 3 3 2 2" xfId="1754"/>
    <cellStyle name="20% - Accent6 2 3 3 3" xfId="1207"/>
    <cellStyle name="20% - Accent6 2 3 4" xfId="289"/>
    <cellStyle name="20% - Accent6 2 3 4 2" xfId="1572"/>
    <cellStyle name="20% - Accent6 2 3 5" xfId="660"/>
    <cellStyle name="20% - Accent6 2 3 5 2" xfId="1390"/>
    <cellStyle name="20% - Accent6 2 3 6" xfId="1025"/>
    <cellStyle name="20% - Accent6 2 4" xfId="77"/>
    <cellStyle name="20% - Accent6 2 4 2" xfId="474"/>
    <cellStyle name="20% - Accent6 2 4 2 2" xfId="844"/>
    <cellStyle name="20% - Accent6 2 4 2 2 2" xfId="1756"/>
    <cellStyle name="20% - Accent6 2 4 2 3" xfId="1209"/>
    <cellStyle name="20% - Accent6 2 4 3" xfId="291"/>
    <cellStyle name="20% - Accent6 2 4 3 2" xfId="1574"/>
    <cellStyle name="20% - Accent6 2 4 4" xfId="662"/>
    <cellStyle name="20% - Accent6 2 4 4 2" xfId="1392"/>
    <cellStyle name="20% - Accent6 2 4 5" xfId="1027"/>
    <cellStyle name="20% - Accent6 2 5" xfId="78"/>
    <cellStyle name="20% - Accent6 2 5 2" xfId="475"/>
    <cellStyle name="20% - Accent6 2 5 2 2" xfId="845"/>
    <cellStyle name="20% - Accent6 2 5 2 2 2" xfId="1757"/>
    <cellStyle name="20% - Accent6 2 5 2 3" xfId="1210"/>
    <cellStyle name="20% - Accent6 2 5 3" xfId="292"/>
    <cellStyle name="20% - Accent6 2 5 3 2" xfId="1575"/>
    <cellStyle name="20% - Accent6 2 5 4" xfId="663"/>
    <cellStyle name="20% - Accent6 2 5 4 2" xfId="1393"/>
    <cellStyle name="20% - Accent6 2 5 5" xfId="1028"/>
    <cellStyle name="20% - Accent6 2 6" xfId="469"/>
    <cellStyle name="20% - Accent6 2 6 2" xfId="839"/>
    <cellStyle name="20% - Accent6 2 6 2 2" xfId="1751"/>
    <cellStyle name="20% - Accent6 2 6 3" xfId="1204"/>
    <cellStyle name="20% - Accent6 2 7" xfId="286"/>
    <cellStyle name="20% - Accent6 2 7 2" xfId="1569"/>
    <cellStyle name="20% - Accent6 2 8" xfId="657"/>
    <cellStyle name="20% - Accent6 2 8 2" xfId="1387"/>
    <cellStyle name="20% - Accent6 2 9" xfId="1022"/>
    <cellStyle name="20% - Accent6 3" xfId="79"/>
    <cellStyle name="20% - Accent6 3 2" xfId="80"/>
    <cellStyle name="20% - Accent6 3 2 2" xfId="477"/>
    <cellStyle name="20% - Accent6 3 2 2 2" xfId="847"/>
    <cellStyle name="20% - Accent6 3 2 2 2 2" xfId="1759"/>
    <cellStyle name="20% - Accent6 3 2 2 3" xfId="1212"/>
    <cellStyle name="20% - Accent6 3 2 3" xfId="294"/>
    <cellStyle name="20% - Accent6 3 2 3 2" xfId="1577"/>
    <cellStyle name="20% - Accent6 3 2 4" xfId="665"/>
    <cellStyle name="20% - Accent6 3 2 4 2" xfId="1395"/>
    <cellStyle name="20% - Accent6 3 2 5" xfId="1030"/>
    <cellStyle name="20% - Accent6 3 3" xfId="476"/>
    <cellStyle name="20% - Accent6 3 3 2" xfId="846"/>
    <cellStyle name="20% - Accent6 3 3 2 2" xfId="1758"/>
    <cellStyle name="20% - Accent6 3 3 3" xfId="1211"/>
    <cellStyle name="20% - Accent6 3 4" xfId="293"/>
    <cellStyle name="20% - Accent6 3 4 2" xfId="1576"/>
    <cellStyle name="20% - Accent6 3 5" xfId="664"/>
    <cellStyle name="20% - Accent6 3 5 2" xfId="1394"/>
    <cellStyle name="20% - Accent6 3 6" xfId="1029"/>
    <cellStyle name="20% - Accent6 4" xfId="81"/>
    <cellStyle name="20% - Accent6 4 2" xfId="82"/>
    <cellStyle name="20% - Accent6 4 2 2" xfId="479"/>
    <cellStyle name="20% - Accent6 4 2 2 2" xfId="849"/>
    <cellStyle name="20% - Accent6 4 2 2 2 2" xfId="1761"/>
    <cellStyle name="20% - Accent6 4 2 2 3" xfId="1214"/>
    <cellStyle name="20% - Accent6 4 2 3" xfId="296"/>
    <cellStyle name="20% - Accent6 4 2 3 2" xfId="1579"/>
    <cellStyle name="20% - Accent6 4 2 4" xfId="667"/>
    <cellStyle name="20% - Accent6 4 2 4 2" xfId="1397"/>
    <cellStyle name="20% - Accent6 4 2 5" xfId="1032"/>
    <cellStyle name="20% - Accent6 4 3" xfId="478"/>
    <cellStyle name="20% - Accent6 4 3 2" xfId="848"/>
    <cellStyle name="20% - Accent6 4 3 2 2" xfId="1760"/>
    <cellStyle name="20% - Accent6 4 3 3" xfId="1213"/>
    <cellStyle name="20% - Accent6 4 4" xfId="295"/>
    <cellStyle name="20% - Accent6 4 4 2" xfId="1578"/>
    <cellStyle name="20% - Accent6 4 5" xfId="666"/>
    <cellStyle name="20% - Accent6 4 5 2" xfId="1396"/>
    <cellStyle name="20% - Accent6 4 6" xfId="1031"/>
    <cellStyle name="20% - Accent6 5" xfId="83"/>
    <cellStyle name="20% - Accent6 5 2" xfId="480"/>
    <cellStyle name="20% - Accent6 5 2 2" xfId="850"/>
    <cellStyle name="20% - Accent6 5 2 2 2" xfId="1762"/>
    <cellStyle name="20% - Accent6 5 2 3" xfId="1215"/>
    <cellStyle name="20% - Accent6 5 3" xfId="297"/>
    <cellStyle name="20% - Accent6 5 3 2" xfId="1580"/>
    <cellStyle name="20% - Accent6 5 4" xfId="668"/>
    <cellStyle name="20% - Accent6 5 4 2" xfId="1398"/>
    <cellStyle name="20% - Accent6 5 5" xfId="1033"/>
    <cellStyle name="20% - Accent6 6" xfId="84"/>
    <cellStyle name="20% - Accent6 6 2" xfId="481"/>
    <cellStyle name="20% - Accent6 6 2 2" xfId="851"/>
    <cellStyle name="20% - Accent6 6 2 2 2" xfId="1763"/>
    <cellStyle name="20% - Accent6 6 2 3" xfId="1216"/>
    <cellStyle name="20% - Accent6 6 3" xfId="298"/>
    <cellStyle name="20% - Accent6 6 3 2" xfId="1581"/>
    <cellStyle name="20% - Accent6 6 4" xfId="669"/>
    <cellStyle name="20% - Accent6 6 4 2" xfId="1399"/>
    <cellStyle name="20% - Accent6 6 5" xfId="1034"/>
    <cellStyle name="20% - Accent6 7" xfId="468"/>
    <cellStyle name="20% - Accent6 7 2" xfId="838"/>
    <cellStyle name="20% - Accent6 7 2 2" xfId="1750"/>
    <cellStyle name="20% - Accent6 7 3" xfId="1203"/>
    <cellStyle name="20% - Accent6 8" xfId="285"/>
    <cellStyle name="20% - Accent6 8 2" xfId="1568"/>
    <cellStyle name="20% - Accent6 9" xfId="656"/>
    <cellStyle name="20% - Accent6 9 2" xfId="1386"/>
    <cellStyle name="40% - Accent1" xfId="85" builtinId="31" customBuiltin="1"/>
    <cellStyle name="40% - Accent1 10" xfId="1035"/>
    <cellStyle name="40% - Accent1 2" xfId="86"/>
    <cellStyle name="40% - Accent1 2 2" xfId="87"/>
    <cellStyle name="40% - Accent1 2 2 2" xfId="88"/>
    <cellStyle name="40% - Accent1 2 2 2 2" xfId="485"/>
    <cellStyle name="40% - Accent1 2 2 2 2 2" xfId="855"/>
    <cellStyle name="40% - Accent1 2 2 2 2 2 2" xfId="1767"/>
    <cellStyle name="40% - Accent1 2 2 2 2 3" xfId="1220"/>
    <cellStyle name="40% - Accent1 2 2 2 3" xfId="302"/>
    <cellStyle name="40% - Accent1 2 2 2 3 2" xfId="1585"/>
    <cellStyle name="40% - Accent1 2 2 2 4" xfId="673"/>
    <cellStyle name="40% - Accent1 2 2 2 4 2" xfId="1403"/>
    <cellStyle name="40% - Accent1 2 2 2 5" xfId="1038"/>
    <cellStyle name="40% - Accent1 2 2 3" xfId="484"/>
    <cellStyle name="40% - Accent1 2 2 3 2" xfId="854"/>
    <cellStyle name="40% - Accent1 2 2 3 2 2" xfId="1766"/>
    <cellStyle name="40% - Accent1 2 2 3 3" xfId="1219"/>
    <cellStyle name="40% - Accent1 2 2 4" xfId="301"/>
    <cellStyle name="40% - Accent1 2 2 4 2" xfId="1584"/>
    <cellStyle name="40% - Accent1 2 2 5" xfId="672"/>
    <cellStyle name="40% - Accent1 2 2 5 2" xfId="1402"/>
    <cellStyle name="40% - Accent1 2 2 6" xfId="1037"/>
    <cellStyle name="40% - Accent1 2 3" xfId="89"/>
    <cellStyle name="40% - Accent1 2 3 2" xfId="90"/>
    <cellStyle name="40% - Accent1 2 3 2 2" xfId="487"/>
    <cellStyle name="40% - Accent1 2 3 2 2 2" xfId="857"/>
    <cellStyle name="40% - Accent1 2 3 2 2 2 2" xfId="1769"/>
    <cellStyle name="40% - Accent1 2 3 2 2 3" xfId="1222"/>
    <cellStyle name="40% - Accent1 2 3 2 3" xfId="304"/>
    <cellStyle name="40% - Accent1 2 3 2 3 2" xfId="1587"/>
    <cellStyle name="40% - Accent1 2 3 2 4" xfId="675"/>
    <cellStyle name="40% - Accent1 2 3 2 4 2" xfId="1405"/>
    <cellStyle name="40% - Accent1 2 3 2 5" xfId="1040"/>
    <cellStyle name="40% - Accent1 2 3 3" xfId="486"/>
    <cellStyle name="40% - Accent1 2 3 3 2" xfId="856"/>
    <cellStyle name="40% - Accent1 2 3 3 2 2" xfId="1768"/>
    <cellStyle name="40% - Accent1 2 3 3 3" xfId="1221"/>
    <cellStyle name="40% - Accent1 2 3 4" xfId="303"/>
    <cellStyle name="40% - Accent1 2 3 4 2" xfId="1586"/>
    <cellStyle name="40% - Accent1 2 3 5" xfId="674"/>
    <cellStyle name="40% - Accent1 2 3 5 2" xfId="1404"/>
    <cellStyle name="40% - Accent1 2 3 6" xfId="1039"/>
    <cellStyle name="40% - Accent1 2 4" xfId="91"/>
    <cellStyle name="40% - Accent1 2 4 2" xfId="488"/>
    <cellStyle name="40% - Accent1 2 4 2 2" xfId="858"/>
    <cellStyle name="40% - Accent1 2 4 2 2 2" xfId="1770"/>
    <cellStyle name="40% - Accent1 2 4 2 3" xfId="1223"/>
    <cellStyle name="40% - Accent1 2 4 3" xfId="305"/>
    <cellStyle name="40% - Accent1 2 4 3 2" xfId="1588"/>
    <cellStyle name="40% - Accent1 2 4 4" xfId="676"/>
    <cellStyle name="40% - Accent1 2 4 4 2" xfId="1406"/>
    <cellStyle name="40% - Accent1 2 4 5" xfId="1041"/>
    <cellStyle name="40% - Accent1 2 5" xfId="92"/>
    <cellStyle name="40% - Accent1 2 5 2" xfId="489"/>
    <cellStyle name="40% - Accent1 2 5 2 2" xfId="859"/>
    <cellStyle name="40% - Accent1 2 5 2 2 2" xfId="1771"/>
    <cellStyle name="40% - Accent1 2 5 2 3" xfId="1224"/>
    <cellStyle name="40% - Accent1 2 5 3" xfId="306"/>
    <cellStyle name="40% - Accent1 2 5 3 2" xfId="1589"/>
    <cellStyle name="40% - Accent1 2 5 4" xfId="677"/>
    <cellStyle name="40% - Accent1 2 5 4 2" xfId="1407"/>
    <cellStyle name="40% - Accent1 2 5 5" xfId="1042"/>
    <cellStyle name="40% - Accent1 2 6" xfId="483"/>
    <cellStyle name="40% - Accent1 2 6 2" xfId="853"/>
    <cellStyle name="40% - Accent1 2 6 2 2" xfId="1765"/>
    <cellStyle name="40% - Accent1 2 6 3" xfId="1218"/>
    <cellStyle name="40% - Accent1 2 7" xfId="300"/>
    <cellStyle name="40% - Accent1 2 7 2" xfId="1583"/>
    <cellStyle name="40% - Accent1 2 8" xfId="671"/>
    <cellStyle name="40% - Accent1 2 8 2" xfId="1401"/>
    <cellStyle name="40% - Accent1 2 9" xfId="1036"/>
    <cellStyle name="40% - Accent1 3" xfId="93"/>
    <cellStyle name="40% - Accent1 3 2" xfId="94"/>
    <cellStyle name="40% - Accent1 3 2 2" xfId="491"/>
    <cellStyle name="40% - Accent1 3 2 2 2" xfId="861"/>
    <cellStyle name="40% - Accent1 3 2 2 2 2" xfId="1773"/>
    <cellStyle name="40% - Accent1 3 2 2 3" xfId="1226"/>
    <cellStyle name="40% - Accent1 3 2 3" xfId="308"/>
    <cellStyle name="40% - Accent1 3 2 3 2" xfId="1591"/>
    <cellStyle name="40% - Accent1 3 2 4" xfId="679"/>
    <cellStyle name="40% - Accent1 3 2 4 2" xfId="1409"/>
    <cellStyle name="40% - Accent1 3 2 5" xfId="1044"/>
    <cellStyle name="40% - Accent1 3 3" xfId="490"/>
    <cellStyle name="40% - Accent1 3 3 2" xfId="860"/>
    <cellStyle name="40% - Accent1 3 3 2 2" xfId="1772"/>
    <cellStyle name="40% - Accent1 3 3 3" xfId="1225"/>
    <cellStyle name="40% - Accent1 3 4" xfId="307"/>
    <cellStyle name="40% - Accent1 3 4 2" xfId="1590"/>
    <cellStyle name="40% - Accent1 3 5" xfId="678"/>
    <cellStyle name="40% - Accent1 3 5 2" xfId="1408"/>
    <cellStyle name="40% - Accent1 3 6" xfId="1043"/>
    <cellStyle name="40% - Accent1 4" xfId="95"/>
    <cellStyle name="40% - Accent1 4 2" xfId="96"/>
    <cellStyle name="40% - Accent1 4 2 2" xfId="493"/>
    <cellStyle name="40% - Accent1 4 2 2 2" xfId="863"/>
    <cellStyle name="40% - Accent1 4 2 2 2 2" xfId="1775"/>
    <cellStyle name="40% - Accent1 4 2 2 3" xfId="1228"/>
    <cellStyle name="40% - Accent1 4 2 3" xfId="310"/>
    <cellStyle name="40% - Accent1 4 2 3 2" xfId="1593"/>
    <cellStyle name="40% - Accent1 4 2 4" xfId="681"/>
    <cellStyle name="40% - Accent1 4 2 4 2" xfId="1411"/>
    <cellStyle name="40% - Accent1 4 2 5" xfId="1046"/>
    <cellStyle name="40% - Accent1 4 3" xfId="492"/>
    <cellStyle name="40% - Accent1 4 3 2" xfId="862"/>
    <cellStyle name="40% - Accent1 4 3 2 2" xfId="1774"/>
    <cellStyle name="40% - Accent1 4 3 3" xfId="1227"/>
    <cellStyle name="40% - Accent1 4 4" xfId="309"/>
    <cellStyle name="40% - Accent1 4 4 2" xfId="1592"/>
    <cellStyle name="40% - Accent1 4 5" xfId="680"/>
    <cellStyle name="40% - Accent1 4 5 2" xfId="1410"/>
    <cellStyle name="40% - Accent1 4 6" xfId="1045"/>
    <cellStyle name="40% - Accent1 5" xfId="97"/>
    <cellStyle name="40% - Accent1 5 2" xfId="494"/>
    <cellStyle name="40% - Accent1 5 2 2" xfId="864"/>
    <cellStyle name="40% - Accent1 5 2 2 2" xfId="1776"/>
    <cellStyle name="40% - Accent1 5 2 3" xfId="1229"/>
    <cellStyle name="40% - Accent1 5 3" xfId="311"/>
    <cellStyle name="40% - Accent1 5 3 2" xfId="1594"/>
    <cellStyle name="40% - Accent1 5 4" xfId="682"/>
    <cellStyle name="40% - Accent1 5 4 2" xfId="1412"/>
    <cellStyle name="40% - Accent1 5 5" xfId="1047"/>
    <cellStyle name="40% - Accent1 6" xfId="98"/>
    <cellStyle name="40% - Accent1 6 2" xfId="495"/>
    <cellStyle name="40% - Accent1 6 2 2" xfId="865"/>
    <cellStyle name="40% - Accent1 6 2 2 2" xfId="1777"/>
    <cellStyle name="40% - Accent1 6 2 3" xfId="1230"/>
    <cellStyle name="40% - Accent1 6 3" xfId="312"/>
    <cellStyle name="40% - Accent1 6 3 2" xfId="1595"/>
    <cellStyle name="40% - Accent1 6 4" xfId="683"/>
    <cellStyle name="40% - Accent1 6 4 2" xfId="1413"/>
    <cellStyle name="40% - Accent1 6 5" xfId="1048"/>
    <cellStyle name="40% - Accent1 7" xfId="482"/>
    <cellStyle name="40% - Accent1 7 2" xfId="852"/>
    <cellStyle name="40% - Accent1 7 2 2" xfId="1764"/>
    <cellStyle name="40% - Accent1 7 3" xfId="1217"/>
    <cellStyle name="40% - Accent1 8" xfId="299"/>
    <cellStyle name="40% - Accent1 8 2" xfId="1582"/>
    <cellStyle name="40% - Accent1 9" xfId="670"/>
    <cellStyle name="40% - Accent1 9 2" xfId="1400"/>
    <cellStyle name="40% - Accent2" xfId="99" builtinId="35" customBuiltin="1"/>
    <cellStyle name="40% - Accent2 10" xfId="1049"/>
    <cellStyle name="40% - Accent2 2" xfId="100"/>
    <cellStyle name="40% - Accent2 2 2" xfId="101"/>
    <cellStyle name="40% - Accent2 2 2 2" xfId="102"/>
    <cellStyle name="40% - Accent2 2 2 2 2" xfId="499"/>
    <cellStyle name="40% - Accent2 2 2 2 2 2" xfId="869"/>
    <cellStyle name="40% - Accent2 2 2 2 2 2 2" xfId="1781"/>
    <cellStyle name="40% - Accent2 2 2 2 2 3" xfId="1234"/>
    <cellStyle name="40% - Accent2 2 2 2 3" xfId="316"/>
    <cellStyle name="40% - Accent2 2 2 2 3 2" xfId="1599"/>
    <cellStyle name="40% - Accent2 2 2 2 4" xfId="687"/>
    <cellStyle name="40% - Accent2 2 2 2 4 2" xfId="1417"/>
    <cellStyle name="40% - Accent2 2 2 2 5" xfId="1052"/>
    <cellStyle name="40% - Accent2 2 2 3" xfId="498"/>
    <cellStyle name="40% - Accent2 2 2 3 2" xfId="868"/>
    <cellStyle name="40% - Accent2 2 2 3 2 2" xfId="1780"/>
    <cellStyle name="40% - Accent2 2 2 3 3" xfId="1233"/>
    <cellStyle name="40% - Accent2 2 2 4" xfId="315"/>
    <cellStyle name="40% - Accent2 2 2 4 2" xfId="1598"/>
    <cellStyle name="40% - Accent2 2 2 5" xfId="686"/>
    <cellStyle name="40% - Accent2 2 2 5 2" xfId="1416"/>
    <cellStyle name="40% - Accent2 2 2 6" xfId="1051"/>
    <cellStyle name="40% - Accent2 2 3" xfId="103"/>
    <cellStyle name="40% - Accent2 2 3 2" xfId="104"/>
    <cellStyle name="40% - Accent2 2 3 2 2" xfId="501"/>
    <cellStyle name="40% - Accent2 2 3 2 2 2" xfId="871"/>
    <cellStyle name="40% - Accent2 2 3 2 2 2 2" xfId="1783"/>
    <cellStyle name="40% - Accent2 2 3 2 2 3" xfId="1236"/>
    <cellStyle name="40% - Accent2 2 3 2 3" xfId="318"/>
    <cellStyle name="40% - Accent2 2 3 2 3 2" xfId="1601"/>
    <cellStyle name="40% - Accent2 2 3 2 4" xfId="689"/>
    <cellStyle name="40% - Accent2 2 3 2 4 2" xfId="1419"/>
    <cellStyle name="40% - Accent2 2 3 2 5" xfId="1054"/>
    <cellStyle name="40% - Accent2 2 3 3" xfId="500"/>
    <cellStyle name="40% - Accent2 2 3 3 2" xfId="870"/>
    <cellStyle name="40% - Accent2 2 3 3 2 2" xfId="1782"/>
    <cellStyle name="40% - Accent2 2 3 3 3" xfId="1235"/>
    <cellStyle name="40% - Accent2 2 3 4" xfId="317"/>
    <cellStyle name="40% - Accent2 2 3 4 2" xfId="1600"/>
    <cellStyle name="40% - Accent2 2 3 5" xfId="688"/>
    <cellStyle name="40% - Accent2 2 3 5 2" xfId="1418"/>
    <cellStyle name="40% - Accent2 2 3 6" xfId="1053"/>
    <cellStyle name="40% - Accent2 2 4" xfId="105"/>
    <cellStyle name="40% - Accent2 2 4 2" xfId="502"/>
    <cellStyle name="40% - Accent2 2 4 2 2" xfId="872"/>
    <cellStyle name="40% - Accent2 2 4 2 2 2" xfId="1784"/>
    <cellStyle name="40% - Accent2 2 4 2 3" xfId="1237"/>
    <cellStyle name="40% - Accent2 2 4 3" xfId="319"/>
    <cellStyle name="40% - Accent2 2 4 3 2" xfId="1602"/>
    <cellStyle name="40% - Accent2 2 4 4" xfId="690"/>
    <cellStyle name="40% - Accent2 2 4 4 2" xfId="1420"/>
    <cellStyle name="40% - Accent2 2 4 5" xfId="1055"/>
    <cellStyle name="40% - Accent2 2 5" xfId="106"/>
    <cellStyle name="40% - Accent2 2 5 2" xfId="503"/>
    <cellStyle name="40% - Accent2 2 5 2 2" xfId="873"/>
    <cellStyle name="40% - Accent2 2 5 2 2 2" xfId="1785"/>
    <cellStyle name="40% - Accent2 2 5 2 3" xfId="1238"/>
    <cellStyle name="40% - Accent2 2 5 3" xfId="320"/>
    <cellStyle name="40% - Accent2 2 5 3 2" xfId="1603"/>
    <cellStyle name="40% - Accent2 2 5 4" xfId="691"/>
    <cellStyle name="40% - Accent2 2 5 4 2" xfId="1421"/>
    <cellStyle name="40% - Accent2 2 5 5" xfId="1056"/>
    <cellStyle name="40% - Accent2 2 6" xfId="497"/>
    <cellStyle name="40% - Accent2 2 6 2" xfId="867"/>
    <cellStyle name="40% - Accent2 2 6 2 2" xfId="1779"/>
    <cellStyle name="40% - Accent2 2 6 3" xfId="1232"/>
    <cellStyle name="40% - Accent2 2 7" xfId="314"/>
    <cellStyle name="40% - Accent2 2 7 2" xfId="1597"/>
    <cellStyle name="40% - Accent2 2 8" xfId="685"/>
    <cellStyle name="40% - Accent2 2 8 2" xfId="1415"/>
    <cellStyle name="40% - Accent2 2 9" xfId="1050"/>
    <cellStyle name="40% - Accent2 3" xfId="107"/>
    <cellStyle name="40% - Accent2 3 2" xfId="108"/>
    <cellStyle name="40% - Accent2 3 2 2" xfId="505"/>
    <cellStyle name="40% - Accent2 3 2 2 2" xfId="875"/>
    <cellStyle name="40% - Accent2 3 2 2 2 2" xfId="1787"/>
    <cellStyle name="40% - Accent2 3 2 2 3" xfId="1240"/>
    <cellStyle name="40% - Accent2 3 2 3" xfId="322"/>
    <cellStyle name="40% - Accent2 3 2 3 2" xfId="1605"/>
    <cellStyle name="40% - Accent2 3 2 4" xfId="693"/>
    <cellStyle name="40% - Accent2 3 2 4 2" xfId="1423"/>
    <cellStyle name="40% - Accent2 3 2 5" xfId="1058"/>
    <cellStyle name="40% - Accent2 3 3" xfId="504"/>
    <cellStyle name="40% - Accent2 3 3 2" xfId="874"/>
    <cellStyle name="40% - Accent2 3 3 2 2" xfId="1786"/>
    <cellStyle name="40% - Accent2 3 3 3" xfId="1239"/>
    <cellStyle name="40% - Accent2 3 4" xfId="321"/>
    <cellStyle name="40% - Accent2 3 4 2" xfId="1604"/>
    <cellStyle name="40% - Accent2 3 5" xfId="692"/>
    <cellStyle name="40% - Accent2 3 5 2" xfId="1422"/>
    <cellStyle name="40% - Accent2 3 6" xfId="1057"/>
    <cellStyle name="40% - Accent2 4" xfId="109"/>
    <cellStyle name="40% - Accent2 4 2" xfId="110"/>
    <cellStyle name="40% - Accent2 4 2 2" xfId="507"/>
    <cellStyle name="40% - Accent2 4 2 2 2" xfId="877"/>
    <cellStyle name="40% - Accent2 4 2 2 2 2" xfId="1789"/>
    <cellStyle name="40% - Accent2 4 2 2 3" xfId="1242"/>
    <cellStyle name="40% - Accent2 4 2 3" xfId="324"/>
    <cellStyle name="40% - Accent2 4 2 3 2" xfId="1607"/>
    <cellStyle name="40% - Accent2 4 2 4" xfId="695"/>
    <cellStyle name="40% - Accent2 4 2 4 2" xfId="1425"/>
    <cellStyle name="40% - Accent2 4 2 5" xfId="1060"/>
    <cellStyle name="40% - Accent2 4 3" xfId="506"/>
    <cellStyle name="40% - Accent2 4 3 2" xfId="876"/>
    <cellStyle name="40% - Accent2 4 3 2 2" xfId="1788"/>
    <cellStyle name="40% - Accent2 4 3 3" xfId="1241"/>
    <cellStyle name="40% - Accent2 4 4" xfId="323"/>
    <cellStyle name="40% - Accent2 4 4 2" xfId="1606"/>
    <cellStyle name="40% - Accent2 4 5" xfId="694"/>
    <cellStyle name="40% - Accent2 4 5 2" xfId="1424"/>
    <cellStyle name="40% - Accent2 4 6" xfId="1059"/>
    <cellStyle name="40% - Accent2 5" xfId="111"/>
    <cellStyle name="40% - Accent2 5 2" xfId="508"/>
    <cellStyle name="40% - Accent2 5 2 2" xfId="878"/>
    <cellStyle name="40% - Accent2 5 2 2 2" xfId="1790"/>
    <cellStyle name="40% - Accent2 5 2 3" xfId="1243"/>
    <cellStyle name="40% - Accent2 5 3" xfId="325"/>
    <cellStyle name="40% - Accent2 5 3 2" xfId="1608"/>
    <cellStyle name="40% - Accent2 5 4" xfId="696"/>
    <cellStyle name="40% - Accent2 5 4 2" xfId="1426"/>
    <cellStyle name="40% - Accent2 5 5" xfId="1061"/>
    <cellStyle name="40% - Accent2 6" xfId="112"/>
    <cellStyle name="40% - Accent2 6 2" xfId="509"/>
    <cellStyle name="40% - Accent2 6 2 2" xfId="879"/>
    <cellStyle name="40% - Accent2 6 2 2 2" xfId="1791"/>
    <cellStyle name="40% - Accent2 6 2 3" xfId="1244"/>
    <cellStyle name="40% - Accent2 6 3" xfId="326"/>
    <cellStyle name="40% - Accent2 6 3 2" xfId="1609"/>
    <cellStyle name="40% - Accent2 6 4" xfId="697"/>
    <cellStyle name="40% - Accent2 6 4 2" xfId="1427"/>
    <cellStyle name="40% - Accent2 6 5" xfId="1062"/>
    <cellStyle name="40% - Accent2 7" xfId="496"/>
    <cellStyle name="40% - Accent2 7 2" xfId="866"/>
    <cellStyle name="40% - Accent2 7 2 2" xfId="1778"/>
    <cellStyle name="40% - Accent2 7 3" xfId="1231"/>
    <cellStyle name="40% - Accent2 8" xfId="313"/>
    <cellStyle name="40% - Accent2 8 2" xfId="1596"/>
    <cellStyle name="40% - Accent2 9" xfId="684"/>
    <cellStyle name="40% - Accent2 9 2" xfId="1414"/>
    <cellStyle name="40% - Accent3" xfId="113" builtinId="39" customBuiltin="1"/>
    <cellStyle name="40% - Accent3 10" xfId="1063"/>
    <cellStyle name="40% - Accent3 2" xfId="114"/>
    <cellStyle name="40% - Accent3 2 2" xfId="115"/>
    <cellStyle name="40% - Accent3 2 2 2" xfId="116"/>
    <cellStyle name="40% - Accent3 2 2 2 2" xfId="513"/>
    <cellStyle name="40% - Accent3 2 2 2 2 2" xfId="883"/>
    <cellStyle name="40% - Accent3 2 2 2 2 2 2" xfId="1795"/>
    <cellStyle name="40% - Accent3 2 2 2 2 3" xfId="1248"/>
    <cellStyle name="40% - Accent3 2 2 2 3" xfId="330"/>
    <cellStyle name="40% - Accent3 2 2 2 3 2" xfId="1613"/>
    <cellStyle name="40% - Accent3 2 2 2 4" xfId="701"/>
    <cellStyle name="40% - Accent3 2 2 2 4 2" xfId="1431"/>
    <cellStyle name="40% - Accent3 2 2 2 5" xfId="1066"/>
    <cellStyle name="40% - Accent3 2 2 3" xfId="512"/>
    <cellStyle name="40% - Accent3 2 2 3 2" xfId="882"/>
    <cellStyle name="40% - Accent3 2 2 3 2 2" xfId="1794"/>
    <cellStyle name="40% - Accent3 2 2 3 3" xfId="1247"/>
    <cellStyle name="40% - Accent3 2 2 4" xfId="329"/>
    <cellStyle name="40% - Accent3 2 2 4 2" xfId="1612"/>
    <cellStyle name="40% - Accent3 2 2 5" xfId="700"/>
    <cellStyle name="40% - Accent3 2 2 5 2" xfId="1430"/>
    <cellStyle name="40% - Accent3 2 2 6" xfId="1065"/>
    <cellStyle name="40% - Accent3 2 3" xfId="117"/>
    <cellStyle name="40% - Accent3 2 3 2" xfId="118"/>
    <cellStyle name="40% - Accent3 2 3 2 2" xfId="515"/>
    <cellStyle name="40% - Accent3 2 3 2 2 2" xfId="885"/>
    <cellStyle name="40% - Accent3 2 3 2 2 2 2" xfId="1797"/>
    <cellStyle name="40% - Accent3 2 3 2 2 3" xfId="1250"/>
    <cellStyle name="40% - Accent3 2 3 2 3" xfId="332"/>
    <cellStyle name="40% - Accent3 2 3 2 3 2" xfId="1615"/>
    <cellStyle name="40% - Accent3 2 3 2 4" xfId="703"/>
    <cellStyle name="40% - Accent3 2 3 2 4 2" xfId="1433"/>
    <cellStyle name="40% - Accent3 2 3 2 5" xfId="1068"/>
    <cellStyle name="40% - Accent3 2 3 3" xfId="514"/>
    <cellStyle name="40% - Accent3 2 3 3 2" xfId="884"/>
    <cellStyle name="40% - Accent3 2 3 3 2 2" xfId="1796"/>
    <cellStyle name="40% - Accent3 2 3 3 3" xfId="1249"/>
    <cellStyle name="40% - Accent3 2 3 4" xfId="331"/>
    <cellStyle name="40% - Accent3 2 3 4 2" xfId="1614"/>
    <cellStyle name="40% - Accent3 2 3 5" xfId="702"/>
    <cellStyle name="40% - Accent3 2 3 5 2" xfId="1432"/>
    <cellStyle name="40% - Accent3 2 3 6" xfId="1067"/>
    <cellStyle name="40% - Accent3 2 4" xfId="119"/>
    <cellStyle name="40% - Accent3 2 4 2" xfId="516"/>
    <cellStyle name="40% - Accent3 2 4 2 2" xfId="886"/>
    <cellStyle name="40% - Accent3 2 4 2 2 2" xfId="1798"/>
    <cellStyle name="40% - Accent3 2 4 2 3" xfId="1251"/>
    <cellStyle name="40% - Accent3 2 4 3" xfId="333"/>
    <cellStyle name="40% - Accent3 2 4 3 2" xfId="1616"/>
    <cellStyle name="40% - Accent3 2 4 4" xfId="704"/>
    <cellStyle name="40% - Accent3 2 4 4 2" xfId="1434"/>
    <cellStyle name="40% - Accent3 2 4 5" xfId="1069"/>
    <cellStyle name="40% - Accent3 2 5" xfId="120"/>
    <cellStyle name="40% - Accent3 2 5 2" xfId="517"/>
    <cellStyle name="40% - Accent3 2 5 2 2" xfId="887"/>
    <cellStyle name="40% - Accent3 2 5 2 2 2" xfId="1799"/>
    <cellStyle name="40% - Accent3 2 5 2 3" xfId="1252"/>
    <cellStyle name="40% - Accent3 2 5 3" xfId="334"/>
    <cellStyle name="40% - Accent3 2 5 3 2" xfId="1617"/>
    <cellStyle name="40% - Accent3 2 5 4" xfId="705"/>
    <cellStyle name="40% - Accent3 2 5 4 2" xfId="1435"/>
    <cellStyle name="40% - Accent3 2 5 5" xfId="1070"/>
    <cellStyle name="40% - Accent3 2 6" xfId="511"/>
    <cellStyle name="40% - Accent3 2 6 2" xfId="881"/>
    <cellStyle name="40% - Accent3 2 6 2 2" xfId="1793"/>
    <cellStyle name="40% - Accent3 2 6 3" xfId="1246"/>
    <cellStyle name="40% - Accent3 2 7" xfId="328"/>
    <cellStyle name="40% - Accent3 2 7 2" xfId="1611"/>
    <cellStyle name="40% - Accent3 2 8" xfId="699"/>
    <cellStyle name="40% - Accent3 2 8 2" xfId="1429"/>
    <cellStyle name="40% - Accent3 2 9" xfId="1064"/>
    <cellStyle name="40% - Accent3 3" xfId="121"/>
    <cellStyle name="40% - Accent3 3 2" xfId="122"/>
    <cellStyle name="40% - Accent3 3 2 2" xfId="519"/>
    <cellStyle name="40% - Accent3 3 2 2 2" xfId="889"/>
    <cellStyle name="40% - Accent3 3 2 2 2 2" xfId="1801"/>
    <cellStyle name="40% - Accent3 3 2 2 3" xfId="1254"/>
    <cellStyle name="40% - Accent3 3 2 3" xfId="336"/>
    <cellStyle name="40% - Accent3 3 2 3 2" xfId="1619"/>
    <cellStyle name="40% - Accent3 3 2 4" xfId="707"/>
    <cellStyle name="40% - Accent3 3 2 4 2" xfId="1437"/>
    <cellStyle name="40% - Accent3 3 2 5" xfId="1072"/>
    <cellStyle name="40% - Accent3 3 3" xfId="518"/>
    <cellStyle name="40% - Accent3 3 3 2" xfId="888"/>
    <cellStyle name="40% - Accent3 3 3 2 2" xfId="1800"/>
    <cellStyle name="40% - Accent3 3 3 3" xfId="1253"/>
    <cellStyle name="40% - Accent3 3 4" xfId="335"/>
    <cellStyle name="40% - Accent3 3 4 2" xfId="1618"/>
    <cellStyle name="40% - Accent3 3 5" xfId="706"/>
    <cellStyle name="40% - Accent3 3 5 2" xfId="1436"/>
    <cellStyle name="40% - Accent3 3 6" xfId="1071"/>
    <cellStyle name="40% - Accent3 4" xfId="123"/>
    <cellStyle name="40% - Accent3 4 2" xfId="124"/>
    <cellStyle name="40% - Accent3 4 2 2" xfId="521"/>
    <cellStyle name="40% - Accent3 4 2 2 2" xfId="891"/>
    <cellStyle name="40% - Accent3 4 2 2 2 2" xfId="1803"/>
    <cellStyle name="40% - Accent3 4 2 2 3" xfId="1256"/>
    <cellStyle name="40% - Accent3 4 2 3" xfId="338"/>
    <cellStyle name="40% - Accent3 4 2 3 2" xfId="1621"/>
    <cellStyle name="40% - Accent3 4 2 4" xfId="709"/>
    <cellStyle name="40% - Accent3 4 2 4 2" xfId="1439"/>
    <cellStyle name="40% - Accent3 4 2 5" xfId="1074"/>
    <cellStyle name="40% - Accent3 4 3" xfId="520"/>
    <cellStyle name="40% - Accent3 4 3 2" xfId="890"/>
    <cellStyle name="40% - Accent3 4 3 2 2" xfId="1802"/>
    <cellStyle name="40% - Accent3 4 3 3" xfId="1255"/>
    <cellStyle name="40% - Accent3 4 4" xfId="337"/>
    <cellStyle name="40% - Accent3 4 4 2" xfId="1620"/>
    <cellStyle name="40% - Accent3 4 5" xfId="708"/>
    <cellStyle name="40% - Accent3 4 5 2" xfId="1438"/>
    <cellStyle name="40% - Accent3 4 6" xfId="1073"/>
    <cellStyle name="40% - Accent3 5" xfId="125"/>
    <cellStyle name="40% - Accent3 5 2" xfId="522"/>
    <cellStyle name="40% - Accent3 5 2 2" xfId="892"/>
    <cellStyle name="40% - Accent3 5 2 2 2" xfId="1804"/>
    <cellStyle name="40% - Accent3 5 2 3" xfId="1257"/>
    <cellStyle name="40% - Accent3 5 3" xfId="339"/>
    <cellStyle name="40% - Accent3 5 3 2" xfId="1622"/>
    <cellStyle name="40% - Accent3 5 4" xfId="710"/>
    <cellStyle name="40% - Accent3 5 4 2" xfId="1440"/>
    <cellStyle name="40% - Accent3 5 5" xfId="1075"/>
    <cellStyle name="40% - Accent3 6" xfId="126"/>
    <cellStyle name="40% - Accent3 6 2" xfId="523"/>
    <cellStyle name="40% - Accent3 6 2 2" xfId="893"/>
    <cellStyle name="40% - Accent3 6 2 2 2" xfId="1805"/>
    <cellStyle name="40% - Accent3 6 2 3" xfId="1258"/>
    <cellStyle name="40% - Accent3 6 3" xfId="340"/>
    <cellStyle name="40% - Accent3 6 3 2" xfId="1623"/>
    <cellStyle name="40% - Accent3 6 4" xfId="711"/>
    <cellStyle name="40% - Accent3 6 4 2" xfId="1441"/>
    <cellStyle name="40% - Accent3 6 5" xfId="1076"/>
    <cellStyle name="40% - Accent3 7" xfId="510"/>
    <cellStyle name="40% - Accent3 7 2" xfId="880"/>
    <cellStyle name="40% - Accent3 7 2 2" xfId="1792"/>
    <cellStyle name="40% - Accent3 7 3" xfId="1245"/>
    <cellStyle name="40% - Accent3 8" xfId="327"/>
    <cellStyle name="40% - Accent3 8 2" xfId="1610"/>
    <cellStyle name="40% - Accent3 9" xfId="698"/>
    <cellStyle name="40% - Accent3 9 2" xfId="1428"/>
    <cellStyle name="40% - Accent4" xfId="127" builtinId="43" customBuiltin="1"/>
    <cellStyle name="40% - Accent4 10" xfId="1077"/>
    <cellStyle name="40% - Accent4 2" xfId="128"/>
    <cellStyle name="40% - Accent4 2 2" xfId="129"/>
    <cellStyle name="40% - Accent4 2 2 2" xfId="130"/>
    <cellStyle name="40% - Accent4 2 2 2 2" xfId="527"/>
    <cellStyle name="40% - Accent4 2 2 2 2 2" xfId="897"/>
    <cellStyle name="40% - Accent4 2 2 2 2 2 2" xfId="1809"/>
    <cellStyle name="40% - Accent4 2 2 2 2 3" xfId="1262"/>
    <cellStyle name="40% - Accent4 2 2 2 3" xfId="344"/>
    <cellStyle name="40% - Accent4 2 2 2 3 2" xfId="1627"/>
    <cellStyle name="40% - Accent4 2 2 2 4" xfId="715"/>
    <cellStyle name="40% - Accent4 2 2 2 4 2" xfId="1445"/>
    <cellStyle name="40% - Accent4 2 2 2 5" xfId="1080"/>
    <cellStyle name="40% - Accent4 2 2 3" xfId="526"/>
    <cellStyle name="40% - Accent4 2 2 3 2" xfId="896"/>
    <cellStyle name="40% - Accent4 2 2 3 2 2" xfId="1808"/>
    <cellStyle name="40% - Accent4 2 2 3 3" xfId="1261"/>
    <cellStyle name="40% - Accent4 2 2 4" xfId="343"/>
    <cellStyle name="40% - Accent4 2 2 4 2" xfId="1626"/>
    <cellStyle name="40% - Accent4 2 2 5" xfId="714"/>
    <cellStyle name="40% - Accent4 2 2 5 2" xfId="1444"/>
    <cellStyle name="40% - Accent4 2 2 6" xfId="1079"/>
    <cellStyle name="40% - Accent4 2 3" xfId="131"/>
    <cellStyle name="40% - Accent4 2 3 2" xfId="132"/>
    <cellStyle name="40% - Accent4 2 3 2 2" xfId="529"/>
    <cellStyle name="40% - Accent4 2 3 2 2 2" xfId="899"/>
    <cellStyle name="40% - Accent4 2 3 2 2 2 2" xfId="1811"/>
    <cellStyle name="40% - Accent4 2 3 2 2 3" xfId="1264"/>
    <cellStyle name="40% - Accent4 2 3 2 3" xfId="346"/>
    <cellStyle name="40% - Accent4 2 3 2 3 2" xfId="1629"/>
    <cellStyle name="40% - Accent4 2 3 2 4" xfId="717"/>
    <cellStyle name="40% - Accent4 2 3 2 4 2" xfId="1447"/>
    <cellStyle name="40% - Accent4 2 3 2 5" xfId="1082"/>
    <cellStyle name="40% - Accent4 2 3 3" xfId="528"/>
    <cellStyle name="40% - Accent4 2 3 3 2" xfId="898"/>
    <cellStyle name="40% - Accent4 2 3 3 2 2" xfId="1810"/>
    <cellStyle name="40% - Accent4 2 3 3 3" xfId="1263"/>
    <cellStyle name="40% - Accent4 2 3 4" xfId="345"/>
    <cellStyle name="40% - Accent4 2 3 4 2" xfId="1628"/>
    <cellStyle name="40% - Accent4 2 3 5" xfId="716"/>
    <cellStyle name="40% - Accent4 2 3 5 2" xfId="1446"/>
    <cellStyle name="40% - Accent4 2 3 6" xfId="1081"/>
    <cellStyle name="40% - Accent4 2 4" xfId="133"/>
    <cellStyle name="40% - Accent4 2 4 2" xfId="530"/>
    <cellStyle name="40% - Accent4 2 4 2 2" xfId="900"/>
    <cellStyle name="40% - Accent4 2 4 2 2 2" xfId="1812"/>
    <cellStyle name="40% - Accent4 2 4 2 3" xfId="1265"/>
    <cellStyle name="40% - Accent4 2 4 3" xfId="347"/>
    <cellStyle name="40% - Accent4 2 4 3 2" xfId="1630"/>
    <cellStyle name="40% - Accent4 2 4 4" xfId="718"/>
    <cellStyle name="40% - Accent4 2 4 4 2" xfId="1448"/>
    <cellStyle name="40% - Accent4 2 4 5" xfId="1083"/>
    <cellStyle name="40% - Accent4 2 5" xfId="134"/>
    <cellStyle name="40% - Accent4 2 5 2" xfId="531"/>
    <cellStyle name="40% - Accent4 2 5 2 2" xfId="901"/>
    <cellStyle name="40% - Accent4 2 5 2 2 2" xfId="1813"/>
    <cellStyle name="40% - Accent4 2 5 2 3" xfId="1266"/>
    <cellStyle name="40% - Accent4 2 5 3" xfId="348"/>
    <cellStyle name="40% - Accent4 2 5 3 2" xfId="1631"/>
    <cellStyle name="40% - Accent4 2 5 4" xfId="719"/>
    <cellStyle name="40% - Accent4 2 5 4 2" xfId="1449"/>
    <cellStyle name="40% - Accent4 2 5 5" xfId="1084"/>
    <cellStyle name="40% - Accent4 2 6" xfId="525"/>
    <cellStyle name="40% - Accent4 2 6 2" xfId="895"/>
    <cellStyle name="40% - Accent4 2 6 2 2" xfId="1807"/>
    <cellStyle name="40% - Accent4 2 6 3" xfId="1260"/>
    <cellStyle name="40% - Accent4 2 7" xfId="342"/>
    <cellStyle name="40% - Accent4 2 7 2" xfId="1625"/>
    <cellStyle name="40% - Accent4 2 8" xfId="713"/>
    <cellStyle name="40% - Accent4 2 8 2" xfId="1443"/>
    <cellStyle name="40% - Accent4 2 9" xfId="1078"/>
    <cellStyle name="40% - Accent4 3" xfId="135"/>
    <cellStyle name="40% - Accent4 3 2" xfId="136"/>
    <cellStyle name="40% - Accent4 3 2 2" xfId="533"/>
    <cellStyle name="40% - Accent4 3 2 2 2" xfId="903"/>
    <cellStyle name="40% - Accent4 3 2 2 2 2" xfId="1815"/>
    <cellStyle name="40% - Accent4 3 2 2 3" xfId="1268"/>
    <cellStyle name="40% - Accent4 3 2 3" xfId="350"/>
    <cellStyle name="40% - Accent4 3 2 3 2" xfId="1633"/>
    <cellStyle name="40% - Accent4 3 2 4" xfId="721"/>
    <cellStyle name="40% - Accent4 3 2 4 2" xfId="1451"/>
    <cellStyle name="40% - Accent4 3 2 5" xfId="1086"/>
    <cellStyle name="40% - Accent4 3 3" xfId="532"/>
    <cellStyle name="40% - Accent4 3 3 2" xfId="902"/>
    <cellStyle name="40% - Accent4 3 3 2 2" xfId="1814"/>
    <cellStyle name="40% - Accent4 3 3 3" xfId="1267"/>
    <cellStyle name="40% - Accent4 3 4" xfId="349"/>
    <cellStyle name="40% - Accent4 3 4 2" xfId="1632"/>
    <cellStyle name="40% - Accent4 3 5" xfId="720"/>
    <cellStyle name="40% - Accent4 3 5 2" xfId="1450"/>
    <cellStyle name="40% - Accent4 3 6" xfId="1085"/>
    <cellStyle name="40% - Accent4 4" xfId="137"/>
    <cellStyle name="40% - Accent4 4 2" xfId="138"/>
    <cellStyle name="40% - Accent4 4 2 2" xfId="535"/>
    <cellStyle name="40% - Accent4 4 2 2 2" xfId="905"/>
    <cellStyle name="40% - Accent4 4 2 2 2 2" xfId="1817"/>
    <cellStyle name="40% - Accent4 4 2 2 3" xfId="1270"/>
    <cellStyle name="40% - Accent4 4 2 3" xfId="352"/>
    <cellStyle name="40% - Accent4 4 2 3 2" xfId="1635"/>
    <cellStyle name="40% - Accent4 4 2 4" xfId="723"/>
    <cellStyle name="40% - Accent4 4 2 4 2" xfId="1453"/>
    <cellStyle name="40% - Accent4 4 2 5" xfId="1088"/>
    <cellStyle name="40% - Accent4 4 3" xfId="534"/>
    <cellStyle name="40% - Accent4 4 3 2" xfId="904"/>
    <cellStyle name="40% - Accent4 4 3 2 2" xfId="1816"/>
    <cellStyle name="40% - Accent4 4 3 3" xfId="1269"/>
    <cellStyle name="40% - Accent4 4 4" xfId="351"/>
    <cellStyle name="40% - Accent4 4 4 2" xfId="1634"/>
    <cellStyle name="40% - Accent4 4 5" xfId="722"/>
    <cellStyle name="40% - Accent4 4 5 2" xfId="1452"/>
    <cellStyle name="40% - Accent4 4 6" xfId="1087"/>
    <cellStyle name="40% - Accent4 5" xfId="139"/>
    <cellStyle name="40% - Accent4 5 2" xfId="536"/>
    <cellStyle name="40% - Accent4 5 2 2" xfId="906"/>
    <cellStyle name="40% - Accent4 5 2 2 2" xfId="1818"/>
    <cellStyle name="40% - Accent4 5 2 3" xfId="1271"/>
    <cellStyle name="40% - Accent4 5 3" xfId="353"/>
    <cellStyle name="40% - Accent4 5 3 2" xfId="1636"/>
    <cellStyle name="40% - Accent4 5 4" xfId="724"/>
    <cellStyle name="40% - Accent4 5 4 2" xfId="1454"/>
    <cellStyle name="40% - Accent4 5 5" xfId="1089"/>
    <cellStyle name="40% - Accent4 6" xfId="140"/>
    <cellStyle name="40% - Accent4 6 2" xfId="537"/>
    <cellStyle name="40% - Accent4 6 2 2" xfId="907"/>
    <cellStyle name="40% - Accent4 6 2 2 2" xfId="1819"/>
    <cellStyle name="40% - Accent4 6 2 3" xfId="1272"/>
    <cellStyle name="40% - Accent4 6 3" xfId="354"/>
    <cellStyle name="40% - Accent4 6 3 2" xfId="1637"/>
    <cellStyle name="40% - Accent4 6 4" xfId="725"/>
    <cellStyle name="40% - Accent4 6 4 2" xfId="1455"/>
    <cellStyle name="40% - Accent4 6 5" xfId="1090"/>
    <cellStyle name="40% - Accent4 7" xfId="524"/>
    <cellStyle name="40% - Accent4 7 2" xfId="894"/>
    <cellStyle name="40% - Accent4 7 2 2" xfId="1806"/>
    <cellStyle name="40% - Accent4 7 3" xfId="1259"/>
    <cellStyle name="40% - Accent4 8" xfId="341"/>
    <cellStyle name="40% - Accent4 8 2" xfId="1624"/>
    <cellStyle name="40% - Accent4 9" xfId="712"/>
    <cellStyle name="40% - Accent4 9 2" xfId="1442"/>
    <cellStyle name="40% - Accent5" xfId="141" builtinId="47" customBuiltin="1"/>
    <cellStyle name="40% - Accent5 10" xfId="1091"/>
    <cellStyle name="40% - Accent5 2" xfId="142"/>
    <cellStyle name="40% - Accent5 2 2" xfId="143"/>
    <cellStyle name="40% - Accent5 2 2 2" xfId="144"/>
    <cellStyle name="40% - Accent5 2 2 2 2" xfId="541"/>
    <cellStyle name="40% - Accent5 2 2 2 2 2" xfId="911"/>
    <cellStyle name="40% - Accent5 2 2 2 2 2 2" xfId="1823"/>
    <cellStyle name="40% - Accent5 2 2 2 2 3" xfId="1276"/>
    <cellStyle name="40% - Accent5 2 2 2 3" xfId="358"/>
    <cellStyle name="40% - Accent5 2 2 2 3 2" xfId="1641"/>
    <cellStyle name="40% - Accent5 2 2 2 4" xfId="729"/>
    <cellStyle name="40% - Accent5 2 2 2 4 2" xfId="1459"/>
    <cellStyle name="40% - Accent5 2 2 2 5" xfId="1094"/>
    <cellStyle name="40% - Accent5 2 2 3" xfId="540"/>
    <cellStyle name="40% - Accent5 2 2 3 2" xfId="910"/>
    <cellStyle name="40% - Accent5 2 2 3 2 2" xfId="1822"/>
    <cellStyle name="40% - Accent5 2 2 3 3" xfId="1275"/>
    <cellStyle name="40% - Accent5 2 2 4" xfId="357"/>
    <cellStyle name="40% - Accent5 2 2 4 2" xfId="1640"/>
    <cellStyle name="40% - Accent5 2 2 5" xfId="728"/>
    <cellStyle name="40% - Accent5 2 2 5 2" xfId="1458"/>
    <cellStyle name="40% - Accent5 2 2 6" xfId="1093"/>
    <cellStyle name="40% - Accent5 2 3" xfId="145"/>
    <cellStyle name="40% - Accent5 2 3 2" xfId="146"/>
    <cellStyle name="40% - Accent5 2 3 2 2" xfId="543"/>
    <cellStyle name="40% - Accent5 2 3 2 2 2" xfId="913"/>
    <cellStyle name="40% - Accent5 2 3 2 2 2 2" xfId="1825"/>
    <cellStyle name="40% - Accent5 2 3 2 2 3" xfId="1278"/>
    <cellStyle name="40% - Accent5 2 3 2 3" xfId="360"/>
    <cellStyle name="40% - Accent5 2 3 2 3 2" xfId="1643"/>
    <cellStyle name="40% - Accent5 2 3 2 4" xfId="731"/>
    <cellStyle name="40% - Accent5 2 3 2 4 2" xfId="1461"/>
    <cellStyle name="40% - Accent5 2 3 2 5" xfId="1096"/>
    <cellStyle name="40% - Accent5 2 3 3" xfId="542"/>
    <cellStyle name="40% - Accent5 2 3 3 2" xfId="912"/>
    <cellStyle name="40% - Accent5 2 3 3 2 2" xfId="1824"/>
    <cellStyle name="40% - Accent5 2 3 3 3" xfId="1277"/>
    <cellStyle name="40% - Accent5 2 3 4" xfId="359"/>
    <cellStyle name="40% - Accent5 2 3 4 2" xfId="1642"/>
    <cellStyle name="40% - Accent5 2 3 5" xfId="730"/>
    <cellStyle name="40% - Accent5 2 3 5 2" xfId="1460"/>
    <cellStyle name="40% - Accent5 2 3 6" xfId="1095"/>
    <cellStyle name="40% - Accent5 2 4" xfId="147"/>
    <cellStyle name="40% - Accent5 2 4 2" xfId="544"/>
    <cellStyle name="40% - Accent5 2 4 2 2" xfId="914"/>
    <cellStyle name="40% - Accent5 2 4 2 2 2" xfId="1826"/>
    <cellStyle name="40% - Accent5 2 4 2 3" xfId="1279"/>
    <cellStyle name="40% - Accent5 2 4 3" xfId="361"/>
    <cellStyle name="40% - Accent5 2 4 3 2" xfId="1644"/>
    <cellStyle name="40% - Accent5 2 4 4" xfId="732"/>
    <cellStyle name="40% - Accent5 2 4 4 2" xfId="1462"/>
    <cellStyle name="40% - Accent5 2 4 5" xfId="1097"/>
    <cellStyle name="40% - Accent5 2 5" xfId="148"/>
    <cellStyle name="40% - Accent5 2 5 2" xfId="545"/>
    <cellStyle name="40% - Accent5 2 5 2 2" xfId="915"/>
    <cellStyle name="40% - Accent5 2 5 2 2 2" xfId="1827"/>
    <cellStyle name="40% - Accent5 2 5 2 3" xfId="1280"/>
    <cellStyle name="40% - Accent5 2 5 3" xfId="362"/>
    <cellStyle name="40% - Accent5 2 5 3 2" xfId="1645"/>
    <cellStyle name="40% - Accent5 2 5 4" xfId="733"/>
    <cellStyle name="40% - Accent5 2 5 4 2" xfId="1463"/>
    <cellStyle name="40% - Accent5 2 5 5" xfId="1098"/>
    <cellStyle name="40% - Accent5 2 6" xfId="539"/>
    <cellStyle name="40% - Accent5 2 6 2" xfId="909"/>
    <cellStyle name="40% - Accent5 2 6 2 2" xfId="1821"/>
    <cellStyle name="40% - Accent5 2 6 3" xfId="1274"/>
    <cellStyle name="40% - Accent5 2 7" xfId="356"/>
    <cellStyle name="40% - Accent5 2 7 2" xfId="1639"/>
    <cellStyle name="40% - Accent5 2 8" xfId="727"/>
    <cellStyle name="40% - Accent5 2 8 2" xfId="1457"/>
    <cellStyle name="40% - Accent5 2 9" xfId="1092"/>
    <cellStyle name="40% - Accent5 3" xfId="149"/>
    <cellStyle name="40% - Accent5 3 2" xfId="150"/>
    <cellStyle name="40% - Accent5 3 2 2" xfId="547"/>
    <cellStyle name="40% - Accent5 3 2 2 2" xfId="917"/>
    <cellStyle name="40% - Accent5 3 2 2 2 2" xfId="1829"/>
    <cellStyle name="40% - Accent5 3 2 2 3" xfId="1282"/>
    <cellStyle name="40% - Accent5 3 2 3" xfId="364"/>
    <cellStyle name="40% - Accent5 3 2 3 2" xfId="1647"/>
    <cellStyle name="40% - Accent5 3 2 4" xfId="735"/>
    <cellStyle name="40% - Accent5 3 2 4 2" xfId="1465"/>
    <cellStyle name="40% - Accent5 3 2 5" xfId="1100"/>
    <cellStyle name="40% - Accent5 3 3" xfId="546"/>
    <cellStyle name="40% - Accent5 3 3 2" xfId="916"/>
    <cellStyle name="40% - Accent5 3 3 2 2" xfId="1828"/>
    <cellStyle name="40% - Accent5 3 3 3" xfId="1281"/>
    <cellStyle name="40% - Accent5 3 4" xfId="363"/>
    <cellStyle name="40% - Accent5 3 4 2" xfId="1646"/>
    <cellStyle name="40% - Accent5 3 5" xfId="734"/>
    <cellStyle name="40% - Accent5 3 5 2" xfId="1464"/>
    <cellStyle name="40% - Accent5 3 6" xfId="1099"/>
    <cellStyle name="40% - Accent5 4" xfId="151"/>
    <cellStyle name="40% - Accent5 4 2" xfId="152"/>
    <cellStyle name="40% - Accent5 4 2 2" xfId="549"/>
    <cellStyle name="40% - Accent5 4 2 2 2" xfId="919"/>
    <cellStyle name="40% - Accent5 4 2 2 2 2" xfId="1831"/>
    <cellStyle name="40% - Accent5 4 2 2 3" xfId="1284"/>
    <cellStyle name="40% - Accent5 4 2 3" xfId="366"/>
    <cellStyle name="40% - Accent5 4 2 3 2" xfId="1649"/>
    <cellStyle name="40% - Accent5 4 2 4" xfId="737"/>
    <cellStyle name="40% - Accent5 4 2 4 2" xfId="1467"/>
    <cellStyle name="40% - Accent5 4 2 5" xfId="1102"/>
    <cellStyle name="40% - Accent5 4 3" xfId="548"/>
    <cellStyle name="40% - Accent5 4 3 2" xfId="918"/>
    <cellStyle name="40% - Accent5 4 3 2 2" xfId="1830"/>
    <cellStyle name="40% - Accent5 4 3 3" xfId="1283"/>
    <cellStyle name="40% - Accent5 4 4" xfId="365"/>
    <cellStyle name="40% - Accent5 4 4 2" xfId="1648"/>
    <cellStyle name="40% - Accent5 4 5" xfId="736"/>
    <cellStyle name="40% - Accent5 4 5 2" xfId="1466"/>
    <cellStyle name="40% - Accent5 4 6" xfId="1101"/>
    <cellStyle name="40% - Accent5 5" xfId="153"/>
    <cellStyle name="40% - Accent5 5 2" xfId="550"/>
    <cellStyle name="40% - Accent5 5 2 2" xfId="920"/>
    <cellStyle name="40% - Accent5 5 2 2 2" xfId="1832"/>
    <cellStyle name="40% - Accent5 5 2 3" xfId="1285"/>
    <cellStyle name="40% - Accent5 5 3" xfId="367"/>
    <cellStyle name="40% - Accent5 5 3 2" xfId="1650"/>
    <cellStyle name="40% - Accent5 5 4" xfId="738"/>
    <cellStyle name="40% - Accent5 5 4 2" xfId="1468"/>
    <cellStyle name="40% - Accent5 5 5" xfId="1103"/>
    <cellStyle name="40% - Accent5 6" xfId="154"/>
    <cellStyle name="40% - Accent5 6 2" xfId="551"/>
    <cellStyle name="40% - Accent5 6 2 2" xfId="921"/>
    <cellStyle name="40% - Accent5 6 2 2 2" xfId="1833"/>
    <cellStyle name="40% - Accent5 6 2 3" xfId="1286"/>
    <cellStyle name="40% - Accent5 6 3" xfId="368"/>
    <cellStyle name="40% - Accent5 6 3 2" xfId="1651"/>
    <cellStyle name="40% - Accent5 6 4" xfId="739"/>
    <cellStyle name="40% - Accent5 6 4 2" xfId="1469"/>
    <cellStyle name="40% - Accent5 6 5" xfId="1104"/>
    <cellStyle name="40% - Accent5 7" xfId="538"/>
    <cellStyle name="40% - Accent5 7 2" xfId="908"/>
    <cellStyle name="40% - Accent5 7 2 2" xfId="1820"/>
    <cellStyle name="40% - Accent5 7 3" xfId="1273"/>
    <cellStyle name="40% - Accent5 8" xfId="355"/>
    <cellStyle name="40% - Accent5 8 2" xfId="1638"/>
    <cellStyle name="40% - Accent5 9" xfId="726"/>
    <cellStyle name="40% - Accent5 9 2" xfId="1456"/>
    <cellStyle name="40% - Accent6" xfId="155" builtinId="51" customBuiltin="1"/>
    <cellStyle name="40% - Accent6 10" xfId="1105"/>
    <cellStyle name="40% - Accent6 2" xfId="156"/>
    <cellStyle name="40% - Accent6 2 2" xfId="157"/>
    <cellStyle name="40% - Accent6 2 2 2" xfId="158"/>
    <cellStyle name="40% - Accent6 2 2 2 2" xfId="555"/>
    <cellStyle name="40% - Accent6 2 2 2 2 2" xfId="925"/>
    <cellStyle name="40% - Accent6 2 2 2 2 2 2" xfId="1837"/>
    <cellStyle name="40% - Accent6 2 2 2 2 3" xfId="1290"/>
    <cellStyle name="40% - Accent6 2 2 2 3" xfId="372"/>
    <cellStyle name="40% - Accent6 2 2 2 3 2" xfId="1655"/>
    <cellStyle name="40% - Accent6 2 2 2 4" xfId="743"/>
    <cellStyle name="40% - Accent6 2 2 2 4 2" xfId="1473"/>
    <cellStyle name="40% - Accent6 2 2 2 5" xfId="1108"/>
    <cellStyle name="40% - Accent6 2 2 3" xfId="554"/>
    <cellStyle name="40% - Accent6 2 2 3 2" xfId="924"/>
    <cellStyle name="40% - Accent6 2 2 3 2 2" xfId="1836"/>
    <cellStyle name="40% - Accent6 2 2 3 3" xfId="1289"/>
    <cellStyle name="40% - Accent6 2 2 4" xfId="371"/>
    <cellStyle name="40% - Accent6 2 2 4 2" xfId="1654"/>
    <cellStyle name="40% - Accent6 2 2 5" xfId="742"/>
    <cellStyle name="40% - Accent6 2 2 5 2" xfId="1472"/>
    <cellStyle name="40% - Accent6 2 2 6" xfId="1107"/>
    <cellStyle name="40% - Accent6 2 3" xfId="159"/>
    <cellStyle name="40% - Accent6 2 3 2" xfId="160"/>
    <cellStyle name="40% - Accent6 2 3 2 2" xfId="557"/>
    <cellStyle name="40% - Accent6 2 3 2 2 2" xfId="927"/>
    <cellStyle name="40% - Accent6 2 3 2 2 2 2" xfId="1839"/>
    <cellStyle name="40% - Accent6 2 3 2 2 3" xfId="1292"/>
    <cellStyle name="40% - Accent6 2 3 2 3" xfId="374"/>
    <cellStyle name="40% - Accent6 2 3 2 3 2" xfId="1657"/>
    <cellStyle name="40% - Accent6 2 3 2 4" xfId="745"/>
    <cellStyle name="40% - Accent6 2 3 2 4 2" xfId="1475"/>
    <cellStyle name="40% - Accent6 2 3 2 5" xfId="1110"/>
    <cellStyle name="40% - Accent6 2 3 3" xfId="556"/>
    <cellStyle name="40% - Accent6 2 3 3 2" xfId="926"/>
    <cellStyle name="40% - Accent6 2 3 3 2 2" xfId="1838"/>
    <cellStyle name="40% - Accent6 2 3 3 3" xfId="1291"/>
    <cellStyle name="40% - Accent6 2 3 4" xfId="373"/>
    <cellStyle name="40% - Accent6 2 3 4 2" xfId="1656"/>
    <cellStyle name="40% - Accent6 2 3 5" xfId="744"/>
    <cellStyle name="40% - Accent6 2 3 5 2" xfId="1474"/>
    <cellStyle name="40% - Accent6 2 3 6" xfId="1109"/>
    <cellStyle name="40% - Accent6 2 4" xfId="161"/>
    <cellStyle name="40% - Accent6 2 4 2" xfId="558"/>
    <cellStyle name="40% - Accent6 2 4 2 2" xfId="928"/>
    <cellStyle name="40% - Accent6 2 4 2 2 2" xfId="1840"/>
    <cellStyle name="40% - Accent6 2 4 2 3" xfId="1293"/>
    <cellStyle name="40% - Accent6 2 4 3" xfId="375"/>
    <cellStyle name="40% - Accent6 2 4 3 2" xfId="1658"/>
    <cellStyle name="40% - Accent6 2 4 4" xfId="746"/>
    <cellStyle name="40% - Accent6 2 4 4 2" xfId="1476"/>
    <cellStyle name="40% - Accent6 2 4 5" xfId="1111"/>
    <cellStyle name="40% - Accent6 2 5" xfId="162"/>
    <cellStyle name="40% - Accent6 2 5 2" xfId="559"/>
    <cellStyle name="40% - Accent6 2 5 2 2" xfId="929"/>
    <cellStyle name="40% - Accent6 2 5 2 2 2" xfId="1841"/>
    <cellStyle name="40% - Accent6 2 5 2 3" xfId="1294"/>
    <cellStyle name="40% - Accent6 2 5 3" xfId="376"/>
    <cellStyle name="40% - Accent6 2 5 3 2" xfId="1659"/>
    <cellStyle name="40% - Accent6 2 5 4" xfId="747"/>
    <cellStyle name="40% - Accent6 2 5 4 2" xfId="1477"/>
    <cellStyle name="40% - Accent6 2 5 5" xfId="1112"/>
    <cellStyle name="40% - Accent6 2 6" xfId="553"/>
    <cellStyle name="40% - Accent6 2 6 2" xfId="923"/>
    <cellStyle name="40% - Accent6 2 6 2 2" xfId="1835"/>
    <cellStyle name="40% - Accent6 2 6 3" xfId="1288"/>
    <cellStyle name="40% - Accent6 2 7" xfId="370"/>
    <cellStyle name="40% - Accent6 2 7 2" xfId="1653"/>
    <cellStyle name="40% - Accent6 2 8" xfId="741"/>
    <cellStyle name="40% - Accent6 2 8 2" xfId="1471"/>
    <cellStyle name="40% - Accent6 2 9" xfId="1106"/>
    <cellStyle name="40% - Accent6 3" xfId="163"/>
    <cellStyle name="40% - Accent6 3 2" xfId="164"/>
    <cellStyle name="40% - Accent6 3 2 2" xfId="561"/>
    <cellStyle name="40% - Accent6 3 2 2 2" xfId="931"/>
    <cellStyle name="40% - Accent6 3 2 2 2 2" xfId="1843"/>
    <cellStyle name="40% - Accent6 3 2 2 3" xfId="1296"/>
    <cellStyle name="40% - Accent6 3 2 3" xfId="378"/>
    <cellStyle name="40% - Accent6 3 2 3 2" xfId="1661"/>
    <cellStyle name="40% - Accent6 3 2 4" xfId="749"/>
    <cellStyle name="40% - Accent6 3 2 4 2" xfId="1479"/>
    <cellStyle name="40% - Accent6 3 2 5" xfId="1114"/>
    <cellStyle name="40% - Accent6 3 3" xfId="560"/>
    <cellStyle name="40% - Accent6 3 3 2" xfId="930"/>
    <cellStyle name="40% - Accent6 3 3 2 2" xfId="1842"/>
    <cellStyle name="40% - Accent6 3 3 3" xfId="1295"/>
    <cellStyle name="40% - Accent6 3 4" xfId="377"/>
    <cellStyle name="40% - Accent6 3 4 2" xfId="1660"/>
    <cellStyle name="40% - Accent6 3 5" xfId="748"/>
    <cellStyle name="40% - Accent6 3 5 2" xfId="1478"/>
    <cellStyle name="40% - Accent6 3 6" xfId="1113"/>
    <cellStyle name="40% - Accent6 4" xfId="165"/>
    <cellStyle name="40% - Accent6 4 2" xfId="166"/>
    <cellStyle name="40% - Accent6 4 2 2" xfId="563"/>
    <cellStyle name="40% - Accent6 4 2 2 2" xfId="933"/>
    <cellStyle name="40% - Accent6 4 2 2 2 2" xfId="1845"/>
    <cellStyle name="40% - Accent6 4 2 2 3" xfId="1298"/>
    <cellStyle name="40% - Accent6 4 2 3" xfId="380"/>
    <cellStyle name="40% - Accent6 4 2 3 2" xfId="1663"/>
    <cellStyle name="40% - Accent6 4 2 4" xfId="751"/>
    <cellStyle name="40% - Accent6 4 2 4 2" xfId="1481"/>
    <cellStyle name="40% - Accent6 4 2 5" xfId="1116"/>
    <cellStyle name="40% - Accent6 4 3" xfId="562"/>
    <cellStyle name="40% - Accent6 4 3 2" xfId="932"/>
    <cellStyle name="40% - Accent6 4 3 2 2" xfId="1844"/>
    <cellStyle name="40% - Accent6 4 3 3" xfId="1297"/>
    <cellStyle name="40% - Accent6 4 4" xfId="379"/>
    <cellStyle name="40% - Accent6 4 4 2" xfId="1662"/>
    <cellStyle name="40% - Accent6 4 5" xfId="750"/>
    <cellStyle name="40% - Accent6 4 5 2" xfId="1480"/>
    <cellStyle name="40% - Accent6 4 6" xfId="1115"/>
    <cellStyle name="40% - Accent6 5" xfId="167"/>
    <cellStyle name="40% - Accent6 5 2" xfId="564"/>
    <cellStyle name="40% - Accent6 5 2 2" xfId="934"/>
    <cellStyle name="40% - Accent6 5 2 2 2" xfId="1846"/>
    <cellStyle name="40% - Accent6 5 2 3" xfId="1299"/>
    <cellStyle name="40% - Accent6 5 3" xfId="381"/>
    <cellStyle name="40% - Accent6 5 3 2" xfId="1664"/>
    <cellStyle name="40% - Accent6 5 4" xfId="752"/>
    <cellStyle name="40% - Accent6 5 4 2" xfId="1482"/>
    <cellStyle name="40% - Accent6 5 5" xfId="1117"/>
    <cellStyle name="40% - Accent6 6" xfId="168"/>
    <cellStyle name="40% - Accent6 6 2" xfId="565"/>
    <cellStyle name="40% - Accent6 6 2 2" xfId="935"/>
    <cellStyle name="40% - Accent6 6 2 2 2" xfId="1847"/>
    <cellStyle name="40% - Accent6 6 2 3" xfId="1300"/>
    <cellStyle name="40% - Accent6 6 3" xfId="382"/>
    <cellStyle name="40% - Accent6 6 3 2" xfId="1665"/>
    <cellStyle name="40% - Accent6 6 4" xfId="753"/>
    <cellStyle name="40% - Accent6 6 4 2" xfId="1483"/>
    <cellStyle name="40% - Accent6 6 5" xfId="1118"/>
    <cellStyle name="40% - Accent6 7" xfId="552"/>
    <cellStyle name="40% - Accent6 7 2" xfId="922"/>
    <cellStyle name="40% - Accent6 7 2 2" xfId="1834"/>
    <cellStyle name="40% - Accent6 7 3" xfId="1287"/>
    <cellStyle name="40% - Accent6 8" xfId="369"/>
    <cellStyle name="40% - Accent6 8 2" xfId="1652"/>
    <cellStyle name="40% - Accent6 9" xfId="740"/>
    <cellStyle name="40% - Accent6 9 2" xfId="1470"/>
    <cellStyle name="60% - Accent1" xfId="169" builtinId="32" customBuiltin="1"/>
    <cellStyle name="60% - Accent2" xfId="170" builtinId="36" customBuiltin="1"/>
    <cellStyle name="60% - Accent3" xfId="171" builtinId="40" customBuiltin="1"/>
    <cellStyle name="60% - Accent4" xfId="172" builtinId="44" customBuiltin="1"/>
    <cellStyle name="60% - Accent5" xfId="173" builtinId="48" customBuiltin="1"/>
    <cellStyle name="60% - Accent6" xfId="174" builtinId="52" customBuiltin="1"/>
    <cellStyle name="Accent1" xfId="175" builtinId="29" customBuiltin="1"/>
    <cellStyle name="Accent2" xfId="176" builtinId="33" customBuiltin="1"/>
    <cellStyle name="Accent3" xfId="177" builtinId="37" customBuiltin="1"/>
    <cellStyle name="Accent4" xfId="178" builtinId="41" customBuiltin="1"/>
    <cellStyle name="Accent5" xfId="179" builtinId="45" customBuiltin="1"/>
    <cellStyle name="Accent6" xfId="180" builtinId="49" customBuiltin="1"/>
    <cellStyle name="Bad" xfId="181" builtinId="27" customBuiltin="1"/>
    <cellStyle name="Calculation" xfId="182" builtinId="22" customBuiltin="1"/>
    <cellStyle name="Check Cell" xfId="183" builtinId="23" customBuiltin="1"/>
    <cellStyle name="Comma" xfId="184" builtinId="3"/>
    <cellStyle name="Comma 2" xfId="566"/>
    <cellStyle name="Excel Built-in Normal" xfId="185"/>
    <cellStyle name="Excel Built-in Normal 2" xfId="186"/>
    <cellStyle name="Excel Built-in Normal 2 2" xfId="567"/>
    <cellStyle name="Excel Built-in Normal 2 3" xfId="383"/>
    <cellStyle name="Explanatory Text" xfId="187" builtinId="53" customBuiltin="1"/>
    <cellStyle name="Good" xfId="188" builtinId="26" customBuiltin="1"/>
    <cellStyle name="Heading 1" xfId="189" builtinId="16" customBuiltin="1"/>
    <cellStyle name="Heading 2" xfId="190" builtinId="17" customBuiltin="1"/>
    <cellStyle name="Heading 3" xfId="191" builtinId="18" customBuiltin="1"/>
    <cellStyle name="Heading 4" xfId="192" builtinId="19" customBuiltin="1"/>
    <cellStyle name="Input" xfId="193" builtinId="20" customBuiltin="1"/>
    <cellStyle name="Linked Cell" xfId="194" builtinId="24" customBuiltin="1"/>
    <cellStyle name="Neutral" xfId="195" builtinId="28" customBuiltin="1"/>
    <cellStyle name="Normal" xfId="0" builtinId="0"/>
    <cellStyle name="Normal 2" xfId="196"/>
    <cellStyle name="Normal 2 10" xfId="384"/>
    <cellStyle name="Normal 2 10 2" xfId="1666"/>
    <cellStyle name="Normal 2 11" xfId="754"/>
    <cellStyle name="Normal 2 11 2" xfId="1484"/>
    <cellStyle name="Normal 2 12" xfId="1119"/>
    <cellStyle name="Normal 2 2" xfId="197"/>
    <cellStyle name="Normal 2 2 2" xfId="198"/>
    <cellStyle name="Normal 2 2 2 2" xfId="199"/>
    <cellStyle name="Normal 2 2 2 2 2" xfId="571"/>
    <cellStyle name="Normal 2 2 2 2 2 2" xfId="939"/>
    <cellStyle name="Normal 2 2 2 2 2 2 2" xfId="1851"/>
    <cellStyle name="Normal 2 2 2 2 2 3" xfId="1304"/>
    <cellStyle name="Normal 2 2 2 2 3" xfId="387"/>
    <cellStyle name="Normal 2 2 2 2 3 2" xfId="1669"/>
    <cellStyle name="Normal 2 2 2 2 4" xfId="757"/>
    <cellStyle name="Normal 2 2 2 2 4 2" xfId="1487"/>
    <cellStyle name="Normal 2 2 2 2 5" xfId="1122"/>
    <cellStyle name="Normal 2 2 2 3" xfId="570"/>
    <cellStyle name="Normal 2 2 2 3 2" xfId="938"/>
    <cellStyle name="Normal 2 2 2 3 2 2" xfId="1850"/>
    <cellStyle name="Normal 2 2 2 3 3" xfId="1303"/>
    <cellStyle name="Normal 2 2 2 4" xfId="386"/>
    <cellStyle name="Normal 2 2 2 4 2" xfId="1668"/>
    <cellStyle name="Normal 2 2 2 5" xfId="756"/>
    <cellStyle name="Normal 2 2 2 5 2" xfId="1486"/>
    <cellStyle name="Normal 2 2 2 6" xfId="1121"/>
    <cellStyle name="Normal 2 2 3" xfId="200"/>
    <cellStyle name="Normal 2 2 3 2" xfId="201"/>
    <cellStyle name="Normal 2 2 3 2 2" xfId="573"/>
    <cellStyle name="Normal 2 2 3 2 2 2" xfId="941"/>
    <cellStyle name="Normal 2 2 3 2 2 2 2" xfId="1853"/>
    <cellStyle name="Normal 2 2 3 2 2 3" xfId="1306"/>
    <cellStyle name="Normal 2 2 3 2 3" xfId="389"/>
    <cellStyle name="Normal 2 2 3 2 3 2" xfId="1671"/>
    <cellStyle name="Normal 2 2 3 2 4" xfId="759"/>
    <cellStyle name="Normal 2 2 3 2 4 2" xfId="1489"/>
    <cellStyle name="Normal 2 2 3 2 5" xfId="1124"/>
    <cellStyle name="Normal 2 2 3 3" xfId="572"/>
    <cellStyle name="Normal 2 2 3 3 2" xfId="940"/>
    <cellStyle name="Normal 2 2 3 3 2 2" xfId="1852"/>
    <cellStyle name="Normal 2 2 3 3 3" xfId="1305"/>
    <cellStyle name="Normal 2 2 3 4" xfId="388"/>
    <cellStyle name="Normal 2 2 3 4 2" xfId="1670"/>
    <cellStyle name="Normal 2 2 3 5" xfId="758"/>
    <cellStyle name="Normal 2 2 3 5 2" xfId="1488"/>
    <cellStyle name="Normal 2 2 3 6" xfId="1123"/>
    <cellStyle name="Normal 2 2 4" xfId="202"/>
    <cellStyle name="Normal 2 2 4 2" xfId="574"/>
    <cellStyle name="Normal 2 2 4 2 2" xfId="942"/>
    <cellStyle name="Normal 2 2 4 2 2 2" xfId="1854"/>
    <cellStyle name="Normal 2 2 4 2 3" xfId="1307"/>
    <cellStyle name="Normal 2 2 4 3" xfId="390"/>
    <cellStyle name="Normal 2 2 4 3 2" xfId="1672"/>
    <cellStyle name="Normal 2 2 4 4" xfId="760"/>
    <cellStyle name="Normal 2 2 4 4 2" xfId="1490"/>
    <cellStyle name="Normal 2 2 4 5" xfId="1125"/>
    <cellStyle name="Normal 2 2 5" xfId="203"/>
    <cellStyle name="Normal 2 2 5 2" xfId="575"/>
    <cellStyle name="Normal 2 2 5 2 2" xfId="943"/>
    <cellStyle name="Normal 2 2 5 2 2 2" xfId="1855"/>
    <cellStyle name="Normal 2 2 5 2 3" xfId="1308"/>
    <cellStyle name="Normal 2 2 5 3" xfId="391"/>
    <cellStyle name="Normal 2 2 5 3 2" xfId="1673"/>
    <cellStyle name="Normal 2 2 5 4" xfId="761"/>
    <cellStyle name="Normal 2 2 5 4 2" xfId="1491"/>
    <cellStyle name="Normal 2 2 5 5" xfId="1126"/>
    <cellStyle name="Normal 2 2 6" xfId="569"/>
    <cellStyle name="Normal 2 2 6 2" xfId="937"/>
    <cellStyle name="Normal 2 2 6 2 2" xfId="1849"/>
    <cellStyle name="Normal 2 2 6 3" xfId="1302"/>
    <cellStyle name="Normal 2 2 7" xfId="385"/>
    <cellStyle name="Normal 2 2 7 2" xfId="1667"/>
    <cellStyle name="Normal 2 2 8" xfId="755"/>
    <cellStyle name="Normal 2 2 8 2" xfId="1485"/>
    <cellStyle name="Normal 2 2 9" xfId="1120"/>
    <cellStyle name="Normal 2 3" xfId="204"/>
    <cellStyle name="Normal 2 3 2" xfId="205"/>
    <cellStyle name="Normal 2 3 2 2" xfId="577"/>
    <cellStyle name="Normal 2 3 2 2 2" xfId="945"/>
    <cellStyle name="Normal 2 3 2 2 2 2" xfId="1857"/>
    <cellStyle name="Normal 2 3 2 2 3" xfId="1310"/>
    <cellStyle name="Normal 2 3 2 3" xfId="393"/>
    <cellStyle name="Normal 2 3 2 3 2" xfId="1675"/>
    <cellStyle name="Normal 2 3 2 4" xfId="763"/>
    <cellStyle name="Normal 2 3 2 4 2" xfId="1493"/>
    <cellStyle name="Normal 2 3 2 5" xfId="1128"/>
    <cellStyle name="Normal 2 3 3" xfId="576"/>
    <cellStyle name="Normal 2 3 3 2" xfId="944"/>
    <cellStyle name="Normal 2 3 3 2 2" xfId="1856"/>
    <cellStyle name="Normal 2 3 3 3" xfId="1309"/>
    <cellStyle name="Normal 2 3 4" xfId="392"/>
    <cellStyle name="Normal 2 3 4 2" xfId="1674"/>
    <cellStyle name="Normal 2 3 5" xfId="762"/>
    <cellStyle name="Normal 2 3 5 2" xfId="1492"/>
    <cellStyle name="Normal 2 3 6" xfId="1127"/>
    <cellStyle name="Normal 2 4" xfId="206"/>
    <cellStyle name="Normal 2 4 2" xfId="207"/>
    <cellStyle name="Normal 2 4 2 2" xfId="579"/>
    <cellStyle name="Normal 2 4 2 2 2" xfId="947"/>
    <cellStyle name="Normal 2 4 2 2 2 2" xfId="1859"/>
    <cellStyle name="Normal 2 4 2 2 3" xfId="1312"/>
    <cellStyle name="Normal 2 4 2 3" xfId="395"/>
    <cellStyle name="Normal 2 4 2 3 2" xfId="1677"/>
    <cellStyle name="Normal 2 4 2 4" xfId="765"/>
    <cellStyle name="Normal 2 4 2 4 2" xfId="1495"/>
    <cellStyle name="Normal 2 4 2 5" xfId="1130"/>
    <cellStyle name="Normal 2 4 3" xfId="578"/>
    <cellStyle name="Normal 2 4 3 2" xfId="946"/>
    <cellStyle name="Normal 2 4 3 2 2" xfId="1858"/>
    <cellStyle name="Normal 2 4 3 3" xfId="1311"/>
    <cellStyle name="Normal 2 4 4" xfId="394"/>
    <cellStyle name="Normal 2 4 4 2" xfId="1676"/>
    <cellStyle name="Normal 2 4 5" xfId="764"/>
    <cellStyle name="Normal 2 4 5 2" xfId="1494"/>
    <cellStyle name="Normal 2 4 6" xfId="1129"/>
    <cellStyle name="Normal 2 5" xfId="208"/>
    <cellStyle name="Normal 2 5 2" xfId="580"/>
    <cellStyle name="Normal 2 5 2 2" xfId="948"/>
    <cellStyle name="Normal 2 5 2 2 2" xfId="1860"/>
    <cellStyle name="Normal 2 5 2 3" xfId="1313"/>
    <cellStyle name="Normal 2 5 3" xfId="396"/>
    <cellStyle name="Normal 2 5 3 2" xfId="1678"/>
    <cellStyle name="Normal 2 5 4" xfId="766"/>
    <cellStyle name="Normal 2 5 4 2" xfId="1496"/>
    <cellStyle name="Normal 2 5 5" xfId="1131"/>
    <cellStyle name="Normal 2 6" xfId="209"/>
    <cellStyle name="Normal 2 6 2" xfId="581"/>
    <cellStyle name="Normal 2 6 2 2" xfId="949"/>
    <cellStyle name="Normal 2 6 2 2 2" xfId="1861"/>
    <cellStyle name="Normal 2 6 2 3" xfId="1314"/>
    <cellStyle name="Normal 2 6 3" xfId="397"/>
    <cellStyle name="Normal 2 6 3 2" xfId="1679"/>
    <cellStyle name="Normal 2 6 4" xfId="767"/>
    <cellStyle name="Normal 2 6 4 2" xfId="1497"/>
    <cellStyle name="Normal 2 6 5" xfId="1132"/>
    <cellStyle name="Normal 2 7" xfId="582"/>
    <cellStyle name="Normal 2 7 2" xfId="950"/>
    <cellStyle name="Normal 2 7 2 2" xfId="1862"/>
    <cellStyle name="Normal 2 7 3" xfId="1315"/>
    <cellStyle name="Normal 2 8" xfId="583"/>
    <cellStyle name="Normal 2 9" xfId="568"/>
    <cellStyle name="Normal 2 9 2" xfId="936"/>
    <cellStyle name="Normal 2 9 2 2" xfId="1848"/>
    <cellStyle name="Normal 2 9 3" xfId="1301"/>
    <cellStyle name="Normal 3" xfId="584"/>
    <cellStyle name="Normal 4" xfId="585"/>
    <cellStyle name="Note 2" xfId="210"/>
    <cellStyle name="Output" xfId="211" builtinId="21" customBuiltin="1"/>
    <cellStyle name="Title" xfId="212" builtinId="15" customBuiltin="1"/>
    <cellStyle name="Total" xfId="213" builtinId="25" customBuiltin="1"/>
    <cellStyle name="Warning Text" xfId="21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13739"/>
    </indexedColors>
    <mruColors>
      <color rgb="FFA4D7A1"/>
      <color rgb="FF00FFFF"/>
      <color rgb="FF008080"/>
      <color rgb="FFFFCC00"/>
      <color rgb="FFE8B9FF"/>
      <color rgb="FFFF00FF"/>
      <color rgb="FFDC97FF"/>
      <color rgb="FFCC66FF"/>
      <color rgb="FFDA9694"/>
      <color rgb="FF9FC1A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8"/>
  <sheetViews>
    <sheetView tabSelected="1" workbookViewId="0">
      <selection activeCell="B8" sqref="B8:L8"/>
    </sheetView>
  </sheetViews>
  <sheetFormatPr defaultRowHeight="12.75" x14ac:dyDescent="0.2"/>
  <cols>
    <col min="2" max="2" width="10" bestFit="1" customWidth="1"/>
    <col min="3" max="3" width="8" bestFit="1" customWidth="1"/>
  </cols>
  <sheetData>
    <row r="1" spans="2:12" ht="13.5" thickBot="1" x14ac:dyDescent="0.25"/>
    <row r="2" spans="2:12" ht="14.25" thickTop="1" thickBot="1" x14ac:dyDescent="0.25">
      <c r="B2" s="46" t="s">
        <v>290</v>
      </c>
      <c r="C2" s="368" t="s">
        <v>291</v>
      </c>
      <c r="D2" s="369"/>
      <c r="E2" s="369"/>
      <c r="F2" s="369"/>
      <c r="G2" s="369"/>
      <c r="H2" s="369"/>
      <c r="I2" s="369"/>
      <c r="J2" s="369"/>
      <c r="K2" s="369"/>
      <c r="L2" s="370"/>
    </row>
    <row r="3" spans="2:12" ht="14.25" thickTop="1" thickBot="1" x14ac:dyDescent="0.25">
      <c r="B3" s="47"/>
      <c r="C3" s="372" t="s">
        <v>292</v>
      </c>
      <c r="D3" s="373"/>
      <c r="E3" s="373"/>
      <c r="F3" s="373"/>
      <c r="G3" s="373"/>
      <c r="H3" s="373"/>
      <c r="I3" s="373"/>
      <c r="J3" s="373"/>
      <c r="K3" s="373"/>
      <c r="L3" s="374"/>
    </row>
    <row r="4" spans="2:12" ht="14.25" thickTop="1" thickBot="1" x14ac:dyDescent="0.25">
      <c r="B4" s="48"/>
      <c r="C4" s="375" t="s">
        <v>293</v>
      </c>
      <c r="D4" s="376"/>
      <c r="E4" s="376"/>
      <c r="F4" s="376"/>
      <c r="G4" s="376"/>
      <c r="H4" s="376"/>
      <c r="I4" s="376"/>
      <c r="J4" s="376"/>
      <c r="K4" s="376"/>
      <c r="L4" s="377"/>
    </row>
    <row r="5" spans="2:12" ht="14.25" thickTop="1" thickBot="1" x14ac:dyDescent="0.25">
      <c r="B5" s="49"/>
      <c r="C5" s="375" t="s">
        <v>294</v>
      </c>
      <c r="D5" s="376"/>
      <c r="E5" s="376"/>
      <c r="F5" s="376"/>
      <c r="G5" s="376"/>
      <c r="H5" s="376"/>
      <c r="I5" s="376"/>
      <c r="J5" s="376"/>
      <c r="K5" s="376"/>
      <c r="L5" s="377"/>
    </row>
    <row r="6" spans="2:12" ht="14.25" thickTop="1" thickBot="1" x14ac:dyDescent="0.25">
      <c r="B6" s="50"/>
      <c r="C6" s="378" t="s">
        <v>296</v>
      </c>
      <c r="D6" s="379"/>
      <c r="E6" s="379"/>
      <c r="F6" s="379"/>
      <c r="G6" s="379"/>
      <c r="H6" s="379"/>
      <c r="I6" s="379"/>
      <c r="J6" s="379"/>
      <c r="K6" s="379"/>
      <c r="L6" s="380"/>
    </row>
    <row r="7" spans="2:12" ht="13.5" thickTop="1" x14ac:dyDescent="0.2"/>
    <row r="8" spans="2:12" x14ac:dyDescent="0.2">
      <c r="B8" s="371" t="s">
        <v>297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</row>
  </sheetData>
  <mergeCells count="6">
    <mergeCell ref="C2:L2"/>
    <mergeCell ref="B8:L8"/>
    <mergeCell ref="C3:L3"/>
    <mergeCell ref="C4:L4"/>
    <mergeCell ref="C5:L5"/>
    <mergeCell ref="C6:L6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5"/>
  <sheetViews>
    <sheetView zoomScale="80" zoomScaleNormal="80" workbookViewId="0">
      <pane xSplit="3" ySplit="1" topLeftCell="D2" activePane="bottomRight" state="frozen"/>
      <selection activeCell="AD2" sqref="AD2:AD4"/>
      <selection pane="topRight" activeCell="AD2" sqref="AD2:AD4"/>
      <selection pane="bottomLeft" activeCell="AD2" sqref="AD2:AD4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2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8.8554687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28515625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9.28515625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8.85546875" style="289" bestFit="1" customWidth="1"/>
    <col min="127" max="127" width="6.28515625" style="249" bestFit="1" customWidth="1"/>
    <col min="128" max="128" width="12" style="249" bestFit="1" customWidth="1"/>
    <col min="129" max="129" width="8.85546875" style="289" bestFit="1" customWidth="1"/>
    <col min="130" max="130" width="6.285156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8.85546875" style="289" bestFit="1" customWidth="1"/>
    <col min="142" max="142" width="6.28515625" style="249" bestFit="1" customWidth="1"/>
    <col min="143" max="143" width="12" style="249" bestFit="1" customWidth="1"/>
    <col min="144" max="144" width="8.85546875" style="289" bestFit="1" customWidth="1"/>
    <col min="145" max="145" width="7.42578125" style="249" bestFit="1" customWidth="1"/>
    <col min="146" max="146" width="12" style="249" bestFit="1" customWidth="1"/>
    <col min="147" max="147" width="8.8554687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8.85546875" style="289" bestFit="1" customWidth="1"/>
    <col min="157" max="157" width="6.28515625" style="249" bestFit="1" customWidth="1"/>
    <col min="158" max="158" width="8.5703125" style="249" bestFit="1" customWidth="1"/>
    <col min="159" max="159" width="8.85546875" style="289" bestFit="1" customWidth="1"/>
    <col min="160" max="160" width="7.42578125" style="249" bestFit="1" customWidth="1"/>
    <col min="161" max="161" width="10.140625" style="249" bestFit="1" customWidth="1"/>
    <col min="162" max="162" width="8.8554687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7.42578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8.85546875" style="289" bestFit="1" customWidth="1"/>
    <col min="187" max="187" width="6.28515625" style="249" bestFit="1" customWidth="1"/>
    <col min="188" max="188" width="12" style="249" bestFit="1" customWidth="1"/>
    <col min="189" max="189" width="8.85546875" style="289" bestFit="1" customWidth="1"/>
    <col min="190" max="190" width="7.42578125" style="249" bestFit="1" customWidth="1"/>
    <col min="191" max="191" width="12" style="249" bestFit="1" customWidth="1"/>
    <col min="192" max="192" width="8.8554687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8.85546875" style="289" bestFit="1" customWidth="1"/>
    <col min="202" max="202" width="6.28515625" style="249" bestFit="1" customWidth="1"/>
    <col min="203" max="203" width="12" style="249" bestFit="1" customWidth="1"/>
    <col min="204" max="204" width="8.85546875" style="289" bestFit="1" customWidth="1"/>
    <col min="205" max="205" width="7.42578125" style="249" bestFit="1" customWidth="1"/>
    <col min="206" max="206" width="12" style="249" bestFit="1" customWidth="1"/>
    <col min="207" max="207" width="8.8554687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customHeight="1" thickTop="1" thickBot="1" x14ac:dyDescent="0.25">
      <c r="A1" s="603" t="s">
        <v>0</v>
      </c>
      <c r="B1" s="604"/>
      <c r="C1" s="605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1/((1/H10)+(1/H12)+(1/H13))</f>
        <v>9.641374120175902E-11</v>
      </c>
      <c r="I2" s="625" t="s">
        <v>313</v>
      </c>
      <c r="J2" s="619" t="s">
        <v>507</v>
      </c>
      <c r="K2" s="623">
        <f>1/((1/K14)+(1/K15)+(1/K16)+(1/K17))</f>
        <v>1.3694845353336472E-8</v>
      </c>
      <c r="L2" s="621" t="s">
        <v>311</v>
      </c>
      <c r="M2" s="617" t="s">
        <v>516</v>
      </c>
      <c r="N2" s="647">
        <f>((N5*N6*N7)/((1-EXP(-N7*N6))*N10*N15*(N9/365)*N13*(((N14/24)*N12)+((N16/24)*N11))))*N8*N17*N18</f>
        <v>1.2452309953134922E-6</v>
      </c>
      <c r="O2" s="615" t="s">
        <v>311</v>
      </c>
      <c r="P2" s="639" t="s">
        <v>516</v>
      </c>
      <c r="Q2" s="647">
        <f>((Q5*Q6*Q7)/((1-EXP(-Q7*Q6))*Q10*Q15*(Q9/365)*Q13*(((Q14/24)*Q12)+((Q16/24)*Q11))))*Q8*Q17*Q18</f>
        <v>2.5052610007580449E-6</v>
      </c>
      <c r="R2" s="637" t="s">
        <v>311</v>
      </c>
      <c r="S2" s="641" t="s">
        <v>516</v>
      </c>
      <c r="T2" s="647">
        <f>((T5*T6*T7)/((1-EXP(-T7*T6))*T10*T15*(T9/365)*T13*(((T14/24)*T12)+((T16/24)*T11))))*T8*T17*T18</f>
        <v>1.2452309953134922E-6</v>
      </c>
      <c r="U2" s="643" t="s">
        <v>311</v>
      </c>
      <c r="V2" s="55"/>
      <c r="W2" s="357"/>
      <c r="X2" s="56"/>
      <c r="Y2" s="57"/>
      <c r="Z2" s="357"/>
      <c r="AA2" s="58"/>
      <c r="AB2" s="650"/>
      <c r="AC2" s="660">
        <f>1/((1/AC32)+(1/AC33)+(1/AC34))</f>
        <v>1.3629048001069806E-6</v>
      </c>
      <c r="AD2" s="657">
        <f>1/((1/AD32)+(1/AD33)+(1/AD34))</f>
        <v>3.1288239810415441E-6</v>
      </c>
      <c r="AE2" s="657">
        <f>1/((1/AE32)+(1/AE33)+(1/AE34))</f>
        <v>1.5143386667855343E-6</v>
      </c>
      <c r="AF2" s="657">
        <f>1/((1/AF32)+(1/AF33)+(1/AF34))</f>
        <v>2.2326656491217034E-6</v>
      </c>
      <c r="AG2" s="654">
        <f>1/((1/AG32)+(1/AG33)+(1/AG34))</f>
        <v>4.4045772872692307E-5</v>
      </c>
      <c r="AH2" s="652" t="s">
        <v>311</v>
      </c>
      <c r="AI2" s="381" t="s">
        <v>516</v>
      </c>
      <c r="AJ2" s="387">
        <f>((AJ5*AJ6*AJ7)/((1-EXP(-AJ7*AJ6))*AJ15*(AJ9/365)*AJ10*(AJ16/24)*AJ11*AJ13))*AJ8*AJ17*AJ18</f>
        <v>4.7092886679742061E-6</v>
      </c>
      <c r="AK2" s="629" t="s">
        <v>311</v>
      </c>
      <c r="AL2" s="383" t="s">
        <v>516</v>
      </c>
      <c r="AM2" s="387">
        <f>((AM5*AM6*AM7)/((1-EXP(-AM7*AM6))*AM15*(AM9/365)*AM10*(AM16/24)*AM11*AM13))*AM8*AM17*AM18</f>
        <v>9.4745451129871566E-6</v>
      </c>
      <c r="AN2" s="629" t="s">
        <v>311</v>
      </c>
      <c r="AO2" s="383" t="s">
        <v>516</v>
      </c>
      <c r="AP2" s="387">
        <f>((AP5*AP6*AP7)/((1-EXP(-AP7*AP6))*AP15*(AP9/365)*AP10*(AP16/24)*AP11*AP13))*AP8*AP17*AP18</f>
        <v>4.7092886679742061E-6</v>
      </c>
      <c r="AQ2" s="635" t="s">
        <v>311</v>
      </c>
      <c r="AR2" s="381" t="s">
        <v>516</v>
      </c>
      <c r="AS2" s="387">
        <f>((AS5*AS6*AS7)/((1-EXP(-AS7*AS6))*AS15*(AS9/365)*AS10*(AS14/24)*AS12*AS13))*AS8*AS17*AS18</f>
        <v>2.0930171857663142E-6</v>
      </c>
      <c r="AT2" s="391" t="s">
        <v>311</v>
      </c>
      <c r="AU2" s="383" t="s">
        <v>516</v>
      </c>
      <c r="AV2" s="387">
        <f>((AV5*AV6*AV7)/((1-EXP(-AV7*AV6))*AV15*(AV9/365)*AV10*(AV14/24)*AV12*AV13))*AV8*AV17*AV18</f>
        <v>4.2109089391054032E-6</v>
      </c>
      <c r="AW2" s="391" t="s">
        <v>311</v>
      </c>
      <c r="AX2" s="383" t="s">
        <v>516</v>
      </c>
      <c r="AY2" s="387">
        <f>((AY5*AY6*AY7)/((1-EXP(-AY7*AY6))*AY15*(AY9/365)*AY10*(AY14/24)*AY12*AY13))*AY8*AY17*AY18</f>
        <v>2.0930171857663142E-6</v>
      </c>
      <c r="AZ2" s="385" t="s">
        <v>311</v>
      </c>
      <c r="BA2" s="381" t="s">
        <v>516</v>
      </c>
      <c r="BB2" s="387">
        <f>((BB5*BB6*BB7)/((1-EXP(-BB7*BB6))*BB15*(BB9/365)*BB10*((BB14+BB16)/24)*BB12*BB13))*BB8*BB17*BB18</f>
        <v>1.8837154671896826E-6</v>
      </c>
      <c r="BC2" s="391" t="s">
        <v>311</v>
      </c>
      <c r="BD2" s="383" t="s">
        <v>516</v>
      </c>
      <c r="BE2" s="387">
        <f>((BE5*BE6*BE7)/((1-EXP(-BE7*BE6))*BE15*(BE9/365)*BE10*((BE14+BE16)/24)*BE12*BE13))*BE8*BE17*BE18</f>
        <v>3.7898180451948631E-6</v>
      </c>
      <c r="BF2" s="391" t="s">
        <v>311</v>
      </c>
      <c r="BG2" s="383" t="s">
        <v>516</v>
      </c>
      <c r="BH2" s="387">
        <f>((BH5*BH6*BH7)/((1-EXP(-BH7*BH6))*BH15*(BH9/365)*BH10*((BH14+BH16)/24)*BH12*BH13))*BH8*BH17*BH18</f>
        <v>1.8837154671896826E-6</v>
      </c>
      <c r="BI2" s="385" t="s">
        <v>311</v>
      </c>
      <c r="BJ2" s="381" t="s">
        <v>558</v>
      </c>
      <c r="BK2" s="389">
        <f>((BK5*BK6*BK7)/((1-EXP(-BK7*BK6))*BK12*BK16*(BK9/365)*BK14*(BK15/24)*BK13))*BK8*BK17*BK18</f>
        <v>0.48956761345241423</v>
      </c>
      <c r="BL2" s="391" t="s">
        <v>311</v>
      </c>
      <c r="BM2" s="383" t="s">
        <v>559</v>
      </c>
      <c r="BN2" s="389">
        <f>((BN5*BN6*BN7)/((1-EXP(-BN7*BN6))*BN12*BN16*(BN9/365)*BN14*(BN15/24)*BN13))*BN8*BN17*BN18</f>
        <v>2.0561418794497177</v>
      </c>
      <c r="BO2" s="391" t="s">
        <v>311</v>
      </c>
      <c r="BP2" s="383" t="s">
        <v>560</v>
      </c>
      <c r="BQ2" s="389">
        <f>((BQ5*BQ6*BQ7)/((1-EXP(-BQ7*BQ6))*BQ12*BQ16*(BQ9/365)*BQ14*(BQ15/24)*BQ13))*BQ8*BQ17*BQ18</f>
        <v>0.59382471670754977</v>
      </c>
      <c r="BR2" s="385" t="s">
        <v>311</v>
      </c>
      <c r="BS2" s="59"/>
      <c r="BT2" s="110"/>
      <c r="BU2" s="250"/>
      <c r="BV2" s="402" t="s">
        <v>563</v>
      </c>
      <c r="BW2" s="400">
        <f>1/((1/BW10)+(1/BW11))</f>
        <v>2.887315235864124E-8</v>
      </c>
      <c r="BX2" s="404" t="s">
        <v>313</v>
      </c>
      <c r="BY2" s="402" t="s">
        <v>563</v>
      </c>
      <c r="BZ2" s="400">
        <f>1/((1/BZ13)+(1/BZ14)+(1/BZ15))</f>
        <v>6.7272257703757174E-6</v>
      </c>
      <c r="CA2" s="398" t="s">
        <v>311</v>
      </c>
      <c r="CB2" s="410" t="s">
        <v>558</v>
      </c>
      <c r="CC2" s="400">
        <f>((CC5*CC6*CC7)/((1-EXP(-CC7*CC6))*CC10*CC14*(CC9/365)*CC12*(CC13/24)*CC11))*CC8*CC15*CC16</f>
        <v>0.2663694932759888</v>
      </c>
      <c r="CD2" s="404" t="s">
        <v>311</v>
      </c>
      <c r="CE2" s="402" t="s">
        <v>559</v>
      </c>
      <c r="CF2" s="400">
        <f>((CF5*CF6*CF7)/((1-EXP(-CF7*CF6))*CF10*CF14*(CF9/365)*CF12*(CF13/24)*CF11))*CF8*CF15*CF16</f>
        <v>1.1187289671190566</v>
      </c>
      <c r="CG2" s="404" t="s">
        <v>311</v>
      </c>
      <c r="CH2" s="402" t="s">
        <v>560</v>
      </c>
      <c r="CI2" s="400">
        <f>((CI5*CI6*CI7)/((1-EXP(-CI7*CI6))*CI10*CI14*(CI9/365)*CI12*(CI13/24)*CI11))*CI8*CI15*CI16</f>
        <v>0.32309487910911899</v>
      </c>
      <c r="CJ2" s="398" t="s">
        <v>311</v>
      </c>
      <c r="CK2" s="410" t="s">
        <v>510</v>
      </c>
      <c r="CL2" s="400">
        <f>(CL5/(CL6*CL7*CL8*CL9))*CL11*CL10*CL15</f>
        <v>1.1197376963581948E-6</v>
      </c>
      <c r="CM2" s="404" t="s">
        <v>311</v>
      </c>
      <c r="CN2" s="402" t="s">
        <v>7</v>
      </c>
      <c r="CO2" s="400">
        <f>(CL2/(CO5*((CO10*CO12*CO13*(CO6+CO7))+(CO11*CO12))))*CL13</f>
        <v>6.2239946727121022E-3</v>
      </c>
      <c r="CP2" s="412" t="s">
        <v>311</v>
      </c>
      <c r="CQ2" s="402" t="s">
        <v>6</v>
      </c>
      <c r="CR2" s="400">
        <f>CL2/(CR5*CR6*(1/CR7))</f>
        <v>0.18662294939303245</v>
      </c>
      <c r="CS2" s="415" t="s">
        <v>313</v>
      </c>
      <c r="CT2" s="208"/>
      <c r="CU2" s="61"/>
      <c r="CV2" s="62"/>
      <c r="CW2" s="63"/>
      <c r="CX2" s="151"/>
      <c r="CY2" s="64"/>
      <c r="CZ2" s="65"/>
      <c r="DA2" s="66"/>
      <c r="DB2" s="67"/>
      <c r="DC2" s="704" t="s">
        <v>510</v>
      </c>
      <c r="DD2" s="674">
        <f>((DD5)/(DD6*(DD7+DD10)*DD20))*DD22*DD23*DD24</f>
        <v>5.7005232131395449E-10</v>
      </c>
      <c r="DE2" s="706" t="s">
        <v>311</v>
      </c>
      <c r="DF2" s="670" t="s">
        <v>510</v>
      </c>
      <c r="DG2" s="668">
        <f>(DD2/((1/DG24)*(DG5+DG6+DG7)))</f>
        <v>4.4788898513067357E-8</v>
      </c>
      <c r="DH2" s="666" t="s">
        <v>313</v>
      </c>
      <c r="DI2" s="680" t="s">
        <v>510</v>
      </c>
      <c r="DJ2" s="668">
        <f>(DD2/(DJ5+DJ6))*CU11</f>
        <v>2.2634042820554122E-9</v>
      </c>
      <c r="DK2" s="666" t="s">
        <v>313</v>
      </c>
      <c r="DL2" s="680" t="s">
        <v>554</v>
      </c>
      <c r="DM2" s="668">
        <f>(DD2/(DM5+DM6))*((DM9*DD21)/(1-EXP(-DD21*DM9)))</f>
        <v>2.2634042820554122E-9</v>
      </c>
      <c r="DN2" s="666" t="s">
        <v>313</v>
      </c>
      <c r="DO2" s="680" t="s">
        <v>553</v>
      </c>
      <c r="DP2" s="668">
        <f>-(DP5+DP6+DP7)/(DP23+DP24)</f>
        <v>-48.948458444089098</v>
      </c>
      <c r="DQ2" s="678" t="s">
        <v>19</v>
      </c>
      <c r="DR2" s="556" t="s">
        <v>510</v>
      </c>
      <c r="DS2" s="460">
        <f>(DS5/(DS6*DS7*DS16))*DS19*DS20*DS21</f>
        <v>3.6170892969349911E-10</v>
      </c>
      <c r="DT2" s="466" t="s">
        <v>311</v>
      </c>
      <c r="DU2" s="464" t="s">
        <v>510</v>
      </c>
      <c r="DV2" s="462">
        <f>DS2/(DV5*(1/DV8)*DV6*(1/DV7))</f>
        <v>9.6418270596351982E-3</v>
      </c>
      <c r="DW2" s="480" t="s">
        <v>313</v>
      </c>
      <c r="DX2" s="478" t="s">
        <v>510</v>
      </c>
      <c r="DY2" s="462">
        <f>(DS2/(DY9*(1/DY14)*((DY10*DY12*DY13*(DY5+DY6))+(DY11*DY12))))*CU11</f>
        <v>1.6725547740557102E-4</v>
      </c>
      <c r="DZ2" s="480" t="s">
        <v>313</v>
      </c>
      <c r="EA2" s="478" t="s">
        <v>554</v>
      </c>
      <c r="EB2" s="462">
        <f>(DS2/(EB9*(1/EB14)*((EB10*EB12*EB13*(EB5+EB6))+(EB11*EB12))))*((EB15*DS18)/(1-EXP(-DS18*EB15)))</f>
        <v>1.6725547740557102E-4</v>
      </c>
      <c r="EC2" s="480" t="s">
        <v>313</v>
      </c>
      <c r="ED2" s="478" t="s">
        <v>553</v>
      </c>
      <c r="EE2" s="462">
        <f>-EE15/((EE10*EE12*EE13*(EE5+EE6))+(EE11*EE12))</f>
        <v>-16.802282392818878</v>
      </c>
      <c r="EF2" s="476" t="s">
        <v>19</v>
      </c>
      <c r="EG2" s="474" t="s">
        <v>510</v>
      </c>
      <c r="EH2" s="472">
        <f>(EH5/(EH6*EH7*EH16))*EH19*EH20*EH21</f>
        <v>9.9140873311439738E-10</v>
      </c>
      <c r="EI2" s="470" t="s">
        <v>311</v>
      </c>
      <c r="EJ2" s="468" t="s">
        <v>510</v>
      </c>
      <c r="EK2" s="502">
        <f>EH2/(EK5*EK6*(1/EK7))</f>
        <v>3.7411650306203674E-5</v>
      </c>
      <c r="EL2" s="500" t="s">
        <v>313</v>
      </c>
      <c r="EM2" s="504" t="s">
        <v>510</v>
      </c>
      <c r="EN2" s="502">
        <f>(EH2/(EN9*((EN10*EN12*EN13*(EN5+EN6))+(EN11*EN12))))*CU11</f>
        <v>5.9460540597532224E-7</v>
      </c>
      <c r="EO2" s="500" t="s">
        <v>311</v>
      </c>
      <c r="EP2" s="504" t="s">
        <v>554</v>
      </c>
      <c r="EQ2" s="502">
        <f>(EH2/(EQ9*((EQ10*EQ12*EQ13*(EQ5+EQ6))+(EQ11*EQ12))))*((EQ14*EH18)/(1-EXP(-EH18*EQ14)))</f>
        <v>5.9460540597532224E-7</v>
      </c>
      <c r="ER2" s="500" t="s">
        <v>313</v>
      </c>
      <c r="ES2" s="504" t="s">
        <v>553</v>
      </c>
      <c r="ET2" s="502">
        <f>-ET15/((ET10*ET12*ET13*(ET5+ET6))+(ET11*ET12))</f>
        <v>-15.39462998242915</v>
      </c>
      <c r="EU2" s="514" t="s">
        <v>19</v>
      </c>
      <c r="EV2" s="512" t="s">
        <v>510</v>
      </c>
      <c r="EW2" s="510">
        <f>(EW5/(EW6*EW7*EW16))*EW19*EW20*EW21</f>
        <v>3.3160785595044152E-9</v>
      </c>
      <c r="EX2" s="508" t="s">
        <v>311</v>
      </c>
      <c r="EY2" s="506" t="s">
        <v>510</v>
      </c>
      <c r="EZ2" s="494">
        <f>EW2/(EZ5*EZ6*(1/EZ7))</f>
        <v>2.7633987995870123E-3</v>
      </c>
      <c r="FA2" s="498" t="s">
        <v>313</v>
      </c>
      <c r="FB2" s="496" t="s">
        <v>510</v>
      </c>
      <c r="FC2" s="494">
        <f>(EW2/(FC9*((FC10*FC12*FC13*(FC5+FC6))+(FC11*FC12))))*CU11</f>
        <v>1.58488316520758E-5</v>
      </c>
      <c r="FD2" s="498" t="s">
        <v>311</v>
      </c>
      <c r="FE2" s="496" t="s">
        <v>554</v>
      </c>
      <c r="FF2" s="494">
        <f>(EW2/(FF9*((FF10*FF12*FF13*(FF5+FF6))+(FF11*FF12))))*((FF14*EW18)/(1-EXP(-EW18*FF14)))</f>
        <v>1.58488316520758E-5</v>
      </c>
      <c r="FG2" s="498" t="s">
        <v>313</v>
      </c>
      <c r="FH2" s="496" t="s">
        <v>553</v>
      </c>
      <c r="FI2" s="494">
        <f>-FI15/((FI10*FI12*FI13*(FI5+FI6))+(FI11*FI12))</f>
        <v>-5.5552160701290481</v>
      </c>
      <c r="FJ2" s="492" t="s">
        <v>19</v>
      </c>
      <c r="FK2" s="490" t="s">
        <v>510</v>
      </c>
      <c r="FL2" s="488">
        <f>(FL5/(FL6*FL7*FL16))*FL19*FL20*FL21</f>
        <v>1.1383363612137173E-9</v>
      </c>
      <c r="FM2" s="486" t="s">
        <v>311</v>
      </c>
      <c r="FN2" s="484" t="s">
        <v>510</v>
      </c>
      <c r="FO2" s="430">
        <f>FL2/(FO5*(1/FO6))</f>
        <v>4.7430681717238226E-9</v>
      </c>
      <c r="FP2" s="428" t="s">
        <v>313</v>
      </c>
      <c r="FQ2" s="482" t="s">
        <v>510</v>
      </c>
      <c r="FR2" s="430">
        <f>((FL2*FR6)/FR5)*CU11</f>
        <v>1.9587187935719632E-11</v>
      </c>
      <c r="FS2" s="428" t="s">
        <v>311</v>
      </c>
      <c r="FT2" s="426" t="s">
        <v>554</v>
      </c>
      <c r="FU2" s="430">
        <f>((FL2*FU6)/FU5)*((FU7*FL18)/(1-EXP(-FL18*FU7)))</f>
        <v>1.9587187935719632E-11</v>
      </c>
      <c r="FV2" s="428" t="s">
        <v>313</v>
      </c>
      <c r="FW2" s="426" t="s">
        <v>553</v>
      </c>
      <c r="FX2" s="430">
        <f>-FX5/FX6</f>
        <v>-4.0000000000000001E-3</v>
      </c>
      <c r="FY2" s="438" t="s">
        <v>19</v>
      </c>
      <c r="FZ2" s="436" t="s">
        <v>510</v>
      </c>
      <c r="GA2" s="434">
        <f>(GA5/(GA6*GA7*GA16))*GA19*GA20*GA21</f>
        <v>1.6565423775878007E-9</v>
      </c>
      <c r="GB2" s="432" t="s">
        <v>311</v>
      </c>
      <c r="GC2" s="458" t="s">
        <v>510</v>
      </c>
      <c r="GD2" s="417">
        <f>(GA2/(GD5*GD6*(1/GD7)))</f>
        <v>6.9022599066158351E-4</v>
      </c>
      <c r="GE2" s="421" t="s">
        <v>313</v>
      </c>
      <c r="GF2" s="419" t="s">
        <v>510</v>
      </c>
      <c r="GG2" s="417">
        <f>(GA2/((GG9)*((GG10*GG12*GG13*(GG5+GG6))+(GG11*GG12))))*CU11</f>
        <v>3.9586307736391671E-6</v>
      </c>
      <c r="GH2" s="421" t="s">
        <v>311</v>
      </c>
      <c r="GI2" s="419" t="s">
        <v>554</v>
      </c>
      <c r="GJ2" s="417">
        <f>(GA2/((GJ9)*((GJ10*GJ12*GJ13*(GJ5+GJ6))+(GJ11*GJ12))))*((GJ14*GA18)/(1-EXP(-GA18*GJ14)))</f>
        <v>3.9586307736391671E-6</v>
      </c>
      <c r="GK2" s="421" t="s">
        <v>313</v>
      </c>
      <c r="GL2" s="419" t="s">
        <v>553</v>
      </c>
      <c r="GM2" s="417">
        <f>-GM15/((GM10*GM12*GM13*(GM5+GM6))+(GM11*GM12))</f>
        <v>-5.5552160701290481</v>
      </c>
      <c r="GN2" s="456" t="s">
        <v>19</v>
      </c>
      <c r="GO2" s="454" t="s">
        <v>510</v>
      </c>
      <c r="GP2" s="452">
        <f>(GP5/(GP6*GP7*GP15))*GP18*GP19*GP20</f>
        <v>1.8137395609942015E-9</v>
      </c>
      <c r="GQ2" s="450" t="s">
        <v>311</v>
      </c>
      <c r="GR2" s="448" t="s">
        <v>510</v>
      </c>
      <c r="GS2" s="442">
        <f>GP2/(GS5*GS6*(1/GS7))</f>
        <v>9.3588212641599645E-4</v>
      </c>
      <c r="GT2" s="446" t="s">
        <v>313</v>
      </c>
      <c r="GU2" s="444" t="s">
        <v>510</v>
      </c>
      <c r="GV2" s="442">
        <f>(GP2/((GV9)*((GV10*GV12*GV13*(GV5+GV6))+(GV11*GV12))))*CU11</f>
        <v>7.1288780990603264E-6</v>
      </c>
      <c r="GW2" s="446" t="s">
        <v>311</v>
      </c>
      <c r="GX2" s="444" t="s">
        <v>554</v>
      </c>
      <c r="GY2" s="442">
        <f>(GP2/((GY9)*((GY10*GY12*GY13*(GY5+GY6))+(GY11*GY12))))*((GY14*GP17)/(1-EXP(-GP17*GY14)))</f>
        <v>7.1288780990603264E-6</v>
      </c>
      <c r="GZ2" s="446" t="s">
        <v>313</v>
      </c>
      <c r="HA2" s="444" t="s">
        <v>553</v>
      </c>
      <c r="HB2" s="442">
        <f>-HB15/((HB10*HB12*HB13*(HB5+HB6))+(HB11*HB12))</f>
        <v>-7.3781469900331578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54">
        <v>2.41E-4</v>
      </c>
      <c r="C3" s="240"/>
      <c r="D3" s="317" t="s">
        <v>15</v>
      </c>
      <c r="E3" s="285">
        <f>1/((1/E20)+(1/E21))</f>
        <v>4.7998974769301925E-14</v>
      </c>
      <c r="F3" s="253" t="s">
        <v>312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7.007785342212725E-14</v>
      </c>
      <c r="X3" s="254" t="s">
        <v>312</v>
      </c>
      <c r="Y3" s="321" t="s">
        <v>16</v>
      </c>
      <c r="Z3" s="358">
        <f>1/((1/Z18)+(1/Z19))</f>
        <v>6.3070068079914529E-14</v>
      </c>
      <c r="AA3" s="255" t="s">
        <v>312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5.3758851741618177E-12</v>
      </c>
      <c r="BU3" s="250" t="s">
        <v>312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1.9417052958394839E-11</v>
      </c>
      <c r="CV3" s="71" t="s">
        <v>311</v>
      </c>
      <c r="CW3" s="326" t="s">
        <v>15</v>
      </c>
      <c r="CX3" s="117">
        <f>1/((1/CX20)+(1/CX21))</f>
        <v>2.983720084244966E-14</v>
      </c>
      <c r="CY3" s="256" t="s">
        <v>312</v>
      </c>
      <c r="CZ3" s="338" t="s">
        <v>285</v>
      </c>
      <c r="DA3" s="336">
        <f>1/((1/DA13)+(1/DA15)+(1/DA16)+(1/DA17)+(1/DA18)+(1/DA19)+(1/DA20)+(1/DA21)+(1/DA22))</f>
        <v>4.0926514629036705E-9</v>
      </c>
      <c r="DB3" s="72" t="s">
        <v>313</v>
      </c>
      <c r="DC3" s="704"/>
      <c r="DD3" s="674"/>
      <c r="DE3" s="706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(HE5*HE13*10^-3*(HE14+(HE9/HE10))*((HE11*HE7)/(1-EXP(-HE7*HE11))))*HE8*HE15*HE16</f>
        <v>1.8759514524232591E-11</v>
      </c>
      <c r="HF3" s="252" t="s">
        <v>311</v>
      </c>
    </row>
    <row r="4" spans="1:214" ht="13.5" customHeight="1" thickBot="1" x14ac:dyDescent="0.25">
      <c r="A4" s="279" t="s">
        <v>457</v>
      </c>
      <c r="B4" s="70">
        <v>0.753</v>
      </c>
      <c r="C4" s="241"/>
      <c r="D4" s="318" t="s">
        <v>16</v>
      </c>
      <c r="E4" s="286">
        <f>1/((1/E22)+(1/E23))</f>
        <v>4.900644173938581E-14</v>
      </c>
      <c r="F4" s="257" t="s">
        <v>312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6.8691877647659415E-14</v>
      </c>
      <c r="X4" s="258" t="s">
        <v>312</v>
      </c>
      <c r="Y4" s="322" t="s">
        <v>15</v>
      </c>
      <c r="Z4" s="359">
        <f>1/((1/Z16)+(1/Z17))</f>
        <v>6.1822689882893463E-14</v>
      </c>
      <c r="AA4" s="259" t="s">
        <v>312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5.4887214748112111E-12</v>
      </c>
      <c r="BU4" s="260" t="s">
        <v>312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2.2461979745294998E-9</v>
      </c>
      <c r="CV4" s="73" t="s">
        <v>311</v>
      </c>
      <c r="CW4" s="327" t="s">
        <v>16</v>
      </c>
      <c r="CX4" s="106">
        <f>1/((1/CX22)+(1/CX23))</f>
        <v>3.0804262094575235E-14</v>
      </c>
      <c r="CY4" s="261" t="s">
        <v>312</v>
      </c>
      <c r="CZ4" s="339" t="s">
        <v>11</v>
      </c>
      <c r="DA4" s="337">
        <f>1/((1/DA15)+(1/DA16)+(1/DA13))</f>
        <v>2.9871548025829773E-8</v>
      </c>
      <c r="DB4" s="74" t="s">
        <v>313</v>
      </c>
      <c r="DC4" s="705"/>
      <c r="DD4" s="675"/>
      <c r="DE4" s="707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4.1343708981110703E-13</v>
      </c>
      <c r="HF4" s="75" t="s">
        <v>311</v>
      </c>
    </row>
    <row r="5" spans="1:214" ht="14.25" thickTop="1" thickBot="1" x14ac:dyDescent="0.25">
      <c r="A5" s="589" t="s">
        <v>281</v>
      </c>
      <c r="B5" s="590"/>
      <c r="C5" s="591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6.0000000000000001E-3</v>
      </c>
      <c r="CQ5" s="262" t="s">
        <v>264</v>
      </c>
      <c r="CR5" s="287">
        <f>CO5</f>
        <v>6.0000000000000001E-3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6.6877504027585484E-4</v>
      </c>
      <c r="DH5" s="249" t="s">
        <v>19</v>
      </c>
      <c r="DI5" s="262" t="s">
        <v>20</v>
      </c>
      <c r="DJ5" s="305">
        <f>DJ7</f>
        <v>1.914E-5</v>
      </c>
      <c r="DK5" s="262"/>
      <c r="DL5" s="262" t="s">
        <v>20</v>
      </c>
      <c r="DM5" s="305">
        <f>DM7</f>
        <v>1.914E-5</v>
      </c>
      <c r="DO5" s="249" t="s">
        <v>18</v>
      </c>
      <c r="DP5" s="118">
        <f>(DP8*DP9*DP10*((1-EXP(-DP11*DP12))))/(DP13*DP11)</f>
        <v>6.6877504027585484E-4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4.2E-7</v>
      </c>
      <c r="DW5" s="262"/>
      <c r="DX5" s="262" t="s">
        <v>21</v>
      </c>
      <c r="DY5" s="305">
        <f>DY7</f>
        <v>2.1999999999999999E-5</v>
      </c>
      <c r="DZ5" s="262"/>
      <c r="EA5" s="262" t="s">
        <v>21</v>
      </c>
      <c r="EB5" s="305">
        <f>EB7</f>
        <v>2.1999999999999999E-5</v>
      </c>
      <c r="EC5" s="263"/>
      <c r="ED5" s="262" t="s">
        <v>21</v>
      </c>
      <c r="EE5" s="305">
        <f>EE7</f>
        <v>2.1999999999999999E-5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5.0000000000000001E-4</v>
      </c>
      <c r="EL5" s="262"/>
      <c r="EM5" s="262" t="s">
        <v>21</v>
      </c>
      <c r="EN5" s="305">
        <f>EN7</f>
        <v>2.1999999999999999E-5</v>
      </c>
      <c r="EO5" s="262"/>
      <c r="EP5" s="262" t="s">
        <v>21</v>
      </c>
      <c r="EQ5" s="305">
        <f>EQ7</f>
        <v>2.1999999999999999E-5</v>
      </c>
      <c r="ER5" s="263"/>
      <c r="ES5" s="262" t="s">
        <v>21</v>
      </c>
      <c r="ET5" s="305">
        <f>ET7</f>
        <v>2.1999999999999999E-5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3.0000000000000001E-3</v>
      </c>
      <c r="FA5" s="262"/>
      <c r="FB5" s="262" t="s">
        <v>21</v>
      </c>
      <c r="FC5" s="305">
        <f>FC7</f>
        <v>2.1999999999999999E-5</v>
      </c>
      <c r="FD5" s="262"/>
      <c r="FE5" s="262" t="s">
        <v>21</v>
      </c>
      <c r="FF5" s="305">
        <f>FF7</f>
        <v>2.1999999999999999E-5</v>
      </c>
      <c r="FG5" s="263"/>
      <c r="FH5" s="263" t="s">
        <v>21</v>
      </c>
      <c r="FI5" s="290">
        <f>FI7</f>
        <v>2.1999999999999999E-5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240</v>
      </c>
      <c r="FP5" s="263"/>
      <c r="FQ5" s="263" t="s">
        <v>122</v>
      </c>
      <c r="FR5" s="298">
        <f>B36</f>
        <v>240</v>
      </c>
      <c r="FS5" s="263"/>
      <c r="FT5" s="263" t="s">
        <v>122</v>
      </c>
      <c r="FU5" s="298">
        <f>B36</f>
        <v>240</v>
      </c>
      <c r="FV5" s="263"/>
      <c r="FW5" s="262" t="s">
        <v>181</v>
      </c>
      <c r="FX5" s="305">
        <f>B46</f>
        <v>4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6.0000000000000001E-3</v>
      </c>
      <c r="GE5" s="262"/>
      <c r="GF5" s="262" t="s">
        <v>21</v>
      </c>
      <c r="GG5" s="305">
        <f>GG7</f>
        <v>2.1999999999999999E-5</v>
      </c>
      <c r="GH5" s="262"/>
      <c r="GI5" s="262" t="s">
        <v>21</v>
      </c>
      <c r="GJ5" s="305">
        <f>GJ7</f>
        <v>2.1999999999999999E-5</v>
      </c>
      <c r="GK5" s="262"/>
      <c r="GL5" s="262" t="s">
        <v>21</v>
      </c>
      <c r="GM5" s="305">
        <f>GM7</f>
        <v>2.1999999999999999E-5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1.7000000000000001E-4</v>
      </c>
      <c r="GT5" s="262"/>
      <c r="GU5" s="262" t="s">
        <v>21</v>
      </c>
      <c r="GV5" s="305">
        <f>GV7</f>
        <v>2.1999999999999999E-5</v>
      </c>
      <c r="GW5" s="262"/>
      <c r="GX5" s="262" t="s">
        <v>21</v>
      </c>
      <c r="GY5" s="305">
        <f>GY7</f>
        <v>2.1999999999999999E-5</v>
      </c>
      <c r="GZ5" s="262"/>
      <c r="HA5" s="262" t="s">
        <v>21</v>
      </c>
      <c r="HB5" s="305">
        <f>HB7</f>
        <v>2.1999999999999999E-5</v>
      </c>
      <c r="HC5" s="263"/>
      <c r="HD5" s="265" t="s">
        <v>22</v>
      </c>
      <c r="HE5" s="292">
        <f>B47</f>
        <v>15</v>
      </c>
      <c r="HF5" s="262" t="s">
        <v>580</v>
      </c>
    </row>
    <row r="6" spans="1:214" ht="13.5" thickTop="1" x14ac:dyDescent="0.2">
      <c r="A6" s="278" t="s">
        <v>454</v>
      </c>
      <c r="B6" s="54">
        <v>1.17E-4</v>
      </c>
      <c r="C6" s="240"/>
      <c r="D6" s="262" t="s">
        <v>23</v>
      </c>
      <c r="E6" s="288">
        <f>0.693/E7</f>
        <v>1.6034243405830633E-3</v>
      </c>
      <c r="G6" s="262" t="s">
        <v>439</v>
      </c>
      <c r="H6" s="287">
        <f>B20</f>
        <v>1.036E-10</v>
      </c>
      <c r="I6" s="262" t="s">
        <v>35</v>
      </c>
      <c r="J6" s="262" t="s">
        <v>316</v>
      </c>
      <c r="K6" s="287">
        <f>B21</f>
        <v>1.8425999999999999E-10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1.6034243405830633E-3</v>
      </c>
      <c r="Y6" s="262" t="s">
        <v>23</v>
      </c>
      <c r="Z6" s="288">
        <f>0.693/Z7</f>
        <v>1.6034243405830633E-3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BQ12</f>
        <v>1</v>
      </c>
      <c r="BR6" s="249" t="s">
        <v>69</v>
      </c>
      <c r="BS6" s="262" t="s">
        <v>23</v>
      </c>
      <c r="BT6" s="288">
        <f>0.693/BT7</f>
        <v>1.6034243405830633E-3</v>
      </c>
      <c r="BV6" s="262" t="s">
        <v>163</v>
      </c>
      <c r="BW6" s="287">
        <f>B20</f>
        <v>1.036E-10</v>
      </c>
      <c r="BX6" s="262" t="s">
        <v>35</v>
      </c>
      <c r="BY6" s="262" t="s">
        <v>45</v>
      </c>
      <c r="BZ6" s="287">
        <f>B21</f>
        <v>1.8425999999999999E-10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1.3357000000000001E-10</v>
      </c>
      <c r="CM6" s="266" t="s">
        <v>13</v>
      </c>
      <c r="CN6" s="263" t="s">
        <v>21</v>
      </c>
      <c r="CO6" s="290">
        <f>CO8</f>
        <v>2.1999999999999999E-5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1.8425999999999999E-10</v>
      </c>
      <c r="CV6" s="262" t="s">
        <v>35</v>
      </c>
      <c r="CW6" s="262" t="s">
        <v>23</v>
      </c>
      <c r="CX6" s="288">
        <f>0.693/CX7</f>
        <v>1.6034243405830633E-3</v>
      </c>
      <c r="CZ6" s="262" t="s">
        <v>163</v>
      </c>
      <c r="DA6" s="287">
        <f>B20</f>
        <v>1.036E-10</v>
      </c>
      <c r="DB6" s="262" t="s">
        <v>35</v>
      </c>
      <c r="DC6" s="262" t="s">
        <v>438</v>
      </c>
      <c r="DD6" s="287">
        <f>B30</f>
        <v>1.3357000000000001E-10</v>
      </c>
      <c r="DE6" s="267" t="s">
        <v>35</v>
      </c>
      <c r="DF6" s="249" t="s">
        <v>27</v>
      </c>
      <c r="DG6" s="118">
        <f>(DG8*DG9*DG14*((1-EXP(-DG11*DG12))))/(DG13*DG11)</f>
        <v>9.0847184154504852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9.0847184154504852</v>
      </c>
      <c r="DQ6" s="249" t="s">
        <v>19</v>
      </c>
      <c r="DR6" s="262" t="s">
        <v>438</v>
      </c>
      <c r="DS6" s="287">
        <f>B30</f>
        <v>1.3357000000000001E-10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1.3357000000000001E-10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1.3357000000000001E-10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1.3357000000000001E-10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4</v>
      </c>
      <c r="FS6" s="249" t="s">
        <v>19</v>
      </c>
      <c r="FT6" s="262" t="s">
        <v>181</v>
      </c>
      <c r="FU6" s="305">
        <f>B46</f>
        <v>4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1.3357000000000001E-10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1.3357000000000001E-10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9.641374120175902E-11</v>
      </c>
      <c r="HF6" s="262" t="s">
        <v>313</v>
      </c>
    </row>
    <row r="7" spans="1:214" x14ac:dyDescent="0.2">
      <c r="A7" s="279" t="s">
        <v>455</v>
      </c>
      <c r="B7" s="70">
        <v>0.74299999999999999</v>
      </c>
      <c r="C7" s="241"/>
      <c r="D7" s="266" t="s">
        <v>270</v>
      </c>
      <c r="E7" s="287">
        <f>B31</f>
        <v>432.2</v>
      </c>
      <c r="F7" s="249" t="s">
        <v>69</v>
      </c>
      <c r="G7" s="262" t="s">
        <v>43</v>
      </c>
      <c r="H7" s="290">
        <f>B19</f>
        <v>3.7739999999999999E-8</v>
      </c>
      <c r="I7" s="263" t="s">
        <v>35</v>
      </c>
      <c r="J7" s="262" t="s">
        <v>43</v>
      </c>
      <c r="K7" s="290">
        <f>B19</f>
        <v>3.7739999999999999E-8</v>
      </c>
      <c r="L7" s="263" t="s">
        <v>35</v>
      </c>
      <c r="M7" s="262" t="s">
        <v>23</v>
      </c>
      <c r="N7" s="288">
        <f>0.693/N8</f>
        <v>1.6034243405830633E-3</v>
      </c>
      <c r="P7" s="262" t="s">
        <v>23</v>
      </c>
      <c r="Q7" s="288">
        <f>0.693/Q8</f>
        <v>1.6034243405830633E-3</v>
      </c>
      <c r="S7" s="262" t="s">
        <v>23</v>
      </c>
      <c r="T7" s="288">
        <f>0.693/T8</f>
        <v>1.6034243405830633E-3</v>
      </c>
      <c r="V7" s="266" t="s">
        <v>270</v>
      </c>
      <c r="W7" s="287">
        <f>B31</f>
        <v>432.2</v>
      </c>
      <c r="X7" s="249" t="s">
        <v>69</v>
      </c>
      <c r="Y7" s="266" t="s">
        <v>270</v>
      </c>
      <c r="Z7" s="287">
        <f>B31</f>
        <v>432.2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1.6034243405830633E-3</v>
      </c>
      <c r="AL7" s="262" t="s">
        <v>23</v>
      </c>
      <c r="AM7" s="288">
        <f>0.693/AM8</f>
        <v>1.6034243405830633E-3</v>
      </c>
      <c r="AO7" s="262" t="s">
        <v>23</v>
      </c>
      <c r="AP7" s="288">
        <f>0.693/AP8</f>
        <v>1.6034243405830633E-3</v>
      </c>
      <c r="AR7" s="262" t="s">
        <v>23</v>
      </c>
      <c r="AS7" s="288">
        <f>0.693/AS8</f>
        <v>1.6034243405830633E-3</v>
      </c>
      <c r="AU7" s="262" t="s">
        <v>23</v>
      </c>
      <c r="AV7" s="288">
        <f>0.693/AV8</f>
        <v>1.6034243405830633E-3</v>
      </c>
      <c r="AX7" s="262" t="s">
        <v>23</v>
      </c>
      <c r="AY7" s="288">
        <f>0.693/AY8</f>
        <v>1.6034243405830633E-3</v>
      </c>
      <c r="BA7" s="262" t="s">
        <v>23</v>
      </c>
      <c r="BB7" s="288">
        <f>0.693/BB8</f>
        <v>1.6034243405830633E-3</v>
      </c>
      <c r="BD7" s="262" t="s">
        <v>23</v>
      </c>
      <c r="BE7" s="288">
        <f>0.693/BE8</f>
        <v>1.6034243405830633E-3</v>
      </c>
      <c r="BG7" s="262" t="s">
        <v>23</v>
      </c>
      <c r="BH7" s="288">
        <f>0.693/BH8</f>
        <v>1.6034243405830633E-3</v>
      </c>
      <c r="BJ7" s="262" t="s">
        <v>23</v>
      </c>
      <c r="BK7" s="288">
        <f>0.693/BK8</f>
        <v>1.6034243405830633E-3</v>
      </c>
      <c r="BM7" s="262" t="s">
        <v>23</v>
      </c>
      <c r="BN7" s="288">
        <f>0.693/BN8</f>
        <v>1.6034243405830633E-3</v>
      </c>
      <c r="BP7" s="262" t="s">
        <v>23</v>
      </c>
      <c r="BQ7" s="288">
        <f>0.693/BQ8</f>
        <v>1.6034243405830633E-3</v>
      </c>
      <c r="BS7" s="266" t="s">
        <v>270</v>
      </c>
      <c r="BT7" s="287">
        <f>B31</f>
        <v>432.2</v>
      </c>
      <c r="BU7" s="249" t="s">
        <v>69</v>
      </c>
      <c r="BV7" s="262" t="s">
        <v>43</v>
      </c>
      <c r="BW7" s="290">
        <f>E10</f>
        <v>3.7739999999999999E-8</v>
      </c>
      <c r="BX7" s="263" t="s">
        <v>35</v>
      </c>
      <c r="BY7" s="262" t="s">
        <v>43</v>
      </c>
      <c r="BZ7" s="290">
        <f>B19</f>
        <v>3.7739999999999999E-8</v>
      </c>
      <c r="CA7" s="263" t="s">
        <v>35</v>
      </c>
      <c r="CB7" s="262" t="s">
        <v>23</v>
      </c>
      <c r="CC7" s="288">
        <f>0.693/CC8</f>
        <v>1.6034243405830633E-3</v>
      </c>
      <c r="CE7" s="262" t="s">
        <v>23</v>
      </c>
      <c r="CF7" s="288">
        <f>0.693/CF8</f>
        <v>1.6034243405830633E-3</v>
      </c>
      <c r="CH7" s="262" t="s">
        <v>23</v>
      </c>
      <c r="CI7" s="288">
        <f>0.693/CI8</f>
        <v>1.6034243405830633E-3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3.7739999999999999E-8</v>
      </c>
      <c r="CV7" s="263" t="s">
        <v>35</v>
      </c>
      <c r="CW7" s="266" t="s">
        <v>270</v>
      </c>
      <c r="CX7" s="287">
        <f>B31</f>
        <v>432.2</v>
      </c>
      <c r="CY7" s="249" t="s">
        <v>69</v>
      </c>
      <c r="CZ7" s="263" t="s">
        <v>43</v>
      </c>
      <c r="DA7" s="290">
        <f>B19</f>
        <v>3.7739999999999999E-8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3.6421488784670224</v>
      </c>
      <c r="DH7" s="249" t="s">
        <v>19</v>
      </c>
      <c r="DI7" s="262" t="s">
        <v>37</v>
      </c>
      <c r="DJ7" s="287">
        <f>B44</f>
        <v>1.914E-5</v>
      </c>
      <c r="DL7" s="262" t="s">
        <v>37</v>
      </c>
      <c r="DM7" s="287">
        <f>B44</f>
        <v>1.914E-5</v>
      </c>
      <c r="DO7" s="249" t="s">
        <v>36</v>
      </c>
      <c r="DP7" s="118">
        <f>(DP8*DP9*DP15*DP21*((1-EXP(-DP16*DP17))))/(DP18*DP16)</f>
        <v>3.6421488784670224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2.1999999999999999E-5</v>
      </c>
      <c r="EA7" s="262" t="s">
        <v>38</v>
      </c>
      <c r="EB7" s="287">
        <f>B45</f>
        <v>2.1999999999999999E-5</v>
      </c>
      <c r="EC7" s="263"/>
      <c r="ED7" s="262" t="s">
        <v>38</v>
      </c>
      <c r="EE7" s="287">
        <f>B45</f>
        <v>2.1999999999999999E-5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2.1999999999999999E-5</v>
      </c>
      <c r="EP7" s="262" t="s">
        <v>38</v>
      </c>
      <c r="EQ7" s="287">
        <f>B45</f>
        <v>2.1999999999999999E-5</v>
      </c>
      <c r="ER7" s="263"/>
      <c r="ES7" s="262" t="s">
        <v>38</v>
      </c>
      <c r="ET7" s="287">
        <f>B45</f>
        <v>2.1999999999999999E-5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2.1999999999999999E-5</v>
      </c>
      <c r="FD7" s="262"/>
      <c r="FE7" s="262" t="s">
        <v>38</v>
      </c>
      <c r="FF7" s="305">
        <f>B45</f>
        <v>2.1999999999999999E-5</v>
      </c>
      <c r="FG7" s="263"/>
      <c r="FH7" s="263" t="s">
        <v>38</v>
      </c>
      <c r="FI7" s="290">
        <f>B45</f>
        <v>2.1999999999999999E-5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2.1999999999999999E-5</v>
      </c>
      <c r="GH7" s="262"/>
      <c r="GI7" s="262" t="s">
        <v>38</v>
      </c>
      <c r="GJ7" s="305">
        <f>B45</f>
        <v>2.1999999999999999E-5</v>
      </c>
      <c r="GK7" s="262"/>
      <c r="GL7" s="262" t="s">
        <v>38</v>
      </c>
      <c r="GM7" s="305">
        <f>B45</f>
        <v>2.1999999999999999E-5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2.1999999999999999E-5</v>
      </c>
      <c r="GW7" s="262"/>
      <c r="GX7" s="262" t="s">
        <v>38</v>
      </c>
      <c r="GY7" s="305">
        <f>B45</f>
        <v>2.1999999999999999E-5</v>
      </c>
      <c r="GZ7" s="262"/>
      <c r="HA7" s="262" t="s">
        <v>38</v>
      </c>
      <c r="HB7" s="305">
        <f>B45</f>
        <v>2.1999999999999999E-5</v>
      </c>
      <c r="HC7" s="263"/>
      <c r="HD7" s="262" t="s">
        <v>23</v>
      </c>
      <c r="HE7" s="288">
        <f>0.693/HE8</f>
        <v>1.6034243405830633E-3</v>
      </c>
    </row>
    <row r="8" spans="1:214" x14ac:dyDescent="0.2">
      <c r="A8" s="279" t="s">
        <v>458</v>
      </c>
      <c r="B8" s="70">
        <v>1.35E-4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1.319423256E-13</v>
      </c>
      <c r="I8" s="263" t="s">
        <v>35</v>
      </c>
      <c r="J8" s="262" t="s">
        <v>71</v>
      </c>
      <c r="K8" s="287">
        <f>B23</f>
        <v>2.767285944E-8</v>
      </c>
      <c r="L8" s="262" t="s">
        <v>445</v>
      </c>
      <c r="M8" s="266" t="s">
        <v>270</v>
      </c>
      <c r="N8" s="287">
        <f>B31</f>
        <v>432.2</v>
      </c>
      <c r="O8" s="249" t="s">
        <v>69</v>
      </c>
      <c r="P8" s="266" t="s">
        <v>270</v>
      </c>
      <c r="Q8" s="287">
        <f>B31</f>
        <v>432.2</v>
      </c>
      <c r="R8" s="249" t="s">
        <v>69</v>
      </c>
      <c r="S8" s="266" t="s">
        <v>270</v>
      </c>
      <c r="T8" s="287">
        <f>B31</f>
        <v>432.2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432.2</v>
      </c>
      <c r="AK8" s="249" t="s">
        <v>69</v>
      </c>
      <c r="AL8" s="266" t="s">
        <v>270</v>
      </c>
      <c r="AM8" s="287">
        <f>B31</f>
        <v>432.2</v>
      </c>
      <c r="AN8" s="249" t="s">
        <v>69</v>
      </c>
      <c r="AO8" s="266" t="s">
        <v>270</v>
      </c>
      <c r="AP8" s="287">
        <f>B31</f>
        <v>432.2</v>
      </c>
      <c r="AQ8" s="249" t="s">
        <v>69</v>
      </c>
      <c r="AR8" s="266" t="s">
        <v>270</v>
      </c>
      <c r="AS8" s="287">
        <f>B31</f>
        <v>432.2</v>
      </c>
      <c r="AT8" s="249" t="s">
        <v>69</v>
      </c>
      <c r="AU8" s="266" t="s">
        <v>270</v>
      </c>
      <c r="AV8" s="287">
        <f>B31</f>
        <v>432.2</v>
      </c>
      <c r="AW8" s="249" t="s">
        <v>69</v>
      </c>
      <c r="AX8" s="266" t="s">
        <v>270</v>
      </c>
      <c r="AY8" s="287">
        <f>B31</f>
        <v>432.2</v>
      </c>
      <c r="AZ8" s="249" t="s">
        <v>69</v>
      </c>
      <c r="BA8" s="266" t="s">
        <v>270</v>
      </c>
      <c r="BB8" s="287">
        <f>B31</f>
        <v>432.2</v>
      </c>
      <c r="BC8" s="249" t="s">
        <v>69</v>
      </c>
      <c r="BD8" s="266" t="s">
        <v>270</v>
      </c>
      <c r="BE8" s="287">
        <f>B31</f>
        <v>432.2</v>
      </c>
      <c r="BF8" s="249" t="s">
        <v>69</v>
      </c>
      <c r="BG8" s="266" t="s">
        <v>270</v>
      </c>
      <c r="BH8" s="287">
        <f>B31</f>
        <v>432.2</v>
      </c>
      <c r="BI8" s="249" t="s">
        <v>69</v>
      </c>
      <c r="BJ8" s="266" t="s">
        <v>270</v>
      </c>
      <c r="BK8" s="287">
        <f>B31</f>
        <v>432.2</v>
      </c>
      <c r="BL8" s="249" t="s">
        <v>69</v>
      </c>
      <c r="BM8" s="266" t="s">
        <v>270</v>
      </c>
      <c r="BN8" s="287">
        <f>B31</f>
        <v>432.2</v>
      </c>
      <c r="BO8" s="249" t="s">
        <v>69</v>
      </c>
      <c r="BP8" s="266" t="s">
        <v>270</v>
      </c>
      <c r="BQ8" s="287">
        <f>B31</f>
        <v>432.2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1.319423256E-13</v>
      </c>
      <c r="BX8" s="263" t="s">
        <v>35</v>
      </c>
      <c r="BY8" s="262" t="s">
        <v>71</v>
      </c>
      <c r="BZ8" s="287">
        <f>B23</f>
        <v>2.767285944E-8</v>
      </c>
      <c r="CA8" s="262" t="s">
        <v>95</v>
      </c>
      <c r="CB8" s="266" t="s">
        <v>270</v>
      </c>
      <c r="CC8" s="287">
        <f>B31</f>
        <v>432.2</v>
      </c>
      <c r="CD8" s="249" t="s">
        <v>69</v>
      </c>
      <c r="CE8" s="266" t="s">
        <v>270</v>
      </c>
      <c r="CF8" s="287">
        <f>B31</f>
        <v>432.2</v>
      </c>
      <c r="CG8" s="249" t="s">
        <v>69</v>
      </c>
      <c r="CH8" s="266" t="s">
        <v>270</v>
      </c>
      <c r="CI8" s="287">
        <f>B31</f>
        <v>432.2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2.1999999999999999E-5</v>
      </c>
      <c r="CT8" s="262" t="s">
        <v>71</v>
      </c>
      <c r="CU8" s="287">
        <f>B23</f>
        <v>2.767285944E-8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1.319423256E-13</v>
      </c>
      <c r="DB8" s="262" t="s">
        <v>35</v>
      </c>
      <c r="DC8" s="262" t="s">
        <v>380</v>
      </c>
      <c r="DD8" s="297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432.2</v>
      </c>
      <c r="HF8" s="249" t="s">
        <v>69</v>
      </c>
    </row>
    <row r="9" spans="1:214" x14ac:dyDescent="0.2">
      <c r="A9" s="279" t="s">
        <v>459</v>
      </c>
      <c r="B9" s="70">
        <v>0.71099999999999997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1.3357000000000001E-10</v>
      </c>
      <c r="I9" s="267" t="s">
        <v>35</v>
      </c>
      <c r="J9" s="262" t="s">
        <v>438</v>
      </c>
      <c r="K9" s="287">
        <f>B30</f>
        <v>1.3357000000000001E-10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9.1019999999999999E-11</v>
      </c>
      <c r="AD9" s="287">
        <f>B22</f>
        <v>9.1019999999999999E-11</v>
      </c>
      <c r="AE9" s="287">
        <f>B22</f>
        <v>9.1019999999999999E-11</v>
      </c>
      <c r="AF9" s="287">
        <f>B22</f>
        <v>9.1019999999999999E-11</v>
      </c>
      <c r="AG9" s="287">
        <f>B22</f>
        <v>9.1019999999999999E-11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1.3357000000000001E-10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1.3357000000000001E-10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1.3357000000000001E-10</v>
      </c>
      <c r="DB9" s="263" t="s">
        <v>35</v>
      </c>
      <c r="DC9" s="262" t="s">
        <v>381</v>
      </c>
      <c r="DD9" s="297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4.2E-7</v>
      </c>
      <c r="EA9" s="262" t="s">
        <v>278</v>
      </c>
      <c r="EB9" s="287">
        <f>B37</f>
        <v>4.2E-7</v>
      </c>
      <c r="EC9" s="263"/>
      <c r="ED9" s="262" t="s">
        <v>278</v>
      </c>
      <c r="EE9" s="287">
        <f>B37</f>
        <v>4.2E-7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5.0000000000000001E-4</v>
      </c>
      <c r="EP9" s="262" t="s">
        <v>275</v>
      </c>
      <c r="EQ9" s="310">
        <f>B38</f>
        <v>5.0000000000000001E-4</v>
      </c>
      <c r="ER9" s="263"/>
      <c r="ES9" s="262" t="s">
        <v>275</v>
      </c>
      <c r="ET9" s="310">
        <f>B38</f>
        <v>5.0000000000000001E-4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3.0000000000000001E-3</v>
      </c>
      <c r="FD9" s="262"/>
      <c r="FE9" s="262" t="s">
        <v>201</v>
      </c>
      <c r="FF9" s="310">
        <f>B40</f>
        <v>3.0000000000000001E-3</v>
      </c>
      <c r="FG9" s="263"/>
      <c r="FH9" s="262" t="s">
        <v>201</v>
      </c>
      <c r="FI9" s="310">
        <f>B40</f>
        <v>3.0000000000000001E-3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6.0000000000000001E-3</v>
      </c>
      <c r="GH9" s="262"/>
      <c r="GI9" s="262" t="s">
        <v>276</v>
      </c>
      <c r="GJ9" s="310">
        <f>B39</f>
        <v>6.0000000000000001E-3</v>
      </c>
      <c r="GK9" s="262"/>
      <c r="GL9" s="262" t="s">
        <v>276</v>
      </c>
      <c r="GM9" s="310">
        <f>B39</f>
        <v>6.0000000000000001E-3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1.7000000000000001E-4</v>
      </c>
      <c r="GW9" s="262"/>
      <c r="GX9" s="262" t="s">
        <v>277</v>
      </c>
      <c r="GY9" s="310">
        <f>B41</f>
        <v>1.7000000000000001E-4</v>
      </c>
      <c r="GZ9" s="262"/>
      <c r="HA9" s="262" t="s">
        <v>277</v>
      </c>
      <c r="HB9" s="310">
        <f>B41</f>
        <v>1.7000000000000001E-4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2.2599999999999999E-4</v>
      </c>
      <c r="C10" s="185"/>
      <c r="D10" s="88" t="s">
        <v>43</v>
      </c>
      <c r="E10" s="187">
        <f>B19</f>
        <v>3.7739999999999999E-8</v>
      </c>
      <c r="F10" s="188" t="s">
        <v>35</v>
      </c>
      <c r="G10" s="266" t="s">
        <v>80</v>
      </c>
      <c r="H10" s="294">
        <f>(H5/(H6*H15))*H70*H68*H69</f>
        <v>1.4709690357093432E-10</v>
      </c>
      <c r="I10" s="271" t="s">
        <v>313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3.7739999999999999E-8</v>
      </c>
      <c r="X10" s="263" t="s">
        <v>44</v>
      </c>
      <c r="Y10" s="249" t="s">
        <v>43</v>
      </c>
      <c r="Z10" s="290">
        <f>B19</f>
        <v>3.7739999999999999E-8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3.7739999999999999E-8</v>
      </c>
      <c r="BU10" s="263" t="s">
        <v>35</v>
      </c>
      <c r="BV10" s="266" t="s">
        <v>80</v>
      </c>
      <c r="BW10" s="294">
        <f>(BW5/(BW6*BW12))*BW34*BW32*BW33</f>
        <v>2.8873236313236313E-8</v>
      </c>
      <c r="BX10" s="271" t="s">
        <v>313</v>
      </c>
      <c r="BY10" s="188" t="s">
        <v>16</v>
      </c>
      <c r="BZ10" s="109">
        <f>(BZ33*BZ11)/(1-EXP(-BZ11*BZ33))</f>
        <v>1.0209893435208997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315</v>
      </c>
      <c r="CL10" s="289">
        <f>B293</f>
        <v>241</v>
      </c>
      <c r="CM10" s="249" t="s">
        <v>309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3.7739999999999999E-8</v>
      </c>
      <c r="CY10" s="263" t="s">
        <v>35</v>
      </c>
      <c r="CZ10" s="263" t="s">
        <v>16</v>
      </c>
      <c r="DA10" s="288">
        <f>(DA38*DA11)/(1-EXP(-DA11*DA38))</f>
        <v>1.0324112592609469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1.914E-5</v>
      </c>
      <c r="DL10" s="267"/>
      <c r="DO10" s="267" t="s">
        <v>37</v>
      </c>
      <c r="DP10" s="287">
        <f>B44</f>
        <v>1.914E-5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0.66200000000000003</v>
      </c>
      <c r="C11" s="185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(H5/(H7*H16*H28))*H70*H68*H69</f>
        <v>9.5997972396949361E-14</v>
      </c>
      <c r="I11" s="271" t="s">
        <v>313</v>
      </c>
      <c r="J11" s="188" t="s">
        <v>16</v>
      </c>
      <c r="K11" s="109">
        <f>(K46*K12)/(1-EXP(-K12*K46))</f>
        <v>1.0209893435208997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(BW5/(BW8*(1/BW31)*BW15))*BW34*BW32*BW33</f>
        <v>9.9299073559641852E-3</v>
      </c>
      <c r="BX11" s="271" t="s">
        <v>313</v>
      </c>
      <c r="BY11" s="266" t="s">
        <v>23</v>
      </c>
      <c r="BZ11" s="109">
        <f>0.693/BZ12</f>
        <v>1.6034243405830633E-3</v>
      </c>
      <c r="CA11" s="88"/>
      <c r="CB11" s="249" t="s">
        <v>456</v>
      </c>
      <c r="CC11" s="287">
        <f>B3</f>
        <v>2.41E-4</v>
      </c>
      <c r="CE11" s="249" t="s">
        <v>454</v>
      </c>
      <c r="CF11" s="287">
        <f>B6</f>
        <v>1.17E-4</v>
      </c>
      <c r="CH11" s="249" t="s">
        <v>460</v>
      </c>
      <c r="CI11" s="287">
        <f>B10</f>
        <v>2.2599999999999999E-4</v>
      </c>
      <c r="CK11" s="266" t="s">
        <v>270</v>
      </c>
      <c r="CL11" s="287">
        <f>B31</f>
        <v>432.2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1.0324112592609469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1.6034243405830633E-3</v>
      </c>
      <c r="DC11" s="262" t="s">
        <v>382</v>
      </c>
      <c r="DD11" s="297">
        <f>B141</f>
        <v>41.7</v>
      </c>
      <c r="DE11" s="267" t="s">
        <v>254</v>
      </c>
      <c r="DF11" s="267" t="s">
        <v>55</v>
      </c>
      <c r="DG11" s="288">
        <f>DG19+DG20</f>
        <v>3.1394977168949772E-5</v>
      </c>
      <c r="DL11" s="267"/>
      <c r="DO11" s="267" t="s">
        <v>55</v>
      </c>
      <c r="DP11" s="288">
        <f>DP19+DP20</f>
        <v>3.1394977168949772E-5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1.5699999999999999E-5</v>
      </c>
      <c r="C12" s="185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(H5/(H8*(1/H45)*H21))*H70*H68*H69</f>
        <v>3.1722344928129353E-3</v>
      </c>
      <c r="I12" s="271" t="s">
        <v>313</v>
      </c>
      <c r="J12" s="266" t="s">
        <v>23</v>
      </c>
      <c r="K12" s="109">
        <f>0.693/K13</f>
        <v>1.6034243405830633E-3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432.2</v>
      </c>
      <c r="CA12" s="88" t="s">
        <v>69</v>
      </c>
      <c r="CB12" s="249" t="s">
        <v>457</v>
      </c>
      <c r="CC12" s="287">
        <f>B4</f>
        <v>0.753</v>
      </c>
      <c r="CE12" s="249" t="s">
        <v>455</v>
      </c>
      <c r="CF12" s="287">
        <f>B7</f>
        <v>0.74299999999999999</v>
      </c>
      <c r="CH12" s="249" t="s">
        <v>461</v>
      </c>
      <c r="CI12" s="287">
        <f>B11</f>
        <v>0.66200000000000003</v>
      </c>
      <c r="CK12" s="249" t="s">
        <v>23</v>
      </c>
      <c r="CL12" s="288">
        <f>693/CL11</f>
        <v>1.6034243405830635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1.6034243405830633E-3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432.2</v>
      </c>
      <c r="DB12" s="249" t="s">
        <v>69</v>
      </c>
      <c r="DC12" s="262" t="s">
        <v>383</v>
      </c>
      <c r="DD12" s="297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0.80900000000000005</v>
      </c>
      <c r="C13" s="186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>
        <f>(H14/((1/H42)*(H50+H51+H52)))</f>
        <v>2.7982003056876556E-10</v>
      </c>
      <c r="I13" s="271" t="s">
        <v>313</v>
      </c>
      <c r="J13" s="266" t="s">
        <v>270</v>
      </c>
      <c r="K13" s="189">
        <f>B31</f>
        <v>432.2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2.41E-4</v>
      </c>
      <c r="BM13" s="249" t="s">
        <v>454</v>
      </c>
      <c r="BN13" s="287">
        <f>B6</f>
        <v>1.17E-4</v>
      </c>
      <c r="BP13" s="249" t="s">
        <v>460</v>
      </c>
      <c r="BQ13" s="287">
        <f>B10</f>
        <v>2.2599999999999999E-4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>
        <f>((BZ5/(BZ6*BZ16*(1/BZ36)))*BZ10)*BZ12*BZ37*BZ38</f>
        <v>6.7334670170143573E-6</v>
      </c>
      <c r="CA13" s="271" t="s">
        <v>311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41.689032855159653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432.2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>
        <f>(DA5/(DA6*DA23))*DA12*DA50*DA51</f>
        <v>8.9688433176390361E-8</v>
      </c>
      <c r="DB13" s="266" t="s">
        <v>313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584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>
        <f>(H5/(H9*(H22+H25)*H43))*H70*H68*H69</f>
        <v>3.5614195318808338E-12</v>
      </c>
      <c r="I14" s="271" t="s">
        <v>311</v>
      </c>
      <c r="J14" s="266" t="s">
        <v>80</v>
      </c>
      <c r="K14" s="294">
        <f>((K5/(K6*K19*(1/K49)))*K11)*K13*K54*K55</f>
        <v>1.4428857893602196E-6</v>
      </c>
      <c r="L14" s="271" t="s">
        <v>311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5.8031270640000001E-11</v>
      </c>
      <c r="X14" s="262" t="s">
        <v>64</v>
      </c>
      <c r="Y14" s="262" t="s">
        <v>63</v>
      </c>
      <c r="Z14" s="287">
        <f>B28</f>
        <v>5.8031270640000001E-11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0.753</v>
      </c>
      <c r="BM14" s="249" t="s">
        <v>455</v>
      </c>
      <c r="BN14" s="287">
        <f>B7</f>
        <v>0.74299999999999999</v>
      </c>
      <c r="BP14" s="249" t="s">
        <v>461</v>
      </c>
      <c r="BQ14" s="287">
        <f>B11</f>
        <v>0.66200000000000003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((BZ5/(BZ7*BZ17*(1/BZ9)*BZ35))*BZ10)*BZ12*BZ37*BZ38</f>
        <v>7.4610649803873918E-3</v>
      </c>
      <c r="CA14" s="271" t="s">
        <v>311</v>
      </c>
      <c r="CB14" s="249" t="s">
        <v>71</v>
      </c>
      <c r="CC14" s="290">
        <f>B23</f>
        <v>2.767285944E-8</v>
      </c>
      <c r="CD14" s="263" t="s">
        <v>72</v>
      </c>
      <c r="CE14" s="249" t="s">
        <v>71</v>
      </c>
      <c r="CF14" s="290">
        <f>B25</f>
        <v>1.3754695536000001E-8</v>
      </c>
      <c r="CG14" s="263" t="s">
        <v>72</v>
      </c>
      <c r="CH14" s="249" t="s">
        <v>71</v>
      </c>
      <c r="CI14" s="290">
        <f>B27</f>
        <v>2.767285944E-8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((CU5/(CU6*CU24*(1/CU47)))*CU11)*CU13*CU48*CU49</f>
        <v>1.0149756558253893E-6</v>
      </c>
      <c r="CV14" s="271" t="s">
        <v>311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(DA5/(DA7*DA24*DA46))*DA12*DA50*DA51</f>
        <v>5.9674415273779343E-11</v>
      </c>
      <c r="DB14" s="266" t="s">
        <v>313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4</v>
      </c>
      <c r="HF14" s="249" t="s">
        <v>19</v>
      </c>
    </row>
    <row r="15" spans="1:214" x14ac:dyDescent="0.2">
      <c r="A15" s="585"/>
      <c r="B15" s="586"/>
      <c r="C15" s="5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((K5/(K7*K20*(1/K10)*K48))*K11)*K13*K54*K55</f>
        <v>6.6616651610601726E-5</v>
      </c>
      <c r="L15" s="271" t="s">
        <v>311</v>
      </c>
      <c r="M15" s="249" t="s">
        <v>448</v>
      </c>
      <c r="N15" s="290">
        <f>B23</f>
        <v>2.767285944E-8</v>
      </c>
      <c r="O15" s="263" t="s">
        <v>446</v>
      </c>
      <c r="P15" s="249" t="s">
        <v>449</v>
      </c>
      <c r="Q15" s="290">
        <f>B25</f>
        <v>1.3754695536000001E-8</v>
      </c>
      <c r="R15" s="263" t="s">
        <v>446</v>
      </c>
      <c r="S15" s="249" t="s">
        <v>453</v>
      </c>
      <c r="T15" s="290">
        <f>B27</f>
        <v>2.767285944E-8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2.767285944E-8</v>
      </c>
      <c r="AK15" s="263" t="s">
        <v>72</v>
      </c>
      <c r="AL15" s="262" t="s">
        <v>449</v>
      </c>
      <c r="AM15" s="290">
        <f>B25</f>
        <v>1.3754695536000001E-8</v>
      </c>
      <c r="AN15" s="263" t="s">
        <v>72</v>
      </c>
      <c r="AO15" s="262" t="s">
        <v>452</v>
      </c>
      <c r="AP15" s="290">
        <f>B27</f>
        <v>2.767285944E-8</v>
      </c>
      <c r="AQ15" s="263" t="s">
        <v>72</v>
      </c>
      <c r="AR15" s="249" t="s">
        <v>448</v>
      </c>
      <c r="AS15" s="290">
        <f>B23</f>
        <v>2.767285944E-8</v>
      </c>
      <c r="AT15" s="263" t="s">
        <v>72</v>
      </c>
      <c r="AU15" s="262" t="s">
        <v>449</v>
      </c>
      <c r="AV15" s="290">
        <f>B25</f>
        <v>1.3754695536000001E-8</v>
      </c>
      <c r="AW15" s="263" t="s">
        <v>72</v>
      </c>
      <c r="AX15" s="262" t="s">
        <v>452</v>
      </c>
      <c r="AY15" s="290">
        <f>B27</f>
        <v>2.767285944E-8</v>
      </c>
      <c r="AZ15" s="263" t="s">
        <v>72</v>
      </c>
      <c r="BA15" s="249" t="s">
        <v>448</v>
      </c>
      <c r="BB15" s="290">
        <f>B23</f>
        <v>2.767285944E-8</v>
      </c>
      <c r="BC15" s="263" t="s">
        <v>72</v>
      </c>
      <c r="BD15" s="262" t="s">
        <v>449</v>
      </c>
      <c r="BE15" s="290">
        <f>B25</f>
        <v>1.3754695536000001E-8</v>
      </c>
      <c r="BF15" s="263" t="s">
        <v>72</v>
      </c>
      <c r="BG15" s="262" t="s">
        <v>452</v>
      </c>
      <c r="BH15" s="290">
        <f>B27</f>
        <v>2.767285944E-8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(((BZ5)/(BZ8*BZ22*(1/BZ34)*BZ25*BZ28*(1/24)*BZ31*BZ32))*BZ10)*BZ12*BZ37*BZ38</f>
        <v>0.26636949327598891</v>
      </c>
      <c r="CA15" s="271" t="s">
        <v>311</v>
      </c>
      <c r="CB15" s="95" t="s">
        <v>315</v>
      </c>
      <c r="CC15" s="289">
        <f>B293</f>
        <v>241</v>
      </c>
      <c r="CD15" s="249" t="s">
        <v>309</v>
      </c>
      <c r="CE15" s="95" t="s">
        <v>315</v>
      </c>
      <c r="CF15" s="289">
        <f>B293</f>
        <v>241</v>
      </c>
      <c r="CG15" s="249" t="s">
        <v>309</v>
      </c>
      <c r="CH15" s="95" t="s">
        <v>315</v>
      </c>
      <c r="CI15" s="289">
        <f>B293</f>
        <v>241</v>
      </c>
      <c r="CJ15" s="249" t="s">
        <v>309</v>
      </c>
      <c r="CK15" s="267" t="s">
        <v>310</v>
      </c>
      <c r="CL15" s="289">
        <f>B294</f>
        <v>2.8000000000000002E-12</v>
      </c>
      <c r="CT15" s="266" t="s">
        <v>74</v>
      </c>
      <c r="CU15" s="295">
        <f>((CU5/(CU7*CU25*(1/CU10)*CU46))*CU11)*CU13*CU48*CU49</f>
        <v>4.1873612976349262E-5</v>
      </c>
      <c r="CV15" s="271" t="s">
        <v>311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(DA5/(DA8*DA25*(DA47/DA48)))*DA12*DA50*DA51</f>
        <v>2.020590560798305</v>
      </c>
      <c r="DB15" s="266" t="s">
        <v>313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95" t="s">
        <v>315</v>
      </c>
      <c r="HE15" s="292">
        <f>B293</f>
        <v>241</v>
      </c>
      <c r="HF15" s="249" t="s">
        <v>309</v>
      </c>
    </row>
    <row r="16" spans="1:214" s="51" customFormat="1" x14ac:dyDescent="0.2">
      <c r="A16" s="585"/>
      <c r="B16" s="586"/>
      <c r="C16" s="5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((K5/(K8*K45*((K40*K44*(1/24))+(K41*K43*(1/24)))*K32*(1/K47)*K34))*K11)*K13*K54*K55</f>
        <v>1.2452309953134922E-6</v>
      </c>
      <c r="L16" s="271" t="s">
        <v>311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((W5)/((W11/W12)*W8*W9*W10*W13))*W7*W20*W21</f>
        <v>6.8691882470706004E-14</v>
      </c>
      <c r="X16" s="88" t="s">
        <v>15</v>
      </c>
      <c r="Y16" s="88" t="s">
        <v>74</v>
      </c>
      <c r="Z16" s="294">
        <f>((Z5)/((Z11/Z12)*Z8*Z9*Z10*Z13))*Z7*Z20*Z21</f>
        <v>6.1822694223635393E-14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2.41E-4</v>
      </c>
      <c r="AG16" s="305">
        <f>B3</f>
        <v>2.41E-4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2.767285944E-8</v>
      </c>
      <c r="BL16" s="263" t="s">
        <v>72</v>
      </c>
      <c r="BM16" s="262" t="s">
        <v>449</v>
      </c>
      <c r="BN16" s="290">
        <f>B25</f>
        <v>1.3754695536000001E-8</v>
      </c>
      <c r="BO16" s="263" t="s">
        <v>72</v>
      </c>
      <c r="BP16" s="262" t="s">
        <v>452</v>
      </c>
      <c r="BQ16" s="290">
        <f>B27</f>
        <v>2.767285944E-8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7" t="s">
        <v>310</v>
      </c>
      <c r="CC16" s="293">
        <f>B294</f>
        <v>2.8000000000000002E-12</v>
      </c>
      <c r="CD16" s="262"/>
      <c r="CE16" s="267" t="s">
        <v>310</v>
      </c>
      <c r="CF16" s="293">
        <f>B294</f>
        <v>2.8000000000000002E-12</v>
      </c>
      <c r="CG16" s="262"/>
      <c r="CH16" s="267" t="s">
        <v>310</v>
      </c>
      <c r="CI16" s="289">
        <f>B294</f>
        <v>2.8000000000000002E-12</v>
      </c>
      <c r="CJ16" s="249"/>
      <c r="CK16" s="267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((CU5*CU44*CU12)/((1-EXP(-CU12*CU44))*CU8*CU31*(1/365)*CU32*((CU38*(1/24)*CU42)+(CU39*(1/24)*CU41))*CU43))*CU13*CU48*CU49</f>
        <v>4.2100994393008219E-7</v>
      </c>
      <c r="CV16" s="271" t="s">
        <v>311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>
        <f>DG2</f>
        <v>4.4788898513067357E-8</v>
      </c>
      <c r="DB16" s="266" t="s">
        <v>313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4.9504394977168943E-2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4.9504394977168943E-2</v>
      </c>
      <c r="DQ16" s="262" t="s">
        <v>82</v>
      </c>
      <c r="DR16" s="267" t="s">
        <v>400</v>
      </c>
      <c r="DS16" s="297">
        <f>B175</f>
        <v>1</v>
      </c>
      <c r="DT16" s="249"/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4.9504394977168943E-2</v>
      </c>
      <c r="EF16" s="262" t="s">
        <v>82</v>
      </c>
      <c r="EG16" s="267" t="s">
        <v>401</v>
      </c>
      <c r="EH16" s="297">
        <f>B176</f>
        <v>1</v>
      </c>
      <c r="EI16" s="249"/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4.9504394977168943E-2</v>
      </c>
      <c r="EU16" s="262" t="s">
        <v>82</v>
      </c>
      <c r="EV16" s="267" t="s">
        <v>402</v>
      </c>
      <c r="EW16" s="297">
        <f>B177</f>
        <v>1</v>
      </c>
      <c r="EX16" s="249"/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4.9504394977168943E-2</v>
      </c>
      <c r="FJ16" s="262" t="s">
        <v>82</v>
      </c>
      <c r="FK16" s="267" t="s">
        <v>403</v>
      </c>
      <c r="FL16" s="297">
        <f>B178</f>
        <v>1</v>
      </c>
      <c r="FM16" s="249"/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B16" s="249"/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4.9504394977168943E-2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4.9504394977168943E-2</v>
      </c>
      <c r="HC16" s="262" t="s">
        <v>82</v>
      </c>
      <c r="HD16" s="267" t="s">
        <v>310</v>
      </c>
      <c r="HE16" s="292">
        <f>B295</f>
        <v>2.8000000000000001E-15</v>
      </c>
      <c r="HF16" s="267"/>
    </row>
    <row r="17" spans="1:214" ht="13.5" thickBot="1" x14ac:dyDescent="0.25">
      <c r="A17" s="587"/>
      <c r="B17" s="588"/>
      <c r="C17" s="588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>
        <f>(K18/(K50+K51))*K11</f>
        <v>1.3984245120791964E-8</v>
      </c>
      <c r="L17" s="271" t="s">
        <v>311</v>
      </c>
      <c r="M17" s="95" t="s">
        <v>315</v>
      </c>
      <c r="N17" s="293">
        <f>B293</f>
        <v>241</v>
      </c>
      <c r="O17" s="249" t="s">
        <v>309</v>
      </c>
      <c r="P17" s="95" t="s">
        <v>315</v>
      </c>
      <c r="Q17" s="293">
        <f>B293</f>
        <v>241</v>
      </c>
      <c r="R17" s="249" t="s">
        <v>309</v>
      </c>
      <c r="S17" s="95" t="s">
        <v>315</v>
      </c>
      <c r="T17" s="293">
        <f>B293</f>
        <v>241</v>
      </c>
      <c r="U17" s="249" t="s">
        <v>309</v>
      </c>
      <c r="V17" s="88" t="s">
        <v>78</v>
      </c>
      <c r="W17" s="296">
        <f>((W5)/((W11/W12)*W8*W9*W14*(1/365)))*W7*W20*W21</f>
        <v>9.7833896082571344E-7</v>
      </c>
      <c r="X17" s="88" t="s">
        <v>15</v>
      </c>
      <c r="Y17" s="88" t="s">
        <v>78</v>
      </c>
      <c r="Z17" s="296">
        <f>((Z5)/((Z11/Z12)*Z8*Z9*Z14*(1/365)))*Z7*Z20*Z21</f>
        <v>8.8050506474314237E-7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95" t="s">
        <v>315</v>
      </c>
      <c r="AJ17" s="293">
        <f>B293</f>
        <v>241</v>
      </c>
      <c r="AK17" s="249" t="s">
        <v>309</v>
      </c>
      <c r="AL17" s="95" t="s">
        <v>315</v>
      </c>
      <c r="AM17" s="293">
        <f>B293</f>
        <v>241</v>
      </c>
      <c r="AN17" s="249" t="s">
        <v>309</v>
      </c>
      <c r="AO17" s="95" t="s">
        <v>315</v>
      </c>
      <c r="AP17" s="293">
        <f>B293</f>
        <v>241</v>
      </c>
      <c r="AQ17" s="249" t="s">
        <v>309</v>
      </c>
      <c r="AR17" s="95" t="s">
        <v>315</v>
      </c>
      <c r="AS17" s="293">
        <f>B293</f>
        <v>241</v>
      </c>
      <c r="AT17" s="249" t="s">
        <v>309</v>
      </c>
      <c r="AU17" s="95" t="s">
        <v>315</v>
      </c>
      <c r="AV17" s="293">
        <f>B293</f>
        <v>241</v>
      </c>
      <c r="AW17" s="249" t="s">
        <v>309</v>
      </c>
      <c r="AX17" s="95" t="s">
        <v>315</v>
      </c>
      <c r="AY17" s="293">
        <f>B293</f>
        <v>241</v>
      </c>
      <c r="AZ17" s="249" t="s">
        <v>309</v>
      </c>
      <c r="BA17" s="95" t="s">
        <v>315</v>
      </c>
      <c r="BB17" s="293">
        <f>B293</f>
        <v>241</v>
      </c>
      <c r="BC17" s="249" t="s">
        <v>309</v>
      </c>
      <c r="BD17" s="95" t="s">
        <v>315</v>
      </c>
      <c r="BE17" s="293">
        <f>B293</f>
        <v>241</v>
      </c>
      <c r="BF17" s="249" t="s">
        <v>309</v>
      </c>
      <c r="BG17" s="95" t="s">
        <v>315</v>
      </c>
      <c r="BH17" s="293">
        <f>B293</f>
        <v>241</v>
      </c>
      <c r="BI17" s="249" t="s">
        <v>309</v>
      </c>
      <c r="BJ17" s="95" t="s">
        <v>315</v>
      </c>
      <c r="BK17" s="293">
        <f>B293</f>
        <v>241</v>
      </c>
      <c r="BL17" s="249" t="s">
        <v>309</v>
      </c>
      <c r="BM17" s="95" t="s">
        <v>315</v>
      </c>
      <c r="BN17" s="293">
        <f>B293</f>
        <v>241</v>
      </c>
      <c r="BO17" s="249" t="s">
        <v>309</v>
      </c>
      <c r="BP17" s="95" t="s">
        <v>315</v>
      </c>
      <c r="BQ17" s="293">
        <f>B293</f>
        <v>241</v>
      </c>
      <c r="BR17" s="249" t="s">
        <v>309</v>
      </c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2.2634042820554122E-9</v>
      </c>
      <c r="CV17" s="271" t="s">
        <v>311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>
        <f>EZ2</f>
        <v>2.7633987995870123E-3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1.6034243405830633E-3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5.8031270640000001E-11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>
        <f>(K5/(K9*(K25+K28)*K39))*K13*K54*K55</f>
        <v>3.5614195318808338E-9</v>
      </c>
      <c r="L18" s="271" t="s">
        <v>311</v>
      </c>
      <c r="M18" s="267" t="s">
        <v>310</v>
      </c>
      <c r="N18" s="289">
        <f>B294</f>
        <v>2.8000000000000002E-12</v>
      </c>
      <c r="P18" s="267" t="s">
        <v>310</v>
      </c>
      <c r="Q18" s="289">
        <f>B294</f>
        <v>2.8000000000000002E-12</v>
      </c>
      <c r="S18" s="267" t="s">
        <v>310</v>
      </c>
      <c r="T18" s="289">
        <f>B294</f>
        <v>2.8000000000000002E-12</v>
      </c>
      <c r="V18" s="88" t="s">
        <v>74</v>
      </c>
      <c r="W18" s="294">
        <f>((W5*W6*W9)/((W11/W12)*(1-EXP(-W6*W9))*W10*W13*W8*W9))*W7*W20*W21</f>
        <v>7.0077858342487026E-14</v>
      </c>
      <c r="X18" s="88" t="s">
        <v>16</v>
      </c>
      <c r="Y18" s="88" t="s">
        <v>74</v>
      </c>
      <c r="Z18" s="294">
        <f>((Z5*Z6*Z9)/((Z11/Z12)*(1-EXP(-Z6*Z9))*Z10*Z13*Z8*Z9))*Z7*Z20*Z21</f>
        <v>6.3070072508238332E-14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AI18" s="267" t="s">
        <v>310</v>
      </c>
      <c r="AJ18" s="289">
        <f>B294</f>
        <v>2.8000000000000002E-12</v>
      </c>
      <c r="AL18" s="267" t="s">
        <v>310</v>
      </c>
      <c r="AM18" s="289">
        <f>B294</f>
        <v>2.8000000000000002E-12</v>
      </c>
      <c r="AO18" s="267" t="s">
        <v>310</v>
      </c>
      <c r="AP18" s="289">
        <f>B294</f>
        <v>2.8000000000000002E-12</v>
      </c>
      <c r="AR18" s="267" t="s">
        <v>310</v>
      </c>
      <c r="AS18" s="289">
        <f>B294</f>
        <v>2.8000000000000002E-12</v>
      </c>
      <c r="AU18" s="267" t="s">
        <v>310</v>
      </c>
      <c r="AV18" s="289">
        <f>B294</f>
        <v>2.8000000000000002E-12</v>
      </c>
      <c r="AX18" s="267" t="s">
        <v>310</v>
      </c>
      <c r="AY18" s="289">
        <f>B294</f>
        <v>2.8000000000000002E-12</v>
      </c>
      <c r="BA18" s="267" t="s">
        <v>310</v>
      </c>
      <c r="BB18" s="289">
        <f>B294</f>
        <v>2.8000000000000002E-12</v>
      </c>
      <c r="BD18" s="267" t="s">
        <v>310</v>
      </c>
      <c r="BE18" s="289">
        <f>B294</f>
        <v>2.8000000000000002E-12</v>
      </c>
      <c r="BG18" s="267" t="s">
        <v>310</v>
      </c>
      <c r="BH18" s="289">
        <f>B294</f>
        <v>2.8000000000000002E-12</v>
      </c>
      <c r="BJ18" s="267" t="s">
        <v>310</v>
      </c>
      <c r="BK18" s="289">
        <f>B294</f>
        <v>2.8000000000000002E-12</v>
      </c>
      <c r="BM18" s="267" t="s">
        <v>310</v>
      </c>
      <c r="BN18" s="289">
        <f>B294</f>
        <v>2.8000000000000002E-12</v>
      </c>
      <c r="BP18" s="267" t="s">
        <v>310</v>
      </c>
      <c r="BQ18" s="289">
        <f>B294</f>
        <v>2.8000000000000002E-12</v>
      </c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1.58488316520758E-5</v>
      </c>
      <c r="CV18" s="271" t="s">
        <v>311</v>
      </c>
      <c r="CW18" s="266" t="s">
        <v>63</v>
      </c>
      <c r="CX18" s="189">
        <f>B28</f>
        <v>5.8031270640000001E-11</v>
      </c>
      <c r="CY18" s="266" t="s">
        <v>64</v>
      </c>
      <c r="CZ18" s="266" t="s">
        <v>258</v>
      </c>
      <c r="DA18" s="295">
        <f>GS2</f>
        <v>9.3588212641599645E-4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1.6034243405830633E-3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1.6034243405830633E-3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1.6034243405830633E-3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1.6034243405830633E-3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1.6034243405830633E-3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432.2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3.7739999999999999E-8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((W5*W6*W9)/((W11/W12)*(1-EXP(-W6*W9))*W14*W8*W9*(1/365)))*W7*W20*W21</f>
        <v>9.9807861775979158E-7</v>
      </c>
      <c r="X19" s="88" t="s">
        <v>16</v>
      </c>
      <c r="Y19" s="88" t="s">
        <v>78</v>
      </c>
      <c r="Z19" s="296">
        <f>((Z5*Z6*Z9)/((Z11/Z12)*(1-EXP(-Z6*Z9))*Z14*Z8*Z9*(1/365)))*Z7*Z20*Z21</f>
        <v>8.9827075598381241E-7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0.753</v>
      </c>
      <c r="AG19" s="305">
        <f>B4</f>
        <v>0.753</v>
      </c>
      <c r="AH19" s="267"/>
      <c r="BS19" s="262" t="s">
        <v>63</v>
      </c>
      <c r="BT19" s="287">
        <f>E18</f>
        <v>5.8031270640000001E-11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((CC22*CC23*CC24)/((1-EXP(-CC24*CC23))*CC27*CC31*(CC26/365)*CC29*(CC30/24)*CC28))*CC25*CC32*CC33</f>
        <v>5.6373719814240593</v>
      </c>
      <c r="CD19" s="404" t="s">
        <v>314</v>
      </c>
      <c r="CE19" s="402" t="s">
        <v>562</v>
      </c>
      <c r="CF19" s="400">
        <f>((CF22*CF23*CF24)/((1-EXP(-CF24*CF23))*CF27*CF31*(CF26/365)*CF29*(CF30/24)*CF28))*CF25*CF32*CF33</f>
        <v>0.54055813935043751</v>
      </c>
      <c r="CG19" s="398" t="s">
        <v>311</v>
      </c>
      <c r="CK19" s="410" t="s">
        <v>510</v>
      </c>
      <c r="CL19" s="400">
        <f>(CL22/(CL23*CL24*CL25*CL26))*CL28*CL27*CL32</f>
        <v>1.1197376963581948E-6</v>
      </c>
      <c r="CM19" s="404" t="s">
        <v>311</v>
      </c>
      <c r="CN19" s="402" t="s">
        <v>7</v>
      </c>
      <c r="CO19" s="400">
        <f>(CL19/(CO22*((CO27*CO29*CO30*(CO23+CO24))+(CO28*CO29))))*CL30</f>
        <v>0.74687936072545225</v>
      </c>
      <c r="CP19" s="412" t="s">
        <v>311</v>
      </c>
      <c r="CQ19" s="402" t="s">
        <v>6</v>
      </c>
      <c r="CR19" s="400">
        <f>CL19/(CR22*CR23*(1/CR24))</f>
        <v>22.394753927163894</v>
      </c>
      <c r="CS19" s="415" t="s">
        <v>313</v>
      </c>
      <c r="CT19" s="266" t="s">
        <v>258</v>
      </c>
      <c r="CU19" s="295">
        <f>GV2</f>
        <v>7.1288780990603264E-6</v>
      </c>
      <c r="CV19" s="271" t="s">
        <v>311</v>
      </c>
      <c r="CW19" s="266" t="s">
        <v>255</v>
      </c>
      <c r="CX19" s="304">
        <f>B173</f>
        <v>1</v>
      </c>
      <c r="CY19" s="88"/>
      <c r="CZ19" s="266" t="s">
        <v>184</v>
      </c>
      <c r="DA19" s="295">
        <f>EK2</f>
        <v>3.7411650306203674E-5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432.2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432.2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432.2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432.2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432.2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315</v>
      </c>
      <c r="GP19" s="292">
        <f>B293</f>
        <v>241</v>
      </c>
      <c r="GQ19" s="249" t="s">
        <v>309</v>
      </c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1.036E-10</v>
      </c>
      <c r="C20" s="263" t="s">
        <v>35</v>
      </c>
      <c r="D20" s="88" t="s">
        <v>74</v>
      </c>
      <c r="E20" s="294">
        <f>((E5)/(E10*E11))*E7*E26*E27</f>
        <v>4.7998986198474681E-14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315</v>
      </c>
      <c r="W20" s="289">
        <f>B293</f>
        <v>241</v>
      </c>
      <c r="X20" s="249" t="s">
        <v>309</v>
      </c>
      <c r="Y20" s="95" t="s">
        <v>315</v>
      </c>
      <c r="Z20" s="289">
        <f>B293</f>
        <v>241</v>
      </c>
      <c r="AA20" s="249" t="s">
        <v>309</v>
      </c>
      <c r="AB20" s="262" t="s">
        <v>71</v>
      </c>
      <c r="AC20" s="287">
        <f>B23</f>
        <v>2.767285944E-8</v>
      </c>
      <c r="AD20" s="287">
        <f>B23</f>
        <v>2.767285944E-8</v>
      </c>
      <c r="AE20" s="287">
        <f>B23</f>
        <v>2.767285944E-8</v>
      </c>
      <c r="AF20" s="287">
        <f>B23</f>
        <v>2.767285944E-8</v>
      </c>
      <c r="AG20" s="287">
        <f>B23</f>
        <v>2.767285944E-8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5.9460540597532224E-7</v>
      </c>
      <c r="CV20" s="271" t="s">
        <v>311</v>
      </c>
      <c r="CW20" s="88" t="s">
        <v>74</v>
      </c>
      <c r="CX20" s="294">
        <f>((CX5)/((CX14/CX15)*CX10*CX11))*CX7*CX26*CX27</f>
        <v>2.9837207636889673E-14</v>
      </c>
      <c r="CY20" s="88" t="s">
        <v>15</v>
      </c>
      <c r="CZ20" s="266" t="s">
        <v>493</v>
      </c>
      <c r="DA20" s="295">
        <f>DV2</f>
        <v>9.6418270596351982E-3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4.3949771689497717E-6</v>
      </c>
      <c r="DH20" s="249" t="s">
        <v>82</v>
      </c>
      <c r="DL20" s="267"/>
      <c r="DO20" s="267" t="s">
        <v>90</v>
      </c>
      <c r="DP20" s="288">
        <f>0.693/B35</f>
        <v>4.3949771689497717E-6</v>
      </c>
      <c r="DQ20" s="249" t="s">
        <v>82</v>
      </c>
      <c r="DR20" s="95" t="s">
        <v>315</v>
      </c>
      <c r="DS20" s="289">
        <f>B293</f>
        <v>241</v>
      </c>
      <c r="DT20" s="249" t="s">
        <v>309</v>
      </c>
      <c r="DU20" s="267"/>
      <c r="EA20" s="267"/>
      <c r="EB20" s="307"/>
      <c r="EC20" s="263"/>
      <c r="ED20" s="267" t="s">
        <v>90</v>
      </c>
      <c r="EE20" s="299">
        <f>0.693/B35</f>
        <v>4.3949771689497717E-6</v>
      </c>
      <c r="EF20" s="263" t="s">
        <v>82</v>
      </c>
      <c r="EG20" s="249" t="s">
        <v>315</v>
      </c>
      <c r="EH20" s="297">
        <f>B293</f>
        <v>241</v>
      </c>
      <c r="EI20" s="249" t="s">
        <v>309</v>
      </c>
      <c r="EJ20" s="267"/>
      <c r="EP20" s="267"/>
      <c r="EQ20" s="307"/>
      <c r="ER20" s="263"/>
      <c r="ES20" s="267" t="s">
        <v>90</v>
      </c>
      <c r="ET20" s="299">
        <f>0.693/B35</f>
        <v>4.3949771689497717E-6</v>
      </c>
      <c r="EU20" s="263" t="s">
        <v>82</v>
      </c>
      <c r="EV20" s="95" t="s">
        <v>315</v>
      </c>
      <c r="EW20" s="297">
        <f>B293</f>
        <v>241</v>
      </c>
      <c r="EX20" s="249" t="s">
        <v>309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4.3949771689497717E-6</v>
      </c>
      <c r="FJ20" s="263" t="s">
        <v>82</v>
      </c>
      <c r="FK20" s="95" t="s">
        <v>315</v>
      </c>
      <c r="FL20" s="297">
        <f>B293</f>
        <v>241</v>
      </c>
      <c r="FM20" s="249" t="s">
        <v>309</v>
      </c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315</v>
      </c>
      <c r="GA20" s="292">
        <f>B293</f>
        <v>241</v>
      </c>
      <c r="GB20" s="249" t="s">
        <v>309</v>
      </c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4.3949771689497717E-6</v>
      </c>
      <c r="GN20" s="263" t="s">
        <v>82</v>
      </c>
      <c r="GO20" s="267" t="s">
        <v>310</v>
      </c>
      <c r="GP20" s="292">
        <f>B294</f>
        <v>2.8000000000000002E-12</v>
      </c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4.3949771689497717E-6</v>
      </c>
      <c r="HC20" s="263" t="s">
        <v>82</v>
      </c>
    </row>
    <row r="21" spans="1:214" ht="15" thickTop="1" thickBot="1" x14ac:dyDescent="0.25">
      <c r="A21" s="262" t="s">
        <v>316</v>
      </c>
      <c r="B21" s="315">
        <v>1.8425999999999999E-10</v>
      </c>
      <c r="C21" s="262" t="s">
        <v>35</v>
      </c>
      <c r="D21" s="88" t="s">
        <v>78</v>
      </c>
      <c r="E21" s="295">
        <f>((E5)/((E14/E15)*E8*E9*E18*(1/365)*E19))*E7*E26*E27</f>
        <v>2.0158082984046293E-7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((N24*N25*N26)/((1-EXP(-N26*N25))*N29*N34*(N28/365)*N32*(((N33/24)*N31)+((N35/24)*N30))))*N27*N36*N37</f>
        <v>1.8444984118081104E-6</v>
      </c>
      <c r="O21" s="637" t="s">
        <v>314</v>
      </c>
      <c r="P21" s="639" t="s">
        <v>516</v>
      </c>
      <c r="Q21" s="647">
        <f>((Q24*Q25*Q26)/((1-EXP(-Q26*Q25))*Q29*Q34*(Q28/365)*Q32*(((Q33/24)*Q31)+((Q35/24)*Q30))))*Q27*Q36*Q37</f>
        <v>1.3365930520348626E-6</v>
      </c>
      <c r="R21" s="643" t="s">
        <v>311</v>
      </c>
      <c r="V21" s="267" t="s">
        <v>310</v>
      </c>
      <c r="W21" s="289">
        <f>B295</f>
        <v>2.8000000000000001E-15</v>
      </c>
      <c r="Y21" s="267" t="s">
        <v>310</v>
      </c>
      <c r="Z21" s="289">
        <f>B295</f>
        <v>2.8000000000000001E-15</v>
      </c>
      <c r="AB21" s="262" t="s">
        <v>43</v>
      </c>
      <c r="AC21" s="290">
        <f>B19</f>
        <v>3.7739999999999999E-8</v>
      </c>
      <c r="AD21" s="290">
        <f>B19</f>
        <v>3.7739999999999999E-8</v>
      </c>
      <c r="AE21" s="290">
        <f>B19</f>
        <v>3.7739999999999999E-8</v>
      </c>
      <c r="AF21" s="290">
        <f>B19</f>
        <v>3.7739999999999999E-8</v>
      </c>
      <c r="AG21" s="290">
        <f>B19</f>
        <v>3.7739999999999999E-8</v>
      </c>
      <c r="AH21" s="263" t="s">
        <v>35</v>
      </c>
      <c r="AI21" s="381" t="s">
        <v>516</v>
      </c>
      <c r="AJ21" s="387">
        <f>((AJ24*AJ25*AJ26)/((1-EXP(-AJ26*AJ25))*AJ34*(AJ28/365)*AJ29*(AJ35/24)*AJ30*AJ32))*AJ27*AJ36*AJ37</f>
        <v>6.9756338394367948E-6</v>
      </c>
      <c r="AK21" s="629" t="s">
        <v>314</v>
      </c>
      <c r="AL21" s="383" t="s">
        <v>516</v>
      </c>
      <c r="AM21" s="387">
        <f>((AM24*AM25*AM26)/((1-EXP(-AM26*AM25))*AM34*(AM28/365)*AM29*(AM35/24)*AM30*AM32))*AM27*AM36*AM37</f>
        <v>5.0548071300266617E-6</v>
      </c>
      <c r="AN21" s="635" t="s">
        <v>311</v>
      </c>
      <c r="AR21" s="381" t="s">
        <v>516</v>
      </c>
      <c r="AS21" s="387">
        <f>((AS24*AS25*AS26)/((1-EXP(-AS26*AS25))*AS34*(AS28/365)*AS29*(AS33/24)*AS31*AS32))*AS27*AS36*AS37</f>
        <v>3.1002817064163524E-6</v>
      </c>
      <c r="AT21" s="391" t="s">
        <v>314</v>
      </c>
      <c r="AU21" s="383" t="s">
        <v>516</v>
      </c>
      <c r="AV21" s="387">
        <f>((AV24*AV25*AV26)/((1-EXP(-AV26*AV25))*AV34*(AV28/365)*AV29*(AV33/24)*AV31*AV32))*AV27*AV36*AV37</f>
        <v>2.2465809466785165E-6</v>
      </c>
      <c r="AW21" s="385" t="s">
        <v>311</v>
      </c>
      <c r="BA21" s="381" t="s">
        <v>516</v>
      </c>
      <c r="BB21" s="387">
        <f>((BB24*BB25*BB26)/((1-EXP(-BB26*BB25))*BB34*(BB28/365)*BB29*((BB33+BB35)/24)*BB31*BB32))*BB27*BB36*BB37</f>
        <v>2.7902535357747183E-6</v>
      </c>
      <c r="BC21" s="391" t="s">
        <v>314</v>
      </c>
      <c r="BD21" s="383" t="s">
        <v>516</v>
      </c>
      <c r="BE21" s="387">
        <f>((BE24*BE25*BE26)/((1-EXP(-BE26*BE25))*BE34*(BE28/365)*BE29*((BE33+BE35)/24)*BE31*BE32))*BE27*BE36*BE37</f>
        <v>2.0219228520106645E-6</v>
      </c>
      <c r="BF21" s="385" t="s">
        <v>311</v>
      </c>
      <c r="BJ21" s="381" t="s">
        <v>561</v>
      </c>
      <c r="BK21" s="389">
        <f>((BK24*BK25*BK26)/((1-EXP(-BK26*BK25))*BK31*BK35*(BK28/365)*BK33*(BK34/24)*BK32))*BK27*BK36*BK37</f>
        <v>10.36107668767362</v>
      </c>
      <c r="BL21" s="391" t="s">
        <v>314</v>
      </c>
      <c r="BM21" s="383" t="s">
        <v>562</v>
      </c>
      <c r="BN21" s="389">
        <f>((BN24*BN25*BN26)/((1-EXP(-BN26*BN25))*BN31*BN35*(BN28/365)*BN33*(BN34/24)*BN32))*BN27*BN36*BN37</f>
        <v>0.99350625688908956</v>
      </c>
      <c r="BO21" s="385" t="s">
        <v>311</v>
      </c>
      <c r="BS21" s="88" t="s">
        <v>74</v>
      </c>
      <c r="BT21" s="294">
        <f>((BT5)/(BT10*BT11))*BT7*BT29*BT30</f>
        <v>5.3758864542291657E-12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1.6725547740557102E-4</v>
      </c>
      <c r="CV21" s="271" t="s">
        <v>311</v>
      </c>
      <c r="CW21" s="88" t="s">
        <v>78</v>
      </c>
      <c r="CX21" s="296">
        <f>((CX5)/((CX14/CX15)*CX8*CX9*CX18*(1/365)*CX19))*CX7*CX26*CX27</f>
        <v>1.3102753939630088E-7</v>
      </c>
      <c r="CY21" s="88" t="s">
        <v>15</v>
      </c>
      <c r="CZ21" s="266" t="s">
        <v>492</v>
      </c>
      <c r="DA21" s="295">
        <f>GD2</f>
        <v>6.9022599066158351E-4</v>
      </c>
      <c r="DB21" s="88"/>
      <c r="DC21" s="249" t="s">
        <v>23</v>
      </c>
      <c r="DD21" s="287">
        <f>0.693/DD22</f>
        <v>1.6034243405830633E-3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R21" s="267" t="s">
        <v>310</v>
      </c>
      <c r="DS21" s="289">
        <f>B294</f>
        <v>2.8000000000000002E-12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G21" s="267" t="s">
        <v>310</v>
      </c>
      <c r="EH21" s="289">
        <f>B294</f>
        <v>2.8000000000000002E-12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V21" s="267" t="s">
        <v>310</v>
      </c>
      <c r="EW21" s="289">
        <f>B294</f>
        <v>2.8000000000000002E-12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 t="s">
        <v>310</v>
      </c>
      <c r="FL21" s="292">
        <f>B294</f>
        <v>2.8000000000000002E-12</v>
      </c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FZ21" s="267" t="s">
        <v>310</v>
      </c>
      <c r="GA21" s="289">
        <f>B294</f>
        <v>2.8000000000000002E-12</v>
      </c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9.1019999999999999E-11</v>
      </c>
      <c r="C22" s="262" t="s">
        <v>35</v>
      </c>
      <c r="D22" s="88" t="s">
        <v>74</v>
      </c>
      <c r="E22" s="295">
        <f>((E5*E9*E6)/((1-EXP(-E6*E9))*E10*E11))*E7*E26*E27</f>
        <v>4.90064534084494E-14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((BT5)/((BT14/24)*(BT8/365)*BT9*BT19*BT20))*BT7*BT29*BT30</f>
        <v>2.257705294213185E-5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5.0000000000000002E-5</v>
      </c>
      <c r="CQ22" s="262" t="s">
        <v>265</v>
      </c>
      <c r="CR22" s="287">
        <f>CO22</f>
        <v>5.0000000000000002E-5</v>
      </c>
      <c r="CT22" s="266" t="s">
        <v>492</v>
      </c>
      <c r="CU22" s="295">
        <f>GG2</f>
        <v>3.9586307736391671E-6</v>
      </c>
      <c r="CV22" s="271" t="s">
        <v>311</v>
      </c>
      <c r="CW22" s="88" t="s">
        <v>74</v>
      </c>
      <c r="CX22" s="294">
        <f>((CX5*CX9*CX6)/((CX14/CX15)*(1-EXP(-CX6*CX9))*CX10*CX11))*CX7*CX26*CX27</f>
        <v>3.0804269109231607E-14</v>
      </c>
      <c r="CY22" s="88" t="s">
        <v>16</v>
      </c>
      <c r="CZ22" s="266" t="s">
        <v>183</v>
      </c>
      <c r="DA22" s="296">
        <f>FO2</f>
        <v>4.7430681717238226E-9</v>
      </c>
      <c r="DB22" s="88"/>
      <c r="DC22" s="266" t="s">
        <v>270</v>
      </c>
      <c r="DD22" s="287">
        <f>B31</f>
        <v>432.2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2.767285944E-8</v>
      </c>
      <c r="C23" s="262" t="s">
        <v>95</v>
      </c>
      <c r="D23" s="88" t="s">
        <v>78</v>
      </c>
      <c r="E23" s="296">
        <f>((E5*E9*E6)/((E14/E15)*E8*E9*(1-EXP(-E6*E9))*E18*(1/365)*E19))*E7*E26*E27</f>
        <v>2.0581187912521241E-7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((BT5*BT28*BT6)/((1-EXP(-BT6*BT28))*BT10*BT11))*BT7*BT29*BT30</f>
        <v>5.488722781746332E-12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1.3357000000000001E-10</v>
      </c>
      <c r="CM23" s="266" t="s">
        <v>13</v>
      </c>
      <c r="CN23" s="249" t="s">
        <v>21</v>
      </c>
      <c r="CO23" s="290">
        <f>CO25</f>
        <v>2.1999999999999999E-5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1.9587187935719632E-11</v>
      </c>
      <c r="CV23" s="271" t="s">
        <v>311</v>
      </c>
      <c r="CW23" s="88" t="s">
        <v>78</v>
      </c>
      <c r="CX23" s="296">
        <f>((CX5*CX9*CX6)/((CX14/CX15)*CX8*CX9*(1-EXP(-CX6*CX9))*CX18*(1/365)*CX19))*CX7*CX26*CX27</f>
        <v>1.3527430694599834E-7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C23" s="95" t="s">
        <v>315</v>
      </c>
      <c r="DD23" s="297">
        <f>B293</f>
        <v>241</v>
      </c>
      <c r="DE23" s="249" t="s">
        <v>309</v>
      </c>
      <c r="DF23" s="262" t="s">
        <v>17</v>
      </c>
      <c r="DG23" s="287">
        <f>B35</f>
        <v>157680</v>
      </c>
      <c r="DH23" s="249" t="s">
        <v>257</v>
      </c>
      <c r="DO23" s="262" t="s">
        <v>20</v>
      </c>
      <c r="DP23" s="305">
        <f>DP25</f>
        <v>1.914E-5</v>
      </c>
      <c r="EA23" s="262"/>
      <c r="EB23" s="293"/>
      <c r="EC23" s="263"/>
      <c r="ED23" s="262" t="s">
        <v>20</v>
      </c>
      <c r="EE23" s="305">
        <f>EE25</f>
        <v>2.1999999999999999E-5</v>
      </c>
      <c r="EF23" s="263"/>
      <c r="EP23" s="262"/>
      <c r="EQ23" s="293"/>
      <c r="ER23" s="263"/>
      <c r="ES23" s="262" t="s">
        <v>20</v>
      </c>
      <c r="ET23" s="305">
        <f>ET25</f>
        <v>2.1999999999999999E-5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1.914E-5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1.914E-5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1.914E-5</v>
      </c>
      <c r="HC23" s="263"/>
      <c r="HD23" s="219" t="s">
        <v>574</v>
      </c>
      <c r="HE23" s="348">
        <f>((HE25*HE33*HE38*HE32*10^-3*HE31*HE27)/(HE30*HE41*(1-EXP(-HE27*HE31))))*HE28*HE15*HE16</f>
        <v>9.3914265354031275E-11</v>
      </c>
      <c r="HF23" s="252" t="s">
        <v>311</v>
      </c>
    </row>
    <row r="24" spans="1:214" ht="14.25" thickTop="1" thickBot="1" x14ac:dyDescent="0.25">
      <c r="A24" s="262" t="s">
        <v>450</v>
      </c>
      <c r="B24" s="315">
        <v>1.86820992E-8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((BT5*BT28*BT6)/((BT14/24)*(BT8/365)*BT9*(1-EXP(-BT6*BT28))*BT19*BT20))*BT7*BT29*BT30</f>
        <v>2.3050930462023793E-5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1.6034243405830633E-3</v>
      </c>
      <c r="CE24" s="262" t="s">
        <v>23</v>
      </c>
      <c r="CF24" s="288">
        <f>0.693/CF25</f>
        <v>1.6034243405830633E-3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C24" s="267" t="s">
        <v>310</v>
      </c>
      <c r="DD24" s="289">
        <f>B294</f>
        <v>2.8000000000000002E-12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2.0697572162415607E-12</v>
      </c>
      <c r="HF24" s="75" t="s">
        <v>311</v>
      </c>
    </row>
    <row r="25" spans="1:214" ht="13.5" thickTop="1" x14ac:dyDescent="0.2">
      <c r="A25" s="262" t="s">
        <v>449</v>
      </c>
      <c r="B25" s="315">
        <v>1.3754695536000001E-8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6.3070068079914529E-14</v>
      </c>
      <c r="X25" s="254" t="s">
        <v>312</v>
      </c>
      <c r="Y25" s="321" t="s">
        <v>16</v>
      </c>
      <c r="Z25" s="358">
        <f>1/((1/Z38)+(1/Z39))</f>
        <v>2.9746282274580605E-12</v>
      </c>
      <c r="AA25" s="255" t="s">
        <v>312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432.2</v>
      </c>
      <c r="CD25" s="249" t="s">
        <v>69</v>
      </c>
      <c r="CE25" s="266" t="s">
        <v>270</v>
      </c>
      <c r="CF25" s="287">
        <f>B31</f>
        <v>432.2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2.1999999999999999E-5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1.914E-5</v>
      </c>
      <c r="EA25" s="262"/>
      <c r="EC25" s="263"/>
      <c r="ED25" s="262" t="s">
        <v>38</v>
      </c>
      <c r="EE25" s="287">
        <f>B45</f>
        <v>2.1999999999999999E-5</v>
      </c>
      <c r="EF25" s="263"/>
      <c r="EP25" s="262"/>
      <c r="ER25" s="263"/>
      <c r="ES25" s="263" t="s">
        <v>37</v>
      </c>
      <c r="ET25" s="287">
        <f>B45</f>
        <v>2.1999999999999999E-5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1.914E-5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1.914E-5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1.914E-5</v>
      </c>
      <c r="HC25" s="263"/>
      <c r="HD25" s="265" t="s">
        <v>22</v>
      </c>
      <c r="HE25" s="292">
        <f>B47</f>
        <v>15</v>
      </c>
      <c r="HF25" s="262" t="s">
        <v>580</v>
      </c>
    </row>
    <row r="26" spans="1:214" ht="13.5" thickBot="1" x14ac:dyDescent="0.25">
      <c r="A26" s="262" t="s">
        <v>451</v>
      </c>
      <c r="B26" s="315">
        <v>2.5781296896000001E-8</v>
      </c>
      <c r="C26" s="262" t="s">
        <v>95</v>
      </c>
      <c r="D26" s="263" t="s">
        <v>315</v>
      </c>
      <c r="E26" s="289">
        <f>B293</f>
        <v>241</v>
      </c>
      <c r="F26" s="249" t="s">
        <v>309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1.6034243405830633E-3</v>
      </c>
      <c r="P26" s="262" t="s">
        <v>23</v>
      </c>
      <c r="Q26" s="288">
        <f>0.693/Q27</f>
        <v>1.6034243405830633E-3</v>
      </c>
      <c r="V26" s="320" t="s">
        <v>15</v>
      </c>
      <c r="W26" s="359">
        <f>1/((1/W38)+(1/W39))</f>
        <v>6.1822689882893463E-14</v>
      </c>
      <c r="X26" s="258" t="s">
        <v>312</v>
      </c>
      <c r="Y26" s="322" t="s">
        <v>15</v>
      </c>
      <c r="Z26" s="360">
        <f>1/((1/Z40)+(1/Z41))</f>
        <v>2.9722447059083396E-12</v>
      </c>
      <c r="AA26" s="259" t="s">
        <v>312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1.6034243405830633E-3</v>
      </c>
      <c r="AL26" s="262" t="s">
        <v>23</v>
      </c>
      <c r="AM26" s="288">
        <f>0.693/AM27</f>
        <v>1.6034243405830633E-3</v>
      </c>
      <c r="AR26" s="262" t="s">
        <v>23</v>
      </c>
      <c r="AS26" s="288">
        <f>0.693/AS27</f>
        <v>1.6034243405830633E-3</v>
      </c>
      <c r="AU26" s="262" t="s">
        <v>23</v>
      </c>
      <c r="AV26" s="288">
        <f>0.693/AV27</f>
        <v>1.6034243405830633E-3</v>
      </c>
      <c r="BA26" s="262" t="s">
        <v>23</v>
      </c>
      <c r="BB26" s="288">
        <f>0.693/BB27</f>
        <v>1.6034243405830633E-3</v>
      </c>
      <c r="BD26" s="262" t="s">
        <v>23</v>
      </c>
      <c r="BE26" s="288">
        <f>0.693/BE27</f>
        <v>1.6034243405830633E-3</v>
      </c>
      <c r="BJ26" s="262" t="s">
        <v>23</v>
      </c>
      <c r="BK26" s="288">
        <f>0.693/BK27</f>
        <v>1.6034243405830633E-3</v>
      </c>
      <c r="BM26" s="262" t="s">
        <v>23</v>
      </c>
      <c r="BN26" s="288">
        <f>0.693/BN27</f>
        <v>1.6034243405830633E-3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95" t="s">
        <v>315</v>
      </c>
      <c r="CX26" s="194">
        <f>B293</f>
        <v>241</v>
      </c>
      <c r="CY26" s="249" t="s">
        <v>309</v>
      </c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2.1999999999999999E-5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9.641374120175902E-11</v>
      </c>
      <c r="HF26" s="262" t="s">
        <v>313</v>
      </c>
    </row>
    <row r="27" spans="1:214" ht="12.75" customHeight="1" thickTop="1" x14ac:dyDescent="0.2">
      <c r="A27" s="262" t="s">
        <v>452</v>
      </c>
      <c r="B27" s="315">
        <v>2.767285944E-8</v>
      </c>
      <c r="C27" s="262" t="s">
        <v>95</v>
      </c>
      <c r="D27" s="249" t="s">
        <v>310</v>
      </c>
      <c r="E27" s="289">
        <f>B295</f>
        <v>2.8000000000000001E-15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432.2</v>
      </c>
      <c r="O27" s="249" t="s">
        <v>69</v>
      </c>
      <c r="P27" s="266" t="s">
        <v>270</v>
      </c>
      <c r="Q27" s="287">
        <f>B31</f>
        <v>432.2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1.6034243405830633E-3</v>
      </c>
      <c r="AD27" s="288">
        <f>0.693/AD28</f>
        <v>1.6034243405830633E-3</v>
      </c>
      <c r="AE27" s="288">
        <f>0.693/AE28</f>
        <v>1.6034243405830633E-3</v>
      </c>
      <c r="AF27" s="288">
        <f>0.693/AF28</f>
        <v>1.6034243405830633E-3</v>
      </c>
      <c r="AG27" s="288">
        <f>0.693/AG28</f>
        <v>1.6034243405830633E-3</v>
      </c>
      <c r="AI27" s="266" t="s">
        <v>270</v>
      </c>
      <c r="AJ27" s="287">
        <f>B31</f>
        <v>432.2</v>
      </c>
      <c r="AK27" s="249" t="s">
        <v>69</v>
      </c>
      <c r="AL27" s="266" t="s">
        <v>270</v>
      </c>
      <c r="AM27" s="287">
        <f>B31</f>
        <v>432.2</v>
      </c>
      <c r="AN27" s="249" t="s">
        <v>69</v>
      </c>
      <c r="AR27" s="266" t="s">
        <v>270</v>
      </c>
      <c r="AS27" s="287">
        <f>B31</f>
        <v>432.2</v>
      </c>
      <c r="AT27" s="249" t="s">
        <v>69</v>
      </c>
      <c r="AU27" s="266" t="s">
        <v>270</v>
      </c>
      <c r="AV27" s="287">
        <f>B31</f>
        <v>432.2</v>
      </c>
      <c r="AW27" s="249" t="s">
        <v>69</v>
      </c>
      <c r="BA27" s="266" t="s">
        <v>270</v>
      </c>
      <c r="BB27" s="287">
        <f>B31</f>
        <v>432.2</v>
      </c>
      <c r="BC27" s="249" t="s">
        <v>69</v>
      </c>
      <c r="BD27" s="266" t="s">
        <v>270</v>
      </c>
      <c r="BE27" s="287">
        <f>B31</f>
        <v>432.2</v>
      </c>
      <c r="BF27" s="249" t="s">
        <v>69</v>
      </c>
      <c r="BJ27" s="266" t="s">
        <v>270</v>
      </c>
      <c r="BK27" s="287">
        <f>B31</f>
        <v>432.2</v>
      </c>
      <c r="BL27" s="249" t="s">
        <v>69</v>
      </c>
      <c r="BM27" s="266" t="s">
        <v>270</v>
      </c>
      <c r="BN27" s="287">
        <f>B31</f>
        <v>432.2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315</v>
      </c>
      <c r="CL27" s="289">
        <f>B293</f>
        <v>241</v>
      </c>
      <c r="CM27" s="249" t="s">
        <v>309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7" t="s">
        <v>310</v>
      </c>
      <c r="CX27" s="304">
        <f>B295</f>
        <v>2.8000000000000001E-15</v>
      </c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4.2E-7</v>
      </c>
      <c r="EP27" s="262"/>
      <c r="EQ27" s="310"/>
      <c r="ES27" s="262" t="s">
        <v>275</v>
      </c>
      <c r="ET27" s="310">
        <f>B38</f>
        <v>5.0000000000000001E-4</v>
      </c>
      <c r="FH27" s="262" t="s">
        <v>201</v>
      </c>
      <c r="FI27" s="310">
        <f>B40</f>
        <v>3.0000000000000001E-3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6.0000000000000001E-3</v>
      </c>
      <c r="GS27" s="328"/>
      <c r="GT27" s="264"/>
      <c r="GU27" s="264"/>
      <c r="GV27" s="328"/>
      <c r="GW27" s="264"/>
      <c r="HA27" s="262" t="s">
        <v>277</v>
      </c>
      <c r="HB27" s="310">
        <f>B41</f>
        <v>1.7000000000000001E-4</v>
      </c>
      <c r="HD27" s="262" t="s">
        <v>23</v>
      </c>
      <c r="HE27" s="288">
        <f>0.693/HE28</f>
        <v>1.6034243405830633E-3</v>
      </c>
    </row>
    <row r="28" spans="1:214" ht="15.75" thickBot="1" x14ac:dyDescent="0.25">
      <c r="A28" s="262" t="s">
        <v>63</v>
      </c>
      <c r="B28" s="315">
        <v>5.8031270640000001E-11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1.6034243405830633E-3</v>
      </c>
      <c r="Y28" s="262" t="s">
        <v>23</v>
      </c>
      <c r="Z28" s="288">
        <f>0.693/Z29</f>
        <v>1.6034243405830633E-3</v>
      </c>
      <c r="AB28" s="266" t="s">
        <v>270</v>
      </c>
      <c r="AC28" s="287">
        <f>B31</f>
        <v>432.2</v>
      </c>
      <c r="AD28" s="287">
        <f>B31</f>
        <v>432.2</v>
      </c>
      <c r="AE28" s="287">
        <f>B31</f>
        <v>432.2</v>
      </c>
      <c r="AF28" s="287">
        <f>B31</f>
        <v>432.2</v>
      </c>
      <c r="AG28" s="287">
        <f>B31</f>
        <v>432.2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1.5699999999999999E-5</v>
      </c>
      <c r="CE28" s="249" t="s">
        <v>458</v>
      </c>
      <c r="CF28" s="287">
        <f>B8</f>
        <v>1.35E-4</v>
      </c>
      <c r="CK28" s="266" t="s">
        <v>270</v>
      </c>
      <c r="CL28" s="287">
        <f>B31</f>
        <v>432.2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432.2</v>
      </c>
      <c r="HF28" s="249" t="s">
        <v>69</v>
      </c>
    </row>
    <row r="29" spans="1:214" ht="18.75" thickTop="1" x14ac:dyDescent="0.2">
      <c r="A29" s="266" t="s">
        <v>161</v>
      </c>
      <c r="B29" s="315">
        <v>1.319423256E-13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432.2</v>
      </c>
      <c r="X29" s="249" t="s">
        <v>69</v>
      </c>
      <c r="Y29" s="266" t="s">
        <v>270</v>
      </c>
      <c r="Z29" s="287">
        <f>B31</f>
        <v>432.2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95" t="s">
        <v>315</v>
      </c>
      <c r="BT29" s="313">
        <f>B293</f>
        <v>241</v>
      </c>
      <c r="BU29" s="249" t="s">
        <v>309</v>
      </c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0.80900000000000005</v>
      </c>
      <c r="CE29" s="249" t="s">
        <v>459</v>
      </c>
      <c r="CF29" s="287">
        <f>B9</f>
        <v>0.71099999999999997</v>
      </c>
      <c r="CK29" s="249" t="s">
        <v>23</v>
      </c>
      <c r="CL29" s="288">
        <f>693/CL28</f>
        <v>1.6034243405830635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1.3357000000000001E-10</v>
      </c>
      <c r="C30" s="267" t="s">
        <v>35</v>
      </c>
      <c r="D30" s="203" t="s">
        <v>510</v>
      </c>
      <c r="E30" s="204">
        <f>E37</f>
        <v>4.4434035569769633E-9</v>
      </c>
      <c r="F30" s="184" t="s">
        <v>311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288">
        <f>(AC26*AC27)/(1-EXP(-AC27*AC26))</f>
        <v>1.0201767053388309</v>
      </c>
      <c r="AD30" s="288">
        <f>(AD26*AD27)/(1-EXP(-AD27*AD26))</f>
        <v>1.0201767053388309</v>
      </c>
      <c r="AE30" s="288">
        <f>(AE26*AE27)/(1-EXP(-AE27*AE26))</f>
        <v>1.0201767053388309</v>
      </c>
      <c r="AF30" s="288">
        <f>(AF26*AF27)/(1-EXP(-AF27*AF26))</f>
        <v>1.0008019264177617</v>
      </c>
      <c r="AG30" s="288">
        <f>(AG26*AG27)/(1-EXP(-AG27*AG26))</f>
        <v>1.0008019264177617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7" t="s">
        <v>310</v>
      </c>
      <c r="BT30" s="137">
        <f>B295</f>
        <v>2.8000000000000001E-15</v>
      </c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41.689032855159653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315">
        <v>432.2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2.41E-4</v>
      </c>
      <c r="CB31" s="249" t="s">
        <v>71</v>
      </c>
      <c r="CC31" s="290">
        <f>B24</f>
        <v>1.86820992E-8</v>
      </c>
      <c r="CD31" s="262" t="s">
        <v>282</v>
      </c>
      <c r="CE31" s="249" t="s">
        <v>71</v>
      </c>
      <c r="CF31" s="290">
        <f>B26</f>
        <v>2.5781296896000001E-8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3.7739999999999999E-8</v>
      </c>
      <c r="X32" s="263" t="s">
        <v>44</v>
      </c>
      <c r="Y32" s="249" t="s">
        <v>43</v>
      </c>
      <c r="Z32" s="290">
        <f>B19</f>
        <v>3.7739999999999999E-8</v>
      </c>
      <c r="AA32" s="263" t="s">
        <v>44</v>
      </c>
      <c r="AB32" s="266" t="s">
        <v>80</v>
      </c>
      <c r="AC32" s="294">
        <f>((AC5/(AC9*AC14*AC8*AC11*(1/AC6)))*AC30)*AC28*AC38*AC39</f>
        <v>5.2302011348295201E-6</v>
      </c>
      <c r="AD32" s="294">
        <f>((AD5/(AD9*AD14*AD8*AD11*(1/AD6)))*AD30)*AD28*AD38*AD39</f>
        <v>1.046040226965904E-5</v>
      </c>
      <c r="AE32" s="294">
        <f>((AE5/(AE9*AE14*AE8*AE11*(1/AE6)))*AE30)*AE28*AE38*AE39</f>
        <v>5.8113345942550235E-6</v>
      </c>
      <c r="AF32" s="294">
        <f>((AF5/(AF9*AF14*AF8*AF11*(1/AF6)))*AF30)*AF28*AF38*AF39</f>
        <v>7.4750455901483815E-5</v>
      </c>
      <c r="AG32" s="294">
        <f>((AG5/(AG9*AG14*AG8*AG11*(1/AG6)))*AG30)*AG28*AG38*AG39</f>
        <v>7.4750455901483815E-5</v>
      </c>
      <c r="AH32" s="266" t="s">
        <v>311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1.5699999999999999E-5</v>
      </c>
      <c r="BM32" s="249" t="s">
        <v>458</v>
      </c>
      <c r="BN32" s="287">
        <f>B8</f>
        <v>1.35E-4</v>
      </c>
      <c r="BV32" s="95" t="s">
        <v>315</v>
      </c>
      <c r="BW32" s="289">
        <f>B293</f>
        <v>241</v>
      </c>
      <c r="BX32" s="249" t="s">
        <v>309</v>
      </c>
      <c r="BY32" s="262" t="s">
        <v>62</v>
      </c>
      <c r="BZ32" s="305">
        <f>B4</f>
        <v>0.753</v>
      </c>
      <c r="CB32" s="95" t="s">
        <v>315</v>
      </c>
      <c r="CC32" s="289">
        <f>B293</f>
        <v>241</v>
      </c>
      <c r="CD32" s="249" t="s">
        <v>309</v>
      </c>
      <c r="CE32" s="95" t="s">
        <v>315</v>
      </c>
      <c r="CF32" s="289">
        <f>B293</f>
        <v>241</v>
      </c>
      <c r="CG32" s="249" t="s">
        <v>309</v>
      </c>
      <c r="CK32" s="267" t="s">
        <v>310</v>
      </c>
      <c r="CL32" s="289">
        <f>B294</f>
        <v>2.8000000000000002E-12</v>
      </c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A32" s="366"/>
      <c r="HD32" s="263" t="s">
        <v>39</v>
      </c>
      <c r="HE32" s="292">
        <f>B285</f>
        <v>70</v>
      </c>
      <c r="HF32" s="249" t="s">
        <v>69</v>
      </c>
    </row>
    <row r="33" spans="1:214" ht="13.15" customHeight="1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((AC5/(AC21*AC17*AC8*AC11*(1/AC35)*((8/1)/(24/1))*AC31))*AC30)*AC28*AC38*AC39</f>
        <v>8.5733954512454117E-5</v>
      </c>
      <c r="AD33" s="295">
        <f>((AD5/(AD21*AD17*AD8*((8/1)/(24/1))*AD11*(1/AD35)*AD31))*AD30)*AD28*AD38*AD39</f>
        <v>8.5733954512454117E-5</v>
      </c>
      <c r="AE33" s="295">
        <f>((AE5/(AE21*AE17*AE8*((8/1)/(24/1))*AE11*(1/AE35)*AE31))*AE30)*AE28*AE38*AE39</f>
        <v>9.5259949458282317E-5</v>
      </c>
      <c r="AF33" s="295">
        <f>((AF5/(AF21*AF17*AF8*AF11*(1/AF36)*(AF23/24)*AF31))*AF30)*AF28*AF38*AF39</f>
        <v>2.3014154060028116E-6</v>
      </c>
      <c r="AG33" s="295">
        <f>((AG5/(AG21*AG17*AG8*AG11*(1/AG37)*(AG23/24)*AG31))*AG30)*AG28*AG38*AG39</f>
        <v>1.0725278930460793E-4</v>
      </c>
      <c r="AH33" s="88" t="s">
        <v>311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0.80900000000000005</v>
      </c>
      <c r="BM33" s="249" t="s">
        <v>459</v>
      </c>
      <c r="BN33" s="287">
        <f>B9</f>
        <v>0.71099999999999997</v>
      </c>
      <c r="BV33" s="267" t="s">
        <v>310</v>
      </c>
      <c r="BW33" s="289">
        <f>B295</f>
        <v>2.8000000000000001E-15</v>
      </c>
      <c r="BY33" s="269" t="s">
        <v>111</v>
      </c>
      <c r="BZ33" s="298">
        <f>BZ25</f>
        <v>26</v>
      </c>
      <c r="CA33" s="249" t="s">
        <v>69</v>
      </c>
      <c r="CB33" s="267" t="s">
        <v>310</v>
      </c>
      <c r="CC33" s="289">
        <f>B294</f>
        <v>2.8000000000000002E-12</v>
      </c>
      <c r="CE33" s="267" t="s">
        <v>310</v>
      </c>
      <c r="CF33" s="289">
        <f>B294</f>
        <v>2.8000000000000002E-12</v>
      </c>
      <c r="CK33" s="267"/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A33" s="366">
        <f>0.000000000507/27.027</f>
        <v>1.8759018759018759E-11</v>
      </c>
      <c r="HD33" s="263" t="s">
        <v>261</v>
      </c>
      <c r="HE33" s="299">
        <f>1+((HE35*HE36*HE37)/(HE38*HE39))</f>
        <v>2.5031102279517308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1.3357000000000001E-10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1.86820992E-8</v>
      </c>
      <c r="O34" s="263" t="s">
        <v>447</v>
      </c>
      <c r="P34" s="249" t="s">
        <v>451</v>
      </c>
      <c r="Q34" s="290">
        <f>B26</f>
        <v>2.5781296896000001E-8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((AC5/(AC20*(AC8/365)*AC11*((AC23+AC24)/24)*AC16*AC19))*AC30)*AC28*AC38*AC39</f>
        <v>1.8837154671896832E-6</v>
      </c>
      <c r="AD34" s="296">
        <f>((AD5/(AD20*(AD8/365)*AD11*(AD24/24)*AD18*AD19))*AD30)*AD28*AD38*AD39</f>
        <v>4.7092886679742069E-6</v>
      </c>
      <c r="AE34" s="296">
        <f>((AE5/(AE20*(AE8/365)*AE11*(AE23/24)*AE16*AE19))*AE30)*AE28*AE38*AE39</f>
        <v>2.0930171857663146E-6</v>
      </c>
      <c r="AF34" s="296">
        <f>((AF5/(AF20*(AF8/365)*AF11*(AF23/24)*AF16*AF19))*AF30)*AF28*AF38*AF39</f>
        <v>0.4895676134524139</v>
      </c>
      <c r="AG34" s="296">
        <f>((AG5/(AG20*(AG8/365)*AG11*(AG23/24)*AG16*AG19))*AG30)*AG28*AG38*AG39</f>
        <v>0.4895676134524139</v>
      </c>
      <c r="AH34" s="266" t="s">
        <v>311</v>
      </c>
      <c r="AI34" s="262" t="s">
        <v>450</v>
      </c>
      <c r="AJ34" s="290">
        <f>B24</f>
        <v>1.86820992E-8</v>
      </c>
      <c r="AK34" s="262" t="s">
        <v>282</v>
      </c>
      <c r="AL34" s="262" t="s">
        <v>451</v>
      </c>
      <c r="AM34" s="290">
        <f>B26</f>
        <v>2.5781296896000001E-8</v>
      </c>
      <c r="AN34" s="263" t="s">
        <v>72</v>
      </c>
      <c r="AR34" s="262" t="s">
        <v>450</v>
      </c>
      <c r="AS34" s="290">
        <f>B24</f>
        <v>1.86820992E-8</v>
      </c>
      <c r="AT34" s="262" t="s">
        <v>282</v>
      </c>
      <c r="AU34" s="262" t="s">
        <v>451</v>
      </c>
      <c r="AV34" s="290">
        <f>B26</f>
        <v>2.5781296896000001E-8</v>
      </c>
      <c r="AW34" s="263" t="s">
        <v>72</v>
      </c>
      <c r="BA34" s="262" t="s">
        <v>450</v>
      </c>
      <c r="BB34" s="290">
        <f>B24</f>
        <v>1.86820992E-8</v>
      </c>
      <c r="BC34" s="262" t="s">
        <v>282</v>
      </c>
      <c r="BD34" s="262" t="s">
        <v>451</v>
      </c>
      <c r="BE34" s="290">
        <f>B26</f>
        <v>2.5781296896000001E-8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V34" s="249" t="s">
        <v>270</v>
      </c>
      <c r="BW34" s="287">
        <f>B31</f>
        <v>432.2</v>
      </c>
      <c r="BX34" s="249" t="s">
        <v>69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A34" s="366"/>
      <c r="HD34" s="263" t="s">
        <v>106</v>
      </c>
      <c r="HE34" s="292">
        <f>B46</f>
        <v>4</v>
      </c>
      <c r="HF34" s="249" t="s">
        <v>19</v>
      </c>
    </row>
    <row r="35" spans="1:214" ht="13.15" customHeight="1" x14ac:dyDescent="0.2">
      <c r="A35" s="266" t="s">
        <v>270</v>
      </c>
      <c r="B35" s="315">
        <v>157680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1.86820992E-8</v>
      </c>
      <c r="BL35" s="262" t="s">
        <v>282</v>
      </c>
      <c r="BM35" s="262" t="s">
        <v>451</v>
      </c>
      <c r="BN35" s="290">
        <f>B26</f>
        <v>2.5781296896000001E-8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A35" s="366"/>
      <c r="HD35" s="263" t="s">
        <v>83</v>
      </c>
      <c r="HE35" s="298">
        <f>B286</f>
        <v>1</v>
      </c>
      <c r="HF35" s="249" t="s">
        <v>108</v>
      </c>
    </row>
    <row r="36" spans="1:214" ht="13.5" customHeight="1" x14ac:dyDescent="0.2">
      <c r="A36" s="262" t="s">
        <v>122</v>
      </c>
      <c r="B36" s="314">
        <v>240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95" t="s">
        <v>315</v>
      </c>
      <c r="N36" s="361">
        <f>B293</f>
        <v>241</v>
      </c>
      <c r="O36" s="249" t="s">
        <v>309</v>
      </c>
      <c r="P36" s="95" t="s">
        <v>315</v>
      </c>
      <c r="Q36" s="361">
        <f>B293</f>
        <v>241</v>
      </c>
      <c r="R36" s="249" t="s">
        <v>309</v>
      </c>
      <c r="V36" s="262" t="s">
        <v>63</v>
      </c>
      <c r="W36" s="287">
        <f>B28</f>
        <v>5.8031270640000001E-11</v>
      </c>
      <c r="X36" s="262" t="s">
        <v>64</v>
      </c>
      <c r="Y36" s="262" t="s">
        <v>63</v>
      </c>
      <c r="Z36" s="287">
        <f>B28</f>
        <v>5.8031270640000001E-11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315</v>
      </c>
      <c r="AJ36" s="289">
        <f>B293</f>
        <v>241</v>
      </c>
      <c r="AK36" s="249" t="s">
        <v>309</v>
      </c>
      <c r="AL36" s="95" t="s">
        <v>315</v>
      </c>
      <c r="AM36" s="289">
        <f>B293</f>
        <v>241</v>
      </c>
      <c r="AN36" s="249" t="s">
        <v>309</v>
      </c>
      <c r="AR36" s="95" t="s">
        <v>315</v>
      </c>
      <c r="AS36" s="289">
        <f>B293</f>
        <v>241</v>
      </c>
      <c r="AT36" s="249" t="s">
        <v>309</v>
      </c>
      <c r="AU36" s="95" t="s">
        <v>315</v>
      </c>
      <c r="AV36" s="289">
        <f>B293</f>
        <v>241</v>
      </c>
      <c r="AW36" s="249" t="s">
        <v>309</v>
      </c>
      <c r="BA36" s="95" t="s">
        <v>315</v>
      </c>
      <c r="BB36" s="289">
        <f>B293</f>
        <v>241</v>
      </c>
      <c r="BC36" s="249" t="s">
        <v>309</v>
      </c>
      <c r="BD36" s="95" t="s">
        <v>315</v>
      </c>
      <c r="BE36" s="289">
        <f>B293</f>
        <v>241</v>
      </c>
      <c r="BJ36" s="95" t="s">
        <v>315</v>
      </c>
      <c r="BK36" s="289">
        <f>B293</f>
        <v>241</v>
      </c>
      <c r="BL36" s="249" t="s">
        <v>309</v>
      </c>
      <c r="BM36" s="95" t="s">
        <v>315</v>
      </c>
      <c r="BN36" s="289">
        <f>B293</f>
        <v>241</v>
      </c>
      <c r="BO36" s="249" t="s">
        <v>309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x14ac:dyDescent="0.2">
      <c r="A37" s="262" t="s">
        <v>278</v>
      </c>
      <c r="B37" s="315">
        <v>4.2E-7</v>
      </c>
      <c r="C37" s="263" t="s">
        <v>298</v>
      </c>
      <c r="D37" s="262" t="s">
        <v>80</v>
      </c>
      <c r="E37" s="300">
        <f>(E32/(E34*E33*E35*E36))*E7*E38*E39</f>
        <v>4.4434035569769633E-9</v>
      </c>
      <c r="F37" s="263" t="s">
        <v>311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M37" s="267" t="s">
        <v>310</v>
      </c>
      <c r="N37" s="289">
        <f>B294</f>
        <v>2.8000000000000002E-12</v>
      </c>
      <c r="P37" s="267" t="s">
        <v>310</v>
      </c>
      <c r="Q37" s="289">
        <f>B294</f>
        <v>2.8000000000000002E-12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AI37" s="267" t="s">
        <v>310</v>
      </c>
      <c r="AJ37" s="289">
        <f>B294</f>
        <v>2.8000000000000002E-12</v>
      </c>
      <c r="AL37" s="267" t="s">
        <v>310</v>
      </c>
      <c r="AM37" s="289">
        <f>B294</f>
        <v>2.8000000000000002E-12</v>
      </c>
      <c r="AR37" s="267" t="s">
        <v>310</v>
      </c>
      <c r="AS37" s="289">
        <f>B294</f>
        <v>2.8000000000000002E-12</v>
      </c>
      <c r="AU37" s="267" t="s">
        <v>310</v>
      </c>
      <c r="AV37" s="289">
        <f>B294</f>
        <v>2.8000000000000002E-12</v>
      </c>
      <c r="BA37" s="267" t="s">
        <v>310</v>
      </c>
      <c r="BB37" s="289">
        <f>B294</f>
        <v>2.8000000000000002E-12</v>
      </c>
      <c r="BD37" s="267" t="s">
        <v>310</v>
      </c>
      <c r="BE37" s="289">
        <f>B294</f>
        <v>2.8000000000000002E-12</v>
      </c>
      <c r="BJ37" s="267" t="s">
        <v>310</v>
      </c>
      <c r="BK37" s="289">
        <f>B294</f>
        <v>2.8000000000000002E-12</v>
      </c>
      <c r="BM37" s="267" t="s">
        <v>310</v>
      </c>
      <c r="BN37" s="289">
        <f>B294</f>
        <v>2.8000000000000002E-12</v>
      </c>
      <c r="BY37" s="95" t="s">
        <v>315</v>
      </c>
      <c r="BZ37" s="297">
        <f>B293</f>
        <v>241</v>
      </c>
      <c r="CA37" s="249" t="s">
        <v>309</v>
      </c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5.0000000000000001E-4</v>
      </c>
      <c r="C38" s="263" t="s">
        <v>298</v>
      </c>
      <c r="D38" s="95" t="s">
        <v>315</v>
      </c>
      <c r="E38" s="289">
        <f>B293</f>
        <v>241</v>
      </c>
      <c r="F38" s="249" t="s">
        <v>309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((W27)/((W33/W34)*W30*W31*W32*W35))*W29*W42*W43</f>
        <v>6.1822694223635393E-14</v>
      </c>
      <c r="X38" s="88" t="s">
        <v>15</v>
      </c>
      <c r="Y38" s="88" t="s">
        <v>74</v>
      </c>
      <c r="Z38" s="294">
        <f>((Z27*Z31*Z28)/((1-EXP(-Z28))*Z31*Z32*Z30*Z44*(Z33/Z34)*Z35))*Z29*Z46*Z47</f>
        <v>2.9746284363149302E-12</v>
      </c>
      <c r="AA38" s="88" t="s">
        <v>16</v>
      </c>
      <c r="AB38" s="95" t="s">
        <v>315</v>
      </c>
      <c r="AC38" s="297">
        <f>B293</f>
        <v>241</v>
      </c>
      <c r="AD38" s="297">
        <f>B293</f>
        <v>241</v>
      </c>
      <c r="AE38" s="297">
        <f>B293</f>
        <v>241</v>
      </c>
      <c r="AF38" s="297">
        <f>B293</f>
        <v>241</v>
      </c>
      <c r="AG38" s="297">
        <f>B293</f>
        <v>241</v>
      </c>
      <c r="AH38" s="249" t="s">
        <v>309</v>
      </c>
      <c r="AL38" s="262"/>
      <c r="AM38" s="293"/>
      <c r="AN38" s="262"/>
      <c r="BD38" s="262"/>
      <c r="BE38" s="293"/>
      <c r="BF38" s="262"/>
      <c r="BY38" s="267" t="s">
        <v>310</v>
      </c>
      <c r="BZ38" s="289">
        <f>B294</f>
        <v>2.8000000000000002E-12</v>
      </c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x14ac:dyDescent="0.2">
      <c r="A39" s="262" t="s">
        <v>276</v>
      </c>
      <c r="B39" s="315">
        <v>6.0000000000000001E-3</v>
      </c>
      <c r="C39" s="263" t="s">
        <v>298</v>
      </c>
      <c r="D39" s="267" t="s">
        <v>310</v>
      </c>
      <c r="E39" s="289">
        <f>B294</f>
        <v>2.8000000000000002E-12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((W27)/((W33/W34)*W30*W31*W36*(1/365)))*W29*W42*W43</f>
        <v>8.8050506474314237E-7</v>
      </c>
      <c r="X39" s="88" t="s">
        <v>15</v>
      </c>
      <c r="Y39" s="88" t="s">
        <v>78</v>
      </c>
      <c r="Z39" s="296">
        <f>((Z27*Z31*Z28)/((1-EXP(-Z28*Z31))*Z36*Z30*Z44*(Z33/Z34)*Z37*(Z44/Z45)))*Z29*Z46*Z47</f>
        <v>4.2365921394977526E-5</v>
      </c>
      <c r="AA39" s="88" t="s">
        <v>16</v>
      </c>
      <c r="AB39" s="267" t="s">
        <v>310</v>
      </c>
      <c r="AC39" s="289">
        <f>B294</f>
        <v>2.8000000000000002E-12</v>
      </c>
      <c r="AD39" s="289">
        <f>B294</f>
        <v>2.8000000000000002E-12</v>
      </c>
      <c r="AE39" s="289">
        <f>B294</f>
        <v>2.8000000000000002E-12</v>
      </c>
      <c r="AF39" s="289">
        <f>B294</f>
        <v>2.8000000000000002E-12</v>
      </c>
      <c r="AG39" s="289">
        <f>B294</f>
        <v>2.8000000000000002E-12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3.0000000000000001E-3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((W27*W28*W31)/((W33/W34)*(1-EXP(-W28*W31))*W32*W35*W30*W31))*W29*W42*W43</f>
        <v>6.3070072508238332E-14</v>
      </c>
      <c r="X40" s="88" t="s">
        <v>16</v>
      </c>
      <c r="Y40" s="88" t="s">
        <v>74</v>
      </c>
      <c r="Z40" s="294">
        <f>(Z27/((Z32*Z30*Z44*(Z33/Z34)*Z35)))*Z29*Z46*Z47</f>
        <v>2.9722449145978555E-12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1.7000000000000001E-4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((W27*W28*W31)/((W33/W34)*(1-EXP(-W28*W31))*W36*W30*W31*(1/365)))*W29*W42*W43</f>
        <v>8.9827075598381241E-7</v>
      </c>
      <c r="X41" s="88" t="s">
        <v>16</v>
      </c>
      <c r="Y41" s="88" t="s">
        <v>78</v>
      </c>
      <c r="Z41" s="296">
        <f>(Z27/(Z36*Z30*(1/Z45)*Z44*(Z33/Z34)*Z37))*Z29*Z46*Z47</f>
        <v>4.2331974266497215E-5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1</v>
      </c>
      <c r="HF41" s="249" t="s">
        <v>113</v>
      </c>
    </row>
    <row r="42" spans="1:214" ht="13.9" customHeight="1" x14ac:dyDescent="0.2">
      <c r="A42" s="249" t="s">
        <v>265</v>
      </c>
      <c r="B42" s="315">
        <v>5.0000000000000002E-5</v>
      </c>
      <c r="C42" s="263" t="s">
        <v>298</v>
      </c>
      <c r="D42" s="203" t="s">
        <v>510</v>
      </c>
      <c r="E42" s="204">
        <f>E52</f>
        <v>1.8514181487404016E-11</v>
      </c>
      <c r="F42" s="184" t="s">
        <v>313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315</v>
      </c>
      <c r="W42" s="289">
        <f>B293</f>
        <v>241</v>
      </c>
      <c r="X42" s="249" t="s">
        <v>309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3.15" customHeight="1" thickBot="1" x14ac:dyDescent="0.25">
      <c r="A43" s="262" t="s">
        <v>264</v>
      </c>
      <c r="B43" s="315">
        <v>6.0000000000000001E-3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V43" s="267" t="s">
        <v>310</v>
      </c>
      <c r="W43" s="289">
        <f>B295</f>
        <v>2.8000000000000001E-15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1.914E-5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ht="12.75" customHeight="1" x14ac:dyDescent="0.2">
      <c r="A45" s="249" t="s">
        <v>38</v>
      </c>
      <c r="B45" s="315">
        <v>2.1999999999999999E-5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97">
        <v>4</v>
      </c>
      <c r="C46" s="249" t="s">
        <v>19</v>
      </c>
      <c r="D46" s="262" t="s">
        <v>438</v>
      </c>
      <c r="E46" s="287">
        <f>B30</f>
        <v>1.3357000000000001E-10</v>
      </c>
      <c r="F46" s="262" t="s">
        <v>289</v>
      </c>
      <c r="G46" s="249" t="s">
        <v>20</v>
      </c>
      <c r="H46" s="287">
        <f>H48</f>
        <v>1.914E-5</v>
      </c>
      <c r="I46" s="263"/>
      <c r="J46" s="269" t="s">
        <v>107</v>
      </c>
      <c r="K46" s="292">
        <f>K34</f>
        <v>26</v>
      </c>
      <c r="L46" s="269" t="s">
        <v>69</v>
      </c>
      <c r="Y46" s="95" t="s">
        <v>315</v>
      </c>
      <c r="Z46" s="289">
        <f>B293</f>
        <v>241</v>
      </c>
      <c r="AA46" s="249" t="s">
        <v>309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15</v>
      </c>
      <c r="C47" s="262" t="s">
        <v>14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Y47" s="267" t="s">
        <v>310</v>
      </c>
      <c r="Z47" s="289">
        <f>B295</f>
        <v>2.8000000000000001E-15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1.914E-5</v>
      </c>
      <c r="K48" s="289">
        <v>1000</v>
      </c>
      <c r="L48" s="249" t="s">
        <v>115</v>
      </c>
      <c r="CT48" s="95" t="s">
        <v>315</v>
      </c>
      <c r="CU48" s="289">
        <f>B293</f>
        <v>241</v>
      </c>
      <c r="CV48" s="249" t="s">
        <v>309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53" customFormat="1" x14ac:dyDescent="0.2">
      <c r="A49" s="249" t="s">
        <v>331</v>
      </c>
      <c r="B49" s="284">
        <v>0.25</v>
      </c>
      <c r="C49" s="249"/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I49" s="249"/>
      <c r="J49" s="249"/>
      <c r="K49" s="297">
        <v>1000</v>
      </c>
      <c r="L49" s="249" t="s">
        <v>24</v>
      </c>
      <c r="M49" s="249"/>
      <c r="N49" s="289"/>
      <c r="O49" s="249"/>
      <c r="P49" s="249"/>
      <c r="Q49" s="289"/>
      <c r="R49" s="249"/>
      <c r="S49" s="249"/>
      <c r="T49" s="289"/>
      <c r="U49" s="249"/>
      <c r="V49" s="249"/>
      <c r="W49" s="289"/>
      <c r="X49" s="249"/>
      <c r="Y49" s="249"/>
      <c r="Z49" s="289"/>
      <c r="AA49" s="249"/>
      <c r="AB49" s="249"/>
      <c r="AC49" s="289"/>
      <c r="AD49" s="289"/>
      <c r="AE49" s="289"/>
      <c r="AF49" s="289"/>
      <c r="AG49" s="289"/>
      <c r="AH49" s="249"/>
      <c r="AI49" s="249"/>
      <c r="AJ49" s="289"/>
      <c r="AK49" s="249"/>
      <c r="AL49" s="249"/>
      <c r="AM49" s="289"/>
      <c r="AN49" s="249"/>
      <c r="AO49" s="249"/>
      <c r="AP49" s="289"/>
      <c r="AQ49" s="249"/>
      <c r="AR49" s="249"/>
      <c r="AS49" s="289"/>
      <c r="AT49" s="249"/>
      <c r="AU49" s="249"/>
      <c r="AV49" s="289"/>
      <c r="AW49" s="249"/>
      <c r="AX49" s="249"/>
      <c r="AY49" s="289"/>
      <c r="AZ49" s="249"/>
      <c r="BA49" s="249"/>
      <c r="BB49" s="289"/>
      <c r="BC49" s="249"/>
      <c r="BD49" s="249"/>
      <c r="BE49" s="289"/>
      <c r="BF49" s="249"/>
      <c r="BG49" s="249"/>
      <c r="BH49" s="289"/>
      <c r="BI49" s="249"/>
      <c r="BJ49" s="249"/>
      <c r="BK49" s="289"/>
      <c r="BL49" s="249"/>
      <c r="BM49" s="249"/>
      <c r="BN49" s="289"/>
      <c r="BO49" s="249"/>
      <c r="BP49" s="249"/>
      <c r="BQ49" s="289"/>
      <c r="BR49" s="249"/>
      <c r="BS49" s="249"/>
      <c r="BT49" s="289"/>
      <c r="BU49" s="249"/>
      <c r="BV49" s="249"/>
      <c r="BW49" s="289"/>
      <c r="BX49" s="249"/>
      <c r="BY49" s="262"/>
      <c r="BZ49" s="293"/>
      <c r="CA49" s="249"/>
      <c r="CB49" s="249"/>
      <c r="CC49" s="289"/>
      <c r="CD49" s="249"/>
      <c r="CE49" s="249"/>
      <c r="CF49" s="289"/>
      <c r="CG49" s="249"/>
      <c r="CH49" s="249"/>
      <c r="CI49" s="289"/>
      <c r="CJ49" s="249"/>
      <c r="CK49" s="249"/>
      <c r="CL49" s="289"/>
      <c r="CM49" s="249"/>
      <c r="CN49" s="249"/>
      <c r="CO49" s="289"/>
      <c r="CP49" s="249"/>
      <c r="CQ49" s="249"/>
      <c r="CR49" s="289"/>
      <c r="CS49" s="249"/>
      <c r="CT49" s="267" t="s">
        <v>310</v>
      </c>
      <c r="CU49" s="289">
        <f>B294</f>
        <v>2.8000000000000002E-12</v>
      </c>
      <c r="CV49" s="249"/>
      <c r="CW49" s="249"/>
      <c r="CX49" s="289"/>
      <c r="CY49" s="249"/>
      <c r="CZ49" s="249"/>
      <c r="DA49" s="292">
        <v>1000</v>
      </c>
      <c r="DB49" s="267" t="s">
        <v>115</v>
      </c>
      <c r="DC49" s="249"/>
      <c r="DD49" s="289"/>
      <c r="DE49" s="249"/>
      <c r="DF49" s="249"/>
      <c r="DG49" s="289"/>
      <c r="DH49" s="249"/>
      <c r="DI49" s="249"/>
      <c r="DJ49" s="289"/>
      <c r="DK49" s="249"/>
      <c r="DL49" s="249"/>
      <c r="DM49" s="289"/>
      <c r="DN49" s="249"/>
      <c r="DO49" s="249"/>
      <c r="DP49" s="289"/>
      <c r="DQ49" s="249"/>
      <c r="DR49" s="249"/>
      <c r="DS49" s="289"/>
      <c r="DT49" s="249"/>
      <c r="DU49" s="249"/>
      <c r="DV49" s="289"/>
      <c r="DW49" s="264"/>
      <c r="DX49" s="264"/>
      <c r="DY49" s="328"/>
      <c r="DZ49" s="264"/>
    </row>
    <row r="50" spans="1:130" s="53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240</v>
      </c>
      <c r="F50" s="263" t="s">
        <v>19</v>
      </c>
      <c r="G50" s="249" t="s">
        <v>18</v>
      </c>
      <c r="H50" s="288">
        <f>(H53*H54*H48*((1-EXP(-H55*H56))))/(H57*H55)</f>
        <v>6.6877504027585484E-4</v>
      </c>
      <c r="I50" s="249" t="s">
        <v>19</v>
      </c>
      <c r="J50" s="249" t="s">
        <v>20</v>
      </c>
      <c r="K50" s="287">
        <f>K52</f>
        <v>1.914E-5</v>
      </c>
      <c r="L50" s="249"/>
      <c r="M50" s="249"/>
      <c r="N50" s="289"/>
      <c r="O50" s="249"/>
      <c r="P50" s="249"/>
      <c r="Q50" s="289"/>
      <c r="R50" s="249"/>
      <c r="S50" s="249"/>
      <c r="T50" s="289"/>
      <c r="U50" s="249"/>
      <c r="V50" s="249"/>
      <c r="W50" s="289"/>
      <c r="X50" s="249"/>
      <c r="Y50" s="249"/>
      <c r="Z50" s="289"/>
      <c r="AA50" s="249"/>
      <c r="AB50" s="249"/>
      <c r="AC50" s="289"/>
      <c r="AD50" s="289"/>
      <c r="AE50" s="289"/>
      <c r="AF50" s="289"/>
      <c r="AG50" s="289"/>
      <c r="AH50" s="249"/>
      <c r="AI50" s="249"/>
      <c r="AJ50" s="289"/>
      <c r="AK50" s="249"/>
      <c r="AL50" s="249"/>
      <c r="AM50" s="289"/>
      <c r="AN50" s="249"/>
      <c r="AO50" s="249"/>
      <c r="AP50" s="289"/>
      <c r="AQ50" s="249"/>
      <c r="AR50" s="249"/>
      <c r="AS50" s="289"/>
      <c r="AT50" s="249"/>
      <c r="AU50" s="249"/>
      <c r="AV50" s="289"/>
      <c r="AW50" s="249"/>
      <c r="AX50" s="249"/>
      <c r="AY50" s="289"/>
      <c r="AZ50" s="249"/>
      <c r="BA50" s="249"/>
      <c r="BB50" s="289"/>
      <c r="BC50" s="249"/>
      <c r="BD50" s="249"/>
      <c r="BE50" s="289"/>
      <c r="BF50" s="249"/>
      <c r="BG50" s="249"/>
      <c r="BH50" s="289"/>
      <c r="BI50" s="249"/>
      <c r="BJ50" s="249"/>
      <c r="BK50" s="289"/>
      <c r="BL50" s="249"/>
      <c r="BM50" s="249"/>
      <c r="BN50" s="289"/>
      <c r="BO50" s="249"/>
      <c r="BP50" s="249"/>
      <c r="BQ50" s="289"/>
      <c r="BR50" s="249"/>
      <c r="BS50" s="249"/>
      <c r="BT50" s="289"/>
      <c r="BU50" s="249"/>
      <c r="BV50" s="249"/>
      <c r="BW50" s="289"/>
      <c r="BX50" s="249"/>
      <c r="BY50" s="263"/>
      <c r="BZ50" s="307"/>
      <c r="CA50" s="249"/>
      <c r="CB50" s="249"/>
      <c r="CC50" s="289"/>
      <c r="CD50" s="249"/>
      <c r="CE50" s="249"/>
      <c r="CF50" s="289"/>
      <c r="CG50" s="249"/>
      <c r="CH50" s="249"/>
      <c r="CI50" s="289"/>
      <c r="CJ50" s="249"/>
      <c r="CK50" s="249"/>
      <c r="CL50" s="289"/>
      <c r="CM50" s="249"/>
      <c r="CN50" s="249"/>
      <c r="CO50" s="289"/>
      <c r="CP50" s="249"/>
      <c r="CQ50" s="249"/>
      <c r="CR50" s="289"/>
      <c r="CS50" s="249"/>
      <c r="CT50" s="263"/>
      <c r="CU50" s="307"/>
      <c r="CV50" s="249"/>
      <c r="CW50" s="249"/>
      <c r="CX50" s="289"/>
      <c r="CY50" s="249"/>
      <c r="CZ50" s="95" t="s">
        <v>315</v>
      </c>
      <c r="DA50" s="289">
        <f>B293</f>
        <v>241</v>
      </c>
      <c r="DB50" s="249" t="s">
        <v>309</v>
      </c>
      <c r="DC50" s="249"/>
      <c r="DD50" s="289"/>
      <c r="DE50" s="249"/>
      <c r="DF50" s="249"/>
      <c r="DG50" s="289"/>
      <c r="DH50" s="249"/>
      <c r="DI50" s="249"/>
      <c r="DJ50" s="289"/>
      <c r="DK50" s="249"/>
      <c r="DL50" s="249"/>
      <c r="DM50" s="289"/>
      <c r="DN50" s="249"/>
      <c r="DO50" s="249"/>
      <c r="DP50" s="289"/>
      <c r="DQ50" s="249"/>
      <c r="DR50" s="249"/>
      <c r="DS50" s="289"/>
      <c r="DT50" s="249"/>
      <c r="DU50" s="249"/>
      <c r="DV50" s="289"/>
      <c r="DW50" s="264"/>
      <c r="DX50" s="264"/>
      <c r="DY50" s="328"/>
      <c r="DZ50" s="264"/>
    </row>
    <row r="51" spans="1:130" s="53" customFormat="1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9.0847184154504852</v>
      </c>
      <c r="I51" s="249" t="s">
        <v>19</v>
      </c>
      <c r="J51" s="262" t="s">
        <v>28</v>
      </c>
      <c r="K51" s="293">
        <f>K53</f>
        <v>0.26</v>
      </c>
      <c r="L51" s="249"/>
      <c r="M51" s="249"/>
      <c r="N51" s="289"/>
      <c r="O51" s="249"/>
      <c r="P51" s="249"/>
      <c r="Q51" s="289"/>
      <c r="R51" s="249"/>
      <c r="S51" s="249"/>
      <c r="T51" s="289"/>
      <c r="U51" s="249"/>
      <c r="V51" s="249"/>
      <c r="W51" s="289"/>
      <c r="X51" s="249"/>
      <c r="Y51" s="249"/>
      <c r="Z51" s="289"/>
      <c r="AA51" s="249"/>
      <c r="AB51" s="249"/>
      <c r="AC51" s="289"/>
      <c r="AD51" s="289"/>
      <c r="AE51" s="289"/>
      <c r="AF51" s="289"/>
      <c r="AG51" s="289"/>
      <c r="AH51" s="249"/>
      <c r="AI51" s="249"/>
      <c r="AJ51" s="289"/>
      <c r="AK51" s="249"/>
      <c r="AL51" s="249"/>
      <c r="AM51" s="289"/>
      <c r="AN51" s="249"/>
      <c r="AO51" s="249"/>
      <c r="AP51" s="289"/>
      <c r="AQ51" s="249"/>
      <c r="AR51" s="249"/>
      <c r="AS51" s="289"/>
      <c r="AT51" s="249"/>
      <c r="AU51" s="249"/>
      <c r="AV51" s="289"/>
      <c r="AW51" s="249"/>
      <c r="AX51" s="249"/>
      <c r="AY51" s="289"/>
      <c r="AZ51" s="249"/>
      <c r="BA51" s="249"/>
      <c r="BB51" s="289"/>
      <c r="BC51" s="249"/>
      <c r="BD51" s="249"/>
      <c r="BE51" s="289"/>
      <c r="BF51" s="249"/>
      <c r="BG51" s="249"/>
      <c r="BH51" s="289"/>
      <c r="BI51" s="249"/>
      <c r="BJ51" s="249"/>
      <c r="BK51" s="289"/>
      <c r="BL51" s="249"/>
      <c r="BM51" s="249"/>
      <c r="BN51" s="289"/>
      <c r="BO51" s="249"/>
      <c r="BP51" s="249"/>
      <c r="BQ51" s="289"/>
      <c r="BR51" s="249"/>
      <c r="BS51" s="249"/>
      <c r="BT51" s="289"/>
      <c r="BU51" s="249"/>
      <c r="BV51" s="249"/>
      <c r="BW51" s="287"/>
      <c r="BX51" s="249"/>
      <c r="BY51" s="262"/>
      <c r="BZ51" s="293"/>
      <c r="CA51" s="249"/>
      <c r="CB51" s="249"/>
      <c r="CC51" s="289"/>
      <c r="CD51" s="249"/>
      <c r="CE51" s="249"/>
      <c r="CF51" s="289"/>
      <c r="CG51" s="249"/>
      <c r="CH51" s="249"/>
      <c r="CI51" s="289"/>
      <c r="CJ51" s="249"/>
      <c r="CK51" s="249"/>
      <c r="CL51" s="289"/>
      <c r="CM51" s="249"/>
      <c r="CN51" s="249"/>
      <c r="CO51" s="289"/>
      <c r="CP51" s="249"/>
      <c r="CQ51" s="249"/>
      <c r="CR51" s="289"/>
      <c r="CS51" s="249"/>
      <c r="CT51" s="262"/>
      <c r="CU51" s="293"/>
      <c r="CV51" s="249"/>
      <c r="CW51" s="249"/>
      <c r="CX51" s="289"/>
      <c r="CY51" s="249"/>
      <c r="CZ51" s="267" t="s">
        <v>310</v>
      </c>
      <c r="DA51" s="289">
        <f>B294</f>
        <v>2.8000000000000002E-12</v>
      </c>
      <c r="DB51" s="249"/>
      <c r="DC51" s="249"/>
      <c r="DD51" s="289"/>
      <c r="DE51" s="249"/>
      <c r="DF51" s="249"/>
      <c r="DG51" s="289"/>
      <c r="DH51" s="249"/>
      <c r="DI51" s="249"/>
      <c r="DJ51" s="289"/>
      <c r="DK51" s="249"/>
      <c r="DL51" s="249"/>
      <c r="DM51" s="289"/>
      <c r="DN51" s="249"/>
      <c r="DO51" s="249"/>
      <c r="DP51" s="289"/>
      <c r="DQ51" s="249"/>
      <c r="DR51" s="249"/>
      <c r="DS51" s="289"/>
      <c r="DT51" s="249"/>
      <c r="DU51" s="249"/>
      <c r="DV51" s="289"/>
      <c r="DW51" s="264"/>
      <c r="DX51" s="264"/>
      <c r="DY51" s="328"/>
      <c r="DZ51" s="264"/>
    </row>
    <row r="52" spans="1:130" s="53" customFormat="1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>
        <f>(E44/(E46*E45*E47*E48*E50*E51*(1/E49)))*E7*E53*E54</f>
        <v>1.8514181487404016E-11</v>
      </c>
      <c r="F52" s="249" t="s">
        <v>313</v>
      </c>
      <c r="G52" s="249" t="s">
        <v>36</v>
      </c>
      <c r="H52" s="288">
        <f>(H53*H54*H58*H64*((1-EXP(-H59*H60))))/(H61*H59)</f>
        <v>3.6421488784670224</v>
      </c>
      <c r="I52" s="249" t="s">
        <v>19</v>
      </c>
      <c r="J52" s="263" t="s">
        <v>37</v>
      </c>
      <c r="K52" s="290">
        <f>B44</f>
        <v>1.914E-5</v>
      </c>
      <c r="L52" s="249"/>
      <c r="M52" s="249"/>
      <c r="N52" s="289"/>
      <c r="O52" s="249"/>
      <c r="P52" s="249"/>
      <c r="Q52" s="289"/>
      <c r="R52" s="249"/>
      <c r="S52" s="249"/>
      <c r="T52" s="289"/>
      <c r="U52" s="249"/>
      <c r="V52" s="249"/>
      <c r="W52" s="289"/>
      <c r="X52" s="249"/>
      <c r="Y52" s="249"/>
      <c r="Z52" s="289"/>
      <c r="AA52" s="249"/>
      <c r="AB52" s="249"/>
      <c r="AC52" s="289"/>
      <c r="AD52" s="289"/>
      <c r="AE52" s="289"/>
      <c r="AF52" s="289"/>
      <c r="AG52" s="289"/>
      <c r="AH52" s="249"/>
      <c r="AI52" s="249"/>
      <c r="AJ52" s="289"/>
      <c r="AK52" s="249"/>
      <c r="AL52" s="249"/>
      <c r="AM52" s="289"/>
      <c r="AN52" s="249"/>
      <c r="AO52" s="249"/>
      <c r="AP52" s="289"/>
      <c r="AQ52" s="249"/>
      <c r="AR52" s="249"/>
      <c r="AS52" s="289"/>
      <c r="AT52" s="249"/>
      <c r="AU52" s="249"/>
      <c r="AV52" s="289"/>
      <c r="AW52" s="249"/>
      <c r="AX52" s="249"/>
      <c r="AY52" s="289"/>
      <c r="AZ52" s="249"/>
      <c r="BA52" s="249"/>
      <c r="BB52" s="289"/>
      <c r="BC52" s="249"/>
      <c r="BD52" s="249"/>
      <c r="BE52" s="289"/>
      <c r="BF52" s="249"/>
      <c r="BG52" s="249"/>
      <c r="BH52" s="289"/>
      <c r="BI52" s="249"/>
      <c r="BJ52" s="249"/>
      <c r="BK52" s="289"/>
      <c r="BL52" s="249"/>
      <c r="BM52" s="249"/>
      <c r="BN52" s="289"/>
      <c r="BO52" s="249"/>
      <c r="BP52" s="249"/>
      <c r="BQ52" s="289"/>
      <c r="BR52" s="249"/>
      <c r="BS52" s="249"/>
      <c r="BT52" s="289"/>
      <c r="BU52" s="249"/>
      <c r="BV52" s="249"/>
      <c r="BW52" s="287"/>
      <c r="BX52" s="249"/>
      <c r="BY52" s="249"/>
      <c r="BZ52" s="289"/>
      <c r="CA52" s="249"/>
      <c r="CB52" s="249"/>
      <c r="CC52" s="289"/>
      <c r="CD52" s="249"/>
      <c r="CE52" s="249"/>
      <c r="CF52" s="289"/>
      <c r="CG52" s="249"/>
      <c r="CH52" s="249"/>
      <c r="CI52" s="289"/>
      <c r="CJ52" s="249"/>
      <c r="CK52" s="249"/>
      <c r="CL52" s="289"/>
      <c r="CM52" s="249"/>
      <c r="CN52" s="249"/>
      <c r="CO52" s="289"/>
      <c r="CP52" s="249"/>
      <c r="CQ52" s="249"/>
      <c r="CR52" s="289"/>
      <c r="CS52" s="249"/>
      <c r="CT52" s="249"/>
      <c r="CU52" s="289"/>
      <c r="CV52" s="249"/>
      <c r="CW52" s="249"/>
      <c r="CX52" s="289"/>
      <c r="CY52" s="249"/>
      <c r="CZ52" s="267"/>
      <c r="DA52" s="289"/>
      <c r="DB52" s="249"/>
      <c r="DC52" s="249"/>
      <c r="DD52" s="289"/>
      <c r="DE52" s="249"/>
      <c r="DF52" s="249"/>
      <c r="DG52" s="289"/>
      <c r="DH52" s="249"/>
      <c r="DI52" s="249"/>
      <c r="DJ52" s="289"/>
      <c r="DK52" s="249"/>
      <c r="DL52" s="249"/>
      <c r="DM52" s="289"/>
      <c r="DN52" s="249"/>
      <c r="DO52" s="249"/>
      <c r="DP52" s="289"/>
      <c r="DQ52" s="249"/>
      <c r="DR52" s="249"/>
      <c r="DS52" s="289"/>
      <c r="DT52" s="249"/>
      <c r="DU52" s="249"/>
      <c r="DV52" s="289"/>
      <c r="DW52" s="264"/>
      <c r="DX52" s="264"/>
      <c r="DY52" s="328"/>
      <c r="DZ52" s="264"/>
    </row>
    <row r="53" spans="1:130" s="53" customFormat="1" x14ac:dyDescent="0.2">
      <c r="A53" s="262" t="s">
        <v>320</v>
      </c>
      <c r="B53" s="283">
        <v>200</v>
      </c>
      <c r="C53" s="263" t="s">
        <v>54</v>
      </c>
      <c r="D53" s="95" t="s">
        <v>315</v>
      </c>
      <c r="E53" s="289">
        <f>B293</f>
        <v>241</v>
      </c>
      <c r="F53" s="249" t="s">
        <v>309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L53" s="249"/>
      <c r="M53" s="249"/>
      <c r="N53" s="289"/>
      <c r="O53" s="249"/>
      <c r="P53" s="249"/>
      <c r="Q53" s="289"/>
      <c r="R53" s="249"/>
      <c r="S53" s="249"/>
      <c r="T53" s="289"/>
      <c r="U53" s="249"/>
      <c r="V53" s="249"/>
      <c r="W53" s="289"/>
      <c r="X53" s="249"/>
      <c r="Y53" s="249"/>
      <c r="Z53" s="289"/>
      <c r="AA53" s="249"/>
      <c r="AB53" s="249"/>
      <c r="AC53" s="289"/>
      <c r="AD53" s="289"/>
      <c r="AE53" s="289"/>
      <c r="AF53" s="289"/>
      <c r="AG53" s="289"/>
      <c r="AH53" s="249"/>
      <c r="AI53" s="249"/>
      <c r="AJ53" s="289"/>
      <c r="AK53" s="249"/>
      <c r="AL53" s="249"/>
      <c r="AM53" s="289"/>
      <c r="AN53" s="249"/>
      <c r="AO53" s="249"/>
      <c r="AP53" s="289"/>
      <c r="AQ53" s="249"/>
      <c r="AR53" s="249"/>
      <c r="AS53" s="289"/>
      <c r="AT53" s="249"/>
      <c r="AU53" s="249"/>
      <c r="AV53" s="289"/>
      <c r="AW53" s="249"/>
      <c r="AX53" s="249"/>
      <c r="AY53" s="289"/>
      <c r="AZ53" s="249"/>
      <c r="BA53" s="249"/>
      <c r="BB53" s="289"/>
      <c r="BC53" s="249"/>
      <c r="BD53" s="249"/>
      <c r="BE53" s="289"/>
      <c r="BF53" s="249"/>
      <c r="BG53" s="249"/>
      <c r="BH53" s="289"/>
      <c r="BI53" s="249"/>
      <c r="BJ53" s="249"/>
      <c r="BK53" s="289"/>
      <c r="BL53" s="249"/>
      <c r="BM53" s="249"/>
      <c r="BN53" s="289"/>
      <c r="BO53" s="249"/>
      <c r="BP53" s="249"/>
      <c r="BQ53" s="289"/>
      <c r="BR53" s="249"/>
      <c r="BS53" s="249"/>
      <c r="BT53" s="289"/>
      <c r="BU53" s="249"/>
      <c r="BV53" s="262"/>
      <c r="BW53" s="289"/>
      <c r="BX53" s="249"/>
      <c r="BY53" s="249"/>
      <c r="BZ53" s="289"/>
      <c r="CA53" s="249"/>
      <c r="CB53" s="249"/>
      <c r="CC53" s="289"/>
      <c r="CD53" s="249"/>
      <c r="CE53" s="249"/>
      <c r="CF53" s="289"/>
      <c r="CG53" s="249"/>
      <c r="CH53" s="249"/>
      <c r="CI53" s="289"/>
      <c r="CJ53" s="249"/>
      <c r="CK53" s="249"/>
      <c r="CL53" s="289"/>
      <c r="CM53" s="249"/>
      <c r="CN53" s="249"/>
      <c r="CO53" s="289"/>
      <c r="CP53" s="249"/>
      <c r="CQ53" s="249"/>
      <c r="CR53" s="289"/>
      <c r="CS53" s="249"/>
      <c r="CT53" s="249"/>
      <c r="CU53" s="289"/>
      <c r="CV53" s="249"/>
      <c r="CW53" s="249"/>
      <c r="CX53" s="289"/>
      <c r="CY53" s="249"/>
      <c r="CZ53" s="267"/>
      <c r="DA53" s="289"/>
      <c r="DB53" s="249"/>
      <c r="DC53" s="249"/>
      <c r="DD53" s="289"/>
      <c r="DE53" s="249"/>
      <c r="DF53" s="249"/>
      <c r="DG53" s="289"/>
      <c r="DH53" s="249"/>
      <c r="DI53" s="249"/>
      <c r="DJ53" s="289"/>
      <c r="DK53" s="249"/>
      <c r="DL53" s="249"/>
      <c r="DM53" s="289"/>
      <c r="DN53" s="249"/>
      <c r="DO53" s="249"/>
      <c r="DP53" s="289"/>
      <c r="DQ53" s="249"/>
      <c r="DR53" s="249"/>
      <c r="DS53" s="289"/>
      <c r="DT53" s="249"/>
      <c r="DU53" s="249"/>
      <c r="DV53" s="289"/>
      <c r="DW53" s="249"/>
      <c r="DX53" s="249"/>
      <c r="DY53" s="289"/>
      <c r="DZ53" s="249"/>
    </row>
    <row r="54" spans="1:130" s="53" customFormat="1" x14ac:dyDescent="0.2">
      <c r="A54" s="262" t="s">
        <v>321</v>
      </c>
      <c r="B54" s="283">
        <v>100</v>
      </c>
      <c r="C54" s="263" t="s">
        <v>54</v>
      </c>
      <c r="D54" s="267" t="s">
        <v>310</v>
      </c>
      <c r="E54" s="289">
        <f>B295</f>
        <v>2.8000000000000001E-15</v>
      </c>
      <c r="F54" s="249"/>
      <c r="G54" s="262" t="s">
        <v>46</v>
      </c>
      <c r="H54" s="287">
        <f>B86</f>
        <v>0.25</v>
      </c>
      <c r="I54" s="249" t="s">
        <v>47</v>
      </c>
      <c r="J54" s="267" t="s">
        <v>315</v>
      </c>
      <c r="K54" s="289">
        <f>B293</f>
        <v>241</v>
      </c>
      <c r="L54" s="249" t="s">
        <v>309</v>
      </c>
      <c r="M54" s="249"/>
      <c r="N54" s="289"/>
      <c r="O54" s="249"/>
      <c r="P54" s="249"/>
      <c r="Q54" s="289"/>
      <c r="R54" s="249"/>
      <c r="S54" s="249"/>
      <c r="T54" s="289"/>
      <c r="U54" s="249"/>
      <c r="V54" s="249"/>
      <c r="W54" s="289"/>
      <c r="X54" s="249"/>
      <c r="Y54" s="249"/>
      <c r="Z54" s="289"/>
      <c r="AA54" s="249"/>
      <c r="AB54" s="249"/>
      <c r="AC54" s="289"/>
      <c r="AD54" s="289"/>
      <c r="AE54" s="289"/>
      <c r="AF54" s="289"/>
      <c r="AG54" s="289"/>
      <c r="AH54" s="249"/>
      <c r="AI54" s="249"/>
      <c r="AJ54" s="289"/>
      <c r="AK54" s="249"/>
      <c r="AL54" s="249"/>
      <c r="AM54" s="289"/>
      <c r="AN54" s="249"/>
      <c r="AO54" s="249"/>
      <c r="AP54" s="289"/>
      <c r="AQ54" s="249"/>
      <c r="AR54" s="249"/>
      <c r="AS54" s="289"/>
      <c r="AT54" s="249"/>
      <c r="AU54" s="249"/>
      <c r="AV54" s="289"/>
      <c r="AW54" s="249"/>
      <c r="AX54" s="249"/>
      <c r="AY54" s="289"/>
      <c r="AZ54" s="249"/>
      <c r="BA54" s="249"/>
      <c r="BB54" s="289"/>
      <c r="BC54" s="249"/>
      <c r="BD54" s="249"/>
      <c r="BE54" s="289"/>
      <c r="BF54" s="249"/>
      <c r="BG54" s="249"/>
      <c r="BH54" s="289"/>
      <c r="BI54" s="249"/>
      <c r="BJ54" s="249"/>
      <c r="BK54" s="289"/>
      <c r="BL54" s="249"/>
      <c r="BM54" s="249"/>
      <c r="BN54" s="289"/>
      <c r="BO54" s="249"/>
      <c r="BP54" s="249"/>
      <c r="BQ54" s="289"/>
      <c r="BR54" s="249"/>
      <c r="BS54" s="249"/>
      <c r="BT54" s="289"/>
      <c r="BU54" s="249"/>
      <c r="BV54" s="262"/>
      <c r="BW54" s="289"/>
      <c r="BX54" s="249"/>
      <c r="BY54" s="249"/>
      <c r="BZ54" s="289"/>
      <c r="CA54" s="249"/>
      <c r="CB54" s="249"/>
      <c r="CC54" s="289"/>
      <c r="CD54" s="249"/>
      <c r="CE54" s="249"/>
      <c r="CF54" s="289"/>
      <c r="CG54" s="249"/>
      <c r="CH54" s="249"/>
      <c r="CI54" s="289"/>
      <c r="CJ54" s="249"/>
      <c r="CK54" s="249"/>
      <c r="CL54" s="289"/>
      <c r="CM54" s="249"/>
      <c r="CN54" s="249"/>
      <c r="CO54" s="289"/>
      <c r="CP54" s="249"/>
      <c r="CQ54" s="249"/>
      <c r="CR54" s="289"/>
      <c r="CS54" s="249"/>
      <c r="CT54" s="249"/>
      <c r="CU54" s="289"/>
      <c r="CV54" s="249"/>
      <c r="CW54" s="249"/>
      <c r="CX54" s="289"/>
      <c r="CY54" s="249"/>
      <c r="CZ54" s="267"/>
      <c r="DA54" s="289"/>
      <c r="DB54" s="249"/>
      <c r="DC54" s="249"/>
      <c r="DD54" s="289"/>
      <c r="DE54" s="249"/>
      <c r="DF54" s="249"/>
      <c r="DG54" s="289"/>
      <c r="DH54" s="249"/>
      <c r="DI54" s="249"/>
      <c r="DJ54" s="289"/>
      <c r="DK54" s="249"/>
      <c r="DL54" s="249"/>
      <c r="DM54" s="289"/>
      <c r="DN54" s="249"/>
      <c r="DO54" s="249"/>
      <c r="DP54" s="289"/>
      <c r="DQ54" s="249"/>
      <c r="DR54" s="249"/>
      <c r="DS54" s="289"/>
      <c r="DT54" s="249"/>
      <c r="DU54" s="249"/>
      <c r="DV54" s="289"/>
      <c r="DW54" s="249"/>
      <c r="DX54" s="249"/>
      <c r="DY54" s="289"/>
      <c r="DZ54" s="249"/>
    </row>
    <row r="55" spans="1:130" s="53" customFormat="1" x14ac:dyDescent="0.2">
      <c r="A55" s="262" t="s">
        <v>322</v>
      </c>
      <c r="B55" s="283">
        <v>0.78</v>
      </c>
      <c r="C55" s="262" t="s">
        <v>30</v>
      </c>
      <c r="D55" s="249"/>
      <c r="E55" s="289"/>
      <c r="F55" s="249"/>
      <c r="G55" s="267" t="s">
        <v>55</v>
      </c>
      <c r="H55" s="303">
        <f>H62+H63</f>
        <v>3.1394977168949772E-5</v>
      </c>
      <c r="I55" s="249"/>
      <c r="J55" s="267" t="s">
        <v>310</v>
      </c>
      <c r="K55" s="289">
        <f>B294</f>
        <v>2.8000000000000002E-12</v>
      </c>
      <c r="L55" s="249"/>
      <c r="M55" s="249"/>
      <c r="N55" s="289"/>
      <c r="O55" s="249"/>
      <c r="P55" s="249"/>
      <c r="Q55" s="289"/>
      <c r="R55" s="249"/>
      <c r="S55" s="249"/>
      <c r="T55" s="289"/>
      <c r="U55" s="249"/>
      <c r="V55" s="249"/>
      <c r="W55" s="289"/>
      <c r="X55" s="249"/>
      <c r="Y55" s="249"/>
      <c r="Z55" s="289"/>
      <c r="AA55" s="249"/>
      <c r="AB55" s="249"/>
      <c r="AC55" s="289"/>
      <c r="AD55" s="289"/>
      <c r="AE55" s="289"/>
      <c r="AF55" s="289"/>
      <c r="AG55" s="289"/>
      <c r="AH55" s="249"/>
      <c r="AI55" s="249"/>
      <c r="AJ55" s="289"/>
      <c r="AK55" s="249"/>
      <c r="AL55" s="249"/>
      <c r="AM55" s="289"/>
      <c r="AN55" s="249"/>
      <c r="AO55" s="249"/>
      <c r="AP55" s="289"/>
      <c r="AQ55" s="249"/>
      <c r="AR55" s="249"/>
      <c r="AS55" s="289"/>
      <c r="AT55" s="249"/>
      <c r="AU55" s="249"/>
      <c r="AV55" s="289"/>
      <c r="AW55" s="249"/>
      <c r="AX55" s="249"/>
      <c r="AY55" s="289"/>
      <c r="AZ55" s="249"/>
      <c r="BA55" s="249"/>
      <c r="BB55" s="289"/>
      <c r="BC55" s="249"/>
      <c r="BD55" s="249"/>
      <c r="BE55" s="289"/>
      <c r="BF55" s="249"/>
      <c r="BG55" s="249"/>
      <c r="BH55" s="289"/>
      <c r="BI55" s="249"/>
      <c r="BJ55" s="249"/>
      <c r="BK55" s="289"/>
      <c r="BL55" s="249"/>
      <c r="BM55" s="249"/>
      <c r="BN55" s="289"/>
      <c r="BO55" s="249"/>
      <c r="BP55" s="249"/>
      <c r="BQ55" s="289"/>
      <c r="BR55" s="249"/>
      <c r="BS55" s="249"/>
      <c r="BT55" s="289"/>
      <c r="BU55" s="249"/>
      <c r="BV55" s="267"/>
      <c r="BW55" s="289"/>
      <c r="BX55" s="249"/>
      <c r="BY55" s="249"/>
      <c r="BZ55" s="289"/>
      <c r="CA55" s="249"/>
      <c r="CB55" s="249"/>
      <c r="CC55" s="289"/>
      <c r="CD55" s="249"/>
      <c r="CE55" s="249"/>
      <c r="CF55" s="289"/>
      <c r="CG55" s="249"/>
      <c r="CH55" s="249"/>
      <c r="CI55" s="289"/>
      <c r="CJ55" s="249"/>
      <c r="CK55" s="249"/>
      <c r="CL55" s="289"/>
      <c r="CM55" s="249"/>
      <c r="CN55" s="249"/>
      <c r="CO55" s="289"/>
      <c r="CP55" s="249"/>
      <c r="CQ55" s="249"/>
      <c r="CR55" s="289"/>
      <c r="CS55" s="249"/>
      <c r="CT55" s="249"/>
      <c r="CU55" s="289"/>
      <c r="CV55" s="249"/>
      <c r="CW55" s="249"/>
      <c r="CX55" s="289"/>
      <c r="CY55" s="249"/>
      <c r="CZ55" s="267"/>
      <c r="DA55" s="289"/>
      <c r="DB55" s="249"/>
      <c r="DC55" s="249"/>
      <c r="DD55" s="289"/>
      <c r="DE55" s="249"/>
      <c r="DF55" s="249"/>
      <c r="DG55" s="289"/>
      <c r="DH55" s="249"/>
      <c r="DI55" s="249"/>
      <c r="DJ55" s="289"/>
      <c r="DK55" s="249"/>
      <c r="DL55" s="249"/>
      <c r="DM55" s="289"/>
      <c r="DN55" s="249"/>
      <c r="DO55" s="249"/>
      <c r="DP55" s="289"/>
      <c r="DQ55" s="249"/>
      <c r="DR55" s="249"/>
      <c r="DS55" s="289"/>
      <c r="DT55" s="249"/>
      <c r="DU55" s="249"/>
      <c r="DV55" s="289"/>
      <c r="DW55" s="249"/>
      <c r="DX55" s="249"/>
      <c r="DY55" s="289"/>
      <c r="DZ55" s="249"/>
    </row>
    <row r="56" spans="1:130" s="53" customFormat="1" x14ac:dyDescent="0.2">
      <c r="A56" s="262" t="s">
        <v>323</v>
      </c>
      <c r="B56" s="283">
        <v>2.5</v>
      </c>
      <c r="C56" s="262" t="s">
        <v>30</v>
      </c>
      <c r="D56" s="249"/>
      <c r="E56" s="289"/>
      <c r="F56" s="249"/>
      <c r="G56" s="267" t="s">
        <v>60</v>
      </c>
      <c r="H56" s="289">
        <f>B87</f>
        <v>10950</v>
      </c>
      <c r="I56" s="249" t="s">
        <v>61</v>
      </c>
      <c r="J56" s="249"/>
      <c r="K56" s="289"/>
      <c r="L56" s="249"/>
      <c r="M56" s="249"/>
      <c r="N56" s="289"/>
      <c r="O56" s="249"/>
      <c r="P56" s="249"/>
      <c r="Q56" s="289"/>
      <c r="R56" s="249"/>
      <c r="S56" s="249"/>
      <c r="T56" s="289"/>
      <c r="U56" s="249"/>
      <c r="V56" s="249"/>
      <c r="W56" s="289"/>
      <c r="X56" s="249"/>
      <c r="Y56" s="249"/>
      <c r="Z56" s="289"/>
      <c r="AA56" s="249"/>
      <c r="AB56" s="249"/>
      <c r="AC56" s="289"/>
      <c r="AD56" s="289"/>
      <c r="AE56" s="289"/>
      <c r="AF56" s="289"/>
      <c r="AG56" s="289"/>
      <c r="AH56" s="249"/>
      <c r="AI56" s="249"/>
      <c r="AJ56" s="289"/>
      <c r="AK56" s="249"/>
      <c r="AL56" s="249"/>
      <c r="AM56" s="289"/>
      <c r="AN56" s="249"/>
      <c r="AO56" s="249"/>
      <c r="AP56" s="289"/>
      <c r="AQ56" s="249"/>
      <c r="AR56" s="249"/>
      <c r="AS56" s="289"/>
      <c r="AT56" s="249"/>
      <c r="AU56" s="249"/>
      <c r="AV56" s="289"/>
      <c r="AW56" s="249"/>
      <c r="AX56" s="249"/>
      <c r="AY56" s="289"/>
      <c r="AZ56" s="249"/>
      <c r="BA56" s="249"/>
      <c r="BB56" s="289"/>
      <c r="BC56" s="249"/>
      <c r="BD56" s="249"/>
      <c r="BE56" s="289"/>
      <c r="BF56" s="249"/>
      <c r="BG56" s="249"/>
      <c r="BH56" s="289"/>
      <c r="BI56" s="249"/>
      <c r="BJ56" s="249"/>
      <c r="BK56" s="289"/>
      <c r="BL56" s="249"/>
      <c r="BM56" s="249"/>
      <c r="BN56" s="289"/>
      <c r="BO56" s="249"/>
      <c r="BP56" s="249"/>
      <c r="BQ56" s="289"/>
      <c r="BR56" s="249"/>
      <c r="BS56" s="249"/>
      <c r="BT56" s="289"/>
      <c r="BU56" s="249"/>
      <c r="BV56" s="267"/>
      <c r="BW56" s="289"/>
      <c r="BX56" s="249"/>
      <c r="BY56" s="249"/>
      <c r="BZ56" s="289"/>
      <c r="CA56" s="249"/>
      <c r="CB56" s="249"/>
      <c r="CC56" s="289"/>
      <c r="CD56" s="249"/>
      <c r="CE56" s="249"/>
      <c r="CF56" s="289"/>
      <c r="CG56" s="249"/>
      <c r="CH56" s="249"/>
      <c r="CI56" s="289"/>
      <c r="CJ56" s="249"/>
      <c r="CK56" s="249"/>
      <c r="CL56" s="289"/>
      <c r="CM56" s="249"/>
      <c r="CN56" s="249"/>
      <c r="CO56" s="289"/>
      <c r="CP56" s="249"/>
      <c r="CQ56" s="249"/>
      <c r="CR56" s="289"/>
      <c r="CS56" s="249"/>
      <c r="CT56" s="249"/>
      <c r="CU56" s="289"/>
      <c r="CV56" s="249"/>
      <c r="CW56" s="249"/>
      <c r="CX56" s="289"/>
      <c r="CY56" s="249"/>
      <c r="CZ56" s="267"/>
      <c r="DA56" s="289"/>
      <c r="DB56" s="249"/>
      <c r="DC56" s="249"/>
      <c r="DD56" s="289"/>
      <c r="DE56" s="249"/>
      <c r="DF56" s="249"/>
      <c r="DG56" s="289"/>
      <c r="DH56" s="249"/>
      <c r="DI56" s="249"/>
      <c r="DJ56" s="289"/>
      <c r="DK56" s="249"/>
      <c r="DL56" s="249"/>
      <c r="DM56" s="289"/>
      <c r="DN56" s="249"/>
      <c r="DO56" s="249"/>
      <c r="DP56" s="289"/>
      <c r="DQ56" s="249"/>
      <c r="DR56" s="249"/>
      <c r="DS56" s="289"/>
      <c r="DT56" s="249"/>
      <c r="DU56" s="249"/>
      <c r="DV56" s="289"/>
      <c r="DW56" s="249"/>
      <c r="DX56" s="249"/>
      <c r="DY56" s="289"/>
      <c r="DZ56" s="249"/>
    </row>
    <row r="57" spans="1:130" s="53" customFormat="1" x14ac:dyDescent="0.2">
      <c r="A57" s="262" t="s">
        <v>337</v>
      </c>
      <c r="B57" s="283">
        <v>54</v>
      </c>
      <c r="C57" s="249" t="s">
        <v>54</v>
      </c>
      <c r="D57" s="249"/>
      <c r="E57" s="289"/>
      <c r="F57" s="249"/>
      <c r="G57" s="267" t="s">
        <v>65</v>
      </c>
      <c r="H57" s="289">
        <f>B88</f>
        <v>240</v>
      </c>
      <c r="I57" s="249" t="s">
        <v>66</v>
      </c>
      <c r="J57" s="249"/>
      <c r="K57" s="289"/>
      <c r="L57" s="249"/>
      <c r="M57" s="249"/>
      <c r="N57" s="289"/>
      <c r="O57" s="249"/>
      <c r="P57" s="249"/>
      <c r="Q57" s="289"/>
      <c r="R57" s="249"/>
      <c r="S57" s="249"/>
      <c r="T57" s="289"/>
      <c r="U57" s="249"/>
      <c r="V57" s="249"/>
      <c r="W57" s="289"/>
      <c r="X57" s="249"/>
      <c r="Y57" s="249"/>
      <c r="Z57" s="289"/>
      <c r="AA57" s="249"/>
      <c r="AB57" s="249"/>
      <c r="AC57" s="289"/>
      <c r="AD57" s="289"/>
      <c r="AE57" s="289"/>
      <c r="AF57" s="289"/>
      <c r="AG57" s="289"/>
      <c r="AH57" s="249"/>
      <c r="AI57" s="249"/>
      <c r="AJ57" s="289"/>
      <c r="AK57" s="249"/>
      <c r="AL57" s="249"/>
      <c r="AM57" s="289"/>
      <c r="AN57" s="249"/>
      <c r="AO57" s="249"/>
      <c r="AP57" s="289"/>
      <c r="AQ57" s="249"/>
      <c r="AR57" s="249"/>
      <c r="AS57" s="289"/>
      <c r="AT57" s="249"/>
      <c r="AU57" s="249"/>
      <c r="AV57" s="289"/>
      <c r="AW57" s="249"/>
      <c r="AX57" s="249"/>
      <c r="AY57" s="289"/>
      <c r="AZ57" s="249"/>
      <c r="BA57" s="249"/>
      <c r="BB57" s="289"/>
      <c r="BC57" s="249"/>
      <c r="BD57" s="249"/>
      <c r="BE57" s="289"/>
      <c r="BF57" s="249"/>
      <c r="BG57" s="249"/>
      <c r="BH57" s="289"/>
      <c r="BI57" s="249"/>
      <c r="BJ57" s="249"/>
      <c r="BK57" s="289"/>
      <c r="BL57" s="249"/>
      <c r="BM57" s="249"/>
      <c r="BN57" s="289"/>
      <c r="BO57" s="249"/>
      <c r="BP57" s="249"/>
      <c r="BQ57" s="289"/>
      <c r="BR57" s="249"/>
      <c r="BS57" s="249"/>
      <c r="BT57" s="289"/>
      <c r="BU57" s="249"/>
      <c r="BV57" s="267"/>
      <c r="BW57" s="289"/>
      <c r="BX57" s="249"/>
      <c r="BY57" s="249"/>
      <c r="BZ57" s="289"/>
      <c r="CA57" s="249"/>
      <c r="CB57" s="249"/>
      <c r="CC57" s="289"/>
      <c r="CD57" s="249"/>
      <c r="CE57" s="249"/>
      <c r="CF57" s="289"/>
      <c r="CG57" s="249"/>
      <c r="CH57" s="249"/>
      <c r="CI57" s="289"/>
      <c r="CJ57" s="249"/>
      <c r="CK57" s="249"/>
      <c r="CL57" s="289"/>
      <c r="CM57" s="249"/>
      <c r="CN57" s="249"/>
      <c r="CO57" s="289"/>
      <c r="CP57" s="249"/>
      <c r="CQ57" s="249"/>
      <c r="CR57" s="289"/>
      <c r="CS57" s="249"/>
      <c r="CT57" s="249"/>
      <c r="CU57" s="289"/>
      <c r="CV57" s="249"/>
      <c r="CW57" s="249"/>
      <c r="CX57" s="289"/>
      <c r="CY57" s="249"/>
      <c r="CZ57" s="267"/>
      <c r="DA57" s="293"/>
      <c r="DB57" s="262"/>
      <c r="DC57" s="249"/>
      <c r="DD57" s="289"/>
      <c r="DE57" s="249"/>
      <c r="DF57" s="249"/>
      <c r="DG57" s="289"/>
      <c r="DH57" s="249"/>
      <c r="DI57" s="249"/>
      <c r="DJ57" s="289"/>
      <c r="DK57" s="249"/>
      <c r="DL57" s="249"/>
      <c r="DM57" s="289"/>
      <c r="DN57" s="249"/>
      <c r="DO57" s="249"/>
      <c r="DP57" s="289"/>
      <c r="DQ57" s="249"/>
      <c r="DR57" s="249"/>
      <c r="DS57" s="289"/>
      <c r="DT57" s="249"/>
      <c r="DU57" s="249"/>
      <c r="DV57" s="289"/>
      <c r="DW57" s="249"/>
      <c r="DX57" s="249"/>
      <c r="DY57" s="289"/>
      <c r="DZ57" s="249"/>
    </row>
    <row r="58" spans="1:130" s="53" customFormat="1" x14ac:dyDescent="0.2">
      <c r="A58" s="249" t="s">
        <v>357</v>
      </c>
      <c r="B58" s="283">
        <v>32.799999999999997</v>
      </c>
      <c r="C58" s="249" t="s">
        <v>54</v>
      </c>
      <c r="D58" s="249"/>
      <c r="E58" s="289"/>
      <c r="F58" s="249"/>
      <c r="G58" s="267" t="s">
        <v>76</v>
      </c>
      <c r="H58" s="289">
        <f>B89</f>
        <v>0.42</v>
      </c>
      <c r="I58" s="249" t="s">
        <v>47</v>
      </c>
      <c r="J58" s="249"/>
      <c r="K58" s="289"/>
      <c r="L58" s="249"/>
      <c r="M58" s="249"/>
      <c r="N58" s="289"/>
      <c r="O58" s="249"/>
      <c r="P58" s="249"/>
      <c r="Q58" s="289"/>
      <c r="R58" s="249"/>
      <c r="S58" s="249"/>
      <c r="T58" s="289"/>
      <c r="U58" s="249"/>
      <c r="V58" s="249"/>
      <c r="W58" s="289"/>
      <c r="X58" s="249"/>
      <c r="Y58" s="249"/>
      <c r="Z58" s="289"/>
      <c r="AA58" s="249"/>
      <c r="AB58" s="249"/>
      <c r="AC58" s="289"/>
      <c r="AD58" s="289"/>
      <c r="AE58" s="289"/>
      <c r="AF58" s="289"/>
      <c r="AG58" s="289"/>
      <c r="AH58" s="249"/>
      <c r="AI58" s="249"/>
      <c r="AJ58" s="289"/>
      <c r="AK58" s="249"/>
      <c r="AL58" s="249"/>
      <c r="AM58" s="289"/>
      <c r="AN58" s="249"/>
      <c r="AO58" s="249"/>
      <c r="AP58" s="289"/>
      <c r="AQ58" s="249"/>
      <c r="AR58" s="249"/>
      <c r="AS58" s="289"/>
      <c r="AT58" s="249"/>
      <c r="AU58" s="249"/>
      <c r="AV58" s="289"/>
      <c r="AW58" s="249"/>
      <c r="AX58" s="249"/>
      <c r="AY58" s="289"/>
      <c r="AZ58" s="249"/>
      <c r="BA58" s="249"/>
      <c r="BB58" s="289"/>
      <c r="BC58" s="249"/>
      <c r="BD58" s="249"/>
      <c r="BE58" s="289"/>
      <c r="BF58" s="249"/>
      <c r="BG58" s="249"/>
      <c r="BH58" s="289"/>
      <c r="BI58" s="249"/>
      <c r="BJ58" s="249"/>
      <c r="BK58" s="289"/>
      <c r="BL58" s="249"/>
      <c r="BM58" s="249"/>
      <c r="BN58" s="289"/>
      <c r="BO58" s="249"/>
      <c r="BP58" s="249"/>
      <c r="BQ58" s="289"/>
      <c r="BR58" s="249"/>
      <c r="BS58" s="249"/>
      <c r="BT58" s="289"/>
      <c r="BU58" s="249"/>
      <c r="BV58" s="267"/>
      <c r="BW58" s="289"/>
      <c r="BX58" s="249"/>
      <c r="BY58" s="249"/>
      <c r="BZ58" s="289"/>
      <c r="CA58" s="249"/>
      <c r="CB58" s="249"/>
      <c r="CC58" s="289"/>
      <c r="CD58" s="249"/>
      <c r="CE58" s="249"/>
      <c r="CF58" s="289"/>
      <c r="CG58" s="249"/>
      <c r="CH58" s="249"/>
      <c r="CI58" s="289"/>
      <c r="CJ58" s="249"/>
      <c r="CK58" s="249"/>
      <c r="CL58" s="289"/>
      <c r="CM58" s="249"/>
      <c r="CN58" s="249"/>
      <c r="CO58" s="289"/>
      <c r="CP58" s="249"/>
      <c r="CQ58" s="249"/>
      <c r="CR58" s="289"/>
      <c r="CS58" s="249"/>
      <c r="CT58" s="249"/>
      <c r="CU58" s="289"/>
      <c r="CV58" s="249"/>
      <c r="CW58" s="249"/>
      <c r="CX58" s="289"/>
      <c r="CY58" s="249"/>
      <c r="CZ58" s="267"/>
      <c r="DA58" s="293"/>
      <c r="DB58" s="262"/>
      <c r="DC58" s="249"/>
      <c r="DD58" s="289"/>
      <c r="DE58" s="249"/>
      <c r="DF58" s="249"/>
      <c r="DG58" s="289"/>
      <c r="DH58" s="249"/>
      <c r="DI58" s="249"/>
      <c r="DJ58" s="289"/>
      <c r="DK58" s="249"/>
      <c r="DL58" s="249"/>
      <c r="DM58" s="289"/>
      <c r="DN58" s="249"/>
      <c r="DO58" s="249"/>
      <c r="DP58" s="289"/>
      <c r="DQ58" s="249"/>
      <c r="DR58" s="249"/>
      <c r="DS58" s="289"/>
      <c r="DT58" s="249"/>
      <c r="DU58" s="249"/>
      <c r="DV58" s="289"/>
      <c r="DW58" s="249"/>
      <c r="DX58" s="249"/>
      <c r="DY58" s="289"/>
      <c r="DZ58" s="249"/>
    </row>
    <row r="59" spans="1:130" s="53" customFormat="1" x14ac:dyDescent="0.2">
      <c r="A59" s="249" t="s">
        <v>336</v>
      </c>
      <c r="B59" s="283">
        <v>157.69999999999999</v>
      </c>
      <c r="C59" s="249" t="s">
        <v>54</v>
      </c>
      <c r="D59" s="249"/>
      <c r="E59" s="289"/>
      <c r="F59" s="249"/>
      <c r="G59" s="267" t="s">
        <v>81</v>
      </c>
      <c r="H59" s="299">
        <f>H63+(0.693/H65)</f>
        <v>4.9504394977168943E-2</v>
      </c>
      <c r="I59" s="262" t="s">
        <v>82</v>
      </c>
      <c r="J59" s="249"/>
      <c r="K59" s="289"/>
      <c r="L59" s="249"/>
      <c r="M59" s="249"/>
      <c r="N59" s="289"/>
      <c r="O59" s="249"/>
      <c r="P59" s="249"/>
      <c r="Q59" s="289"/>
      <c r="R59" s="249"/>
      <c r="S59" s="249"/>
      <c r="T59" s="289"/>
      <c r="U59" s="249"/>
      <c r="V59" s="249"/>
      <c r="W59" s="289"/>
      <c r="X59" s="249"/>
      <c r="Y59" s="249"/>
      <c r="Z59" s="289"/>
      <c r="AA59" s="249"/>
      <c r="AB59" s="249"/>
      <c r="AC59" s="289"/>
      <c r="AD59" s="289"/>
      <c r="AE59" s="289"/>
      <c r="AF59" s="289"/>
      <c r="AG59" s="289"/>
      <c r="AH59" s="249"/>
      <c r="AI59" s="249"/>
      <c r="AJ59" s="289"/>
      <c r="AK59" s="249"/>
      <c r="AL59" s="249"/>
      <c r="AM59" s="289"/>
      <c r="AN59" s="249"/>
      <c r="AO59" s="249"/>
      <c r="AP59" s="289"/>
      <c r="AQ59" s="249"/>
      <c r="AR59" s="249"/>
      <c r="AS59" s="289"/>
      <c r="AT59" s="249"/>
      <c r="AU59" s="249"/>
      <c r="AV59" s="289"/>
      <c r="AW59" s="249"/>
      <c r="AX59" s="249"/>
      <c r="AY59" s="289"/>
      <c r="AZ59" s="249"/>
      <c r="BA59" s="249"/>
      <c r="BB59" s="289"/>
      <c r="BC59" s="249"/>
      <c r="BD59" s="249"/>
      <c r="BE59" s="289"/>
      <c r="BF59" s="249"/>
      <c r="BG59" s="249"/>
      <c r="BH59" s="289"/>
      <c r="BI59" s="249"/>
      <c r="BJ59" s="249"/>
      <c r="BK59" s="289"/>
      <c r="BL59" s="249"/>
      <c r="BM59" s="249"/>
      <c r="BN59" s="289"/>
      <c r="BO59" s="249"/>
      <c r="BP59" s="249"/>
      <c r="BQ59" s="289"/>
      <c r="BR59" s="249"/>
      <c r="BS59" s="249"/>
      <c r="BT59" s="289"/>
      <c r="BU59" s="249"/>
      <c r="BV59" s="267"/>
      <c r="BW59" s="289"/>
      <c r="BX59" s="249"/>
      <c r="BY59" s="249"/>
      <c r="BZ59" s="289"/>
      <c r="CA59" s="249"/>
      <c r="CB59" s="249"/>
      <c r="CC59" s="289"/>
      <c r="CD59" s="249"/>
      <c r="CE59" s="249"/>
      <c r="CF59" s="289"/>
      <c r="CG59" s="249"/>
      <c r="CH59" s="249"/>
      <c r="CI59" s="289"/>
      <c r="CJ59" s="249"/>
      <c r="CK59" s="249"/>
      <c r="CL59" s="289"/>
      <c r="CM59" s="249"/>
      <c r="CN59" s="249"/>
      <c r="CO59" s="289"/>
      <c r="CP59" s="249"/>
      <c r="CQ59" s="249"/>
      <c r="CR59" s="289"/>
      <c r="CS59" s="249"/>
      <c r="CT59" s="249"/>
      <c r="CU59" s="289"/>
      <c r="CV59" s="249"/>
      <c r="CW59" s="249"/>
      <c r="CX59" s="289"/>
      <c r="CY59" s="249"/>
      <c r="CZ59" s="267"/>
      <c r="DA59" s="293"/>
      <c r="DB59" s="262"/>
      <c r="DC59" s="249"/>
      <c r="DD59" s="289"/>
      <c r="DE59" s="249"/>
      <c r="DF59" s="249"/>
      <c r="DG59" s="289"/>
      <c r="DH59" s="249"/>
      <c r="DI59" s="249"/>
      <c r="DJ59" s="289"/>
      <c r="DK59" s="249"/>
      <c r="DL59" s="249"/>
      <c r="DM59" s="289"/>
      <c r="DN59" s="249"/>
      <c r="DO59" s="249"/>
      <c r="DP59" s="289"/>
      <c r="DQ59" s="249"/>
      <c r="DR59" s="249"/>
      <c r="DS59" s="289"/>
      <c r="DT59" s="249"/>
      <c r="DU59" s="249"/>
      <c r="DV59" s="289"/>
      <c r="DW59" s="249"/>
      <c r="DX59" s="249"/>
      <c r="DY59" s="289"/>
      <c r="DZ59" s="249"/>
    </row>
    <row r="60" spans="1:130" s="53" customFormat="1" x14ac:dyDescent="0.2">
      <c r="A60" s="262" t="s">
        <v>332</v>
      </c>
      <c r="B60" s="283">
        <v>68.099999999999994</v>
      </c>
      <c r="C60" s="267" t="s">
        <v>254</v>
      </c>
      <c r="D60" s="249"/>
      <c r="E60" s="289"/>
      <c r="F60" s="249"/>
      <c r="G60" s="267" t="s">
        <v>85</v>
      </c>
      <c r="H60" s="293">
        <f>B90</f>
        <v>60</v>
      </c>
      <c r="I60" s="262" t="s">
        <v>61</v>
      </c>
      <c r="J60" s="249"/>
      <c r="K60" s="289"/>
      <c r="L60" s="249"/>
      <c r="M60" s="249"/>
      <c r="N60" s="289"/>
      <c r="O60" s="249"/>
      <c r="P60" s="249"/>
      <c r="Q60" s="289"/>
      <c r="R60" s="249"/>
      <c r="S60" s="249"/>
      <c r="T60" s="289"/>
      <c r="U60" s="249"/>
      <c r="V60" s="249"/>
      <c r="W60" s="289"/>
      <c r="X60" s="249"/>
      <c r="Y60" s="249"/>
      <c r="Z60" s="289"/>
      <c r="AA60" s="249"/>
      <c r="AB60" s="249"/>
      <c r="AC60" s="289"/>
      <c r="AD60" s="289"/>
      <c r="AE60" s="289"/>
      <c r="AF60" s="289"/>
      <c r="AG60" s="289"/>
      <c r="AH60" s="249"/>
      <c r="AI60" s="249"/>
      <c r="AJ60" s="289"/>
      <c r="AK60" s="249"/>
      <c r="AL60" s="249"/>
      <c r="AM60" s="289"/>
      <c r="AN60" s="249"/>
      <c r="AO60" s="249"/>
      <c r="AP60" s="289"/>
      <c r="AQ60" s="249"/>
      <c r="AR60" s="249"/>
      <c r="AS60" s="289"/>
      <c r="AT60" s="249"/>
      <c r="AU60" s="249"/>
      <c r="AV60" s="289"/>
      <c r="AW60" s="249"/>
      <c r="AX60" s="249"/>
      <c r="AY60" s="289"/>
      <c r="AZ60" s="249"/>
      <c r="BA60" s="249"/>
      <c r="BB60" s="289"/>
      <c r="BC60" s="249"/>
      <c r="BD60" s="249"/>
      <c r="BE60" s="289"/>
      <c r="BF60" s="249"/>
      <c r="BG60" s="249"/>
      <c r="BH60" s="289"/>
      <c r="BI60" s="249"/>
      <c r="BJ60" s="249"/>
      <c r="BK60" s="289"/>
      <c r="BL60" s="249"/>
      <c r="BM60" s="249"/>
      <c r="BN60" s="289"/>
      <c r="BO60" s="249"/>
      <c r="BP60" s="249"/>
      <c r="BQ60" s="289"/>
      <c r="BR60" s="249"/>
      <c r="BS60" s="249"/>
      <c r="BT60" s="289"/>
      <c r="BU60" s="249"/>
      <c r="BV60" s="267"/>
      <c r="BW60" s="289"/>
      <c r="BX60" s="249"/>
      <c r="BY60" s="249"/>
      <c r="BZ60" s="289"/>
      <c r="CA60" s="249"/>
      <c r="CB60" s="249"/>
      <c r="CC60" s="289"/>
      <c r="CD60" s="249"/>
      <c r="CE60" s="249"/>
      <c r="CF60" s="289"/>
      <c r="CG60" s="249"/>
      <c r="CH60" s="249"/>
      <c r="CI60" s="289"/>
      <c r="CJ60" s="249"/>
      <c r="CK60" s="249"/>
      <c r="CL60" s="289"/>
      <c r="CM60" s="249"/>
      <c r="CN60" s="249"/>
      <c r="CO60" s="289"/>
      <c r="CP60" s="249"/>
      <c r="CQ60" s="249"/>
      <c r="CR60" s="289"/>
      <c r="CS60" s="249"/>
      <c r="CT60" s="249"/>
      <c r="CU60" s="289"/>
      <c r="CV60" s="249"/>
      <c r="CW60" s="249"/>
      <c r="CX60" s="289"/>
      <c r="CY60" s="249"/>
      <c r="CZ60" s="267"/>
      <c r="DA60" s="289"/>
      <c r="DB60" s="249"/>
      <c r="DC60" s="249"/>
      <c r="DD60" s="289"/>
      <c r="DE60" s="249"/>
      <c r="DF60" s="249"/>
      <c r="DG60" s="289"/>
      <c r="DH60" s="249"/>
      <c r="DI60" s="249"/>
      <c r="DJ60" s="289"/>
      <c r="DK60" s="249"/>
      <c r="DL60" s="249"/>
      <c r="DM60" s="289"/>
      <c r="DN60" s="249"/>
      <c r="DO60" s="249"/>
      <c r="DP60" s="289"/>
      <c r="DQ60" s="249"/>
      <c r="DR60" s="249"/>
      <c r="DS60" s="289"/>
      <c r="DT60" s="249"/>
      <c r="DU60" s="249"/>
      <c r="DV60" s="289"/>
      <c r="DW60" s="249"/>
      <c r="DX60" s="249"/>
      <c r="DY60" s="289"/>
      <c r="DZ60" s="249"/>
    </row>
    <row r="61" spans="1:130" s="53" customFormat="1" x14ac:dyDescent="0.2">
      <c r="A61" s="262" t="s">
        <v>333</v>
      </c>
      <c r="B61" s="283">
        <v>188.5</v>
      </c>
      <c r="C61" s="267" t="s">
        <v>254</v>
      </c>
      <c r="D61" s="249"/>
      <c r="E61" s="289"/>
      <c r="F61" s="249"/>
      <c r="G61" s="267" t="s">
        <v>87</v>
      </c>
      <c r="H61" s="293">
        <f>B91</f>
        <v>2</v>
      </c>
      <c r="I61" s="262" t="s">
        <v>66</v>
      </c>
      <c r="J61" s="249"/>
      <c r="K61" s="289"/>
      <c r="L61" s="249"/>
      <c r="M61" s="249"/>
      <c r="N61" s="289"/>
      <c r="O61" s="249"/>
      <c r="P61" s="249"/>
      <c r="Q61" s="289"/>
      <c r="R61" s="249"/>
      <c r="S61" s="249"/>
      <c r="T61" s="289"/>
      <c r="U61" s="249"/>
      <c r="V61" s="249"/>
      <c r="W61" s="289"/>
      <c r="X61" s="249"/>
      <c r="Y61" s="249"/>
      <c r="Z61" s="289"/>
      <c r="AA61" s="249"/>
      <c r="AB61" s="249"/>
      <c r="AC61" s="289"/>
      <c r="AD61" s="289"/>
      <c r="AE61" s="289"/>
      <c r="AF61" s="289"/>
      <c r="AG61" s="289"/>
      <c r="AH61" s="249"/>
      <c r="AI61" s="249"/>
      <c r="AJ61" s="289"/>
      <c r="AK61" s="249"/>
      <c r="AL61" s="249"/>
      <c r="AM61" s="289"/>
      <c r="AN61" s="249"/>
      <c r="AO61" s="249"/>
      <c r="AP61" s="289"/>
      <c r="AQ61" s="249"/>
      <c r="AR61" s="249"/>
      <c r="AS61" s="289"/>
      <c r="AT61" s="249"/>
      <c r="AU61" s="249"/>
      <c r="AV61" s="289"/>
      <c r="AW61" s="249"/>
      <c r="AX61" s="249"/>
      <c r="AY61" s="289"/>
      <c r="AZ61" s="249"/>
      <c r="BA61" s="249"/>
      <c r="BB61" s="289"/>
      <c r="BC61" s="249"/>
      <c r="BD61" s="249"/>
      <c r="BE61" s="289"/>
      <c r="BF61" s="249"/>
      <c r="BG61" s="249"/>
      <c r="BH61" s="289"/>
      <c r="BI61" s="249"/>
      <c r="BJ61" s="249"/>
      <c r="BK61" s="289"/>
      <c r="BL61" s="249"/>
      <c r="BM61" s="249"/>
      <c r="BN61" s="289"/>
      <c r="BO61" s="249"/>
      <c r="BP61" s="249"/>
      <c r="BQ61" s="289"/>
      <c r="BR61" s="249"/>
      <c r="BS61" s="249"/>
      <c r="BT61" s="289"/>
      <c r="BU61" s="249"/>
      <c r="BV61" s="267"/>
      <c r="BW61" s="293"/>
      <c r="BX61" s="262"/>
      <c r="BY61" s="249"/>
      <c r="BZ61" s="289"/>
      <c r="CA61" s="249"/>
      <c r="CB61" s="249"/>
      <c r="CC61" s="289"/>
      <c r="CD61" s="249"/>
      <c r="CE61" s="249"/>
      <c r="CF61" s="289"/>
      <c r="CG61" s="249"/>
      <c r="CH61" s="249"/>
      <c r="CI61" s="289"/>
      <c r="CJ61" s="249"/>
      <c r="CK61" s="249"/>
      <c r="CL61" s="289"/>
      <c r="CM61" s="249"/>
      <c r="CN61" s="249"/>
      <c r="CO61" s="289"/>
      <c r="CP61" s="249"/>
      <c r="CQ61" s="249"/>
      <c r="CR61" s="289"/>
      <c r="CS61" s="249"/>
      <c r="CT61" s="249"/>
      <c r="CU61" s="289"/>
      <c r="CV61" s="249"/>
      <c r="CW61" s="249"/>
      <c r="CX61" s="289"/>
      <c r="CY61" s="249"/>
      <c r="CZ61" s="267"/>
      <c r="DA61" s="287"/>
      <c r="DB61" s="249"/>
      <c r="DC61" s="249"/>
      <c r="DD61" s="289"/>
      <c r="DE61" s="249"/>
      <c r="DF61" s="249"/>
      <c r="DG61" s="289"/>
      <c r="DH61" s="249"/>
      <c r="DI61" s="249"/>
      <c r="DJ61" s="289"/>
      <c r="DK61" s="249"/>
      <c r="DL61" s="249"/>
      <c r="DM61" s="289"/>
      <c r="DN61" s="249"/>
      <c r="DO61" s="249"/>
      <c r="DP61" s="289"/>
      <c r="DQ61" s="249"/>
      <c r="DR61" s="249"/>
      <c r="DS61" s="289"/>
      <c r="DT61" s="249"/>
      <c r="DU61" s="249"/>
      <c r="DV61" s="289"/>
      <c r="DW61" s="249"/>
      <c r="DX61" s="249"/>
      <c r="DY61" s="289"/>
      <c r="DZ61" s="249"/>
    </row>
    <row r="62" spans="1:130" s="53" customFormat="1" x14ac:dyDescent="0.2">
      <c r="A62" s="262" t="s">
        <v>334</v>
      </c>
      <c r="B62" s="283">
        <v>41.7</v>
      </c>
      <c r="C62" s="267" t="s">
        <v>254</v>
      </c>
      <c r="D62" s="249"/>
      <c r="E62" s="289"/>
      <c r="F62" s="249"/>
      <c r="G62" s="267" t="s">
        <v>89</v>
      </c>
      <c r="H62" s="289">
        <f>B92</f>
        <v>2.6999999999999999E-5</v>
      </c>
      <c r="I62" s="249" t="s">
        <v>82</v>
      </c>
      <c r="J62" s="249"/>
      <c r="K62" s="289"/>
      <c r="L62" s="249"/>
      <c r="M62" s="249"/>
      <c r="N62" s="289"/>
      <c r="O62" s="249"/>
      <c r="P62" s="249"/>
      <c r="Q62" s="289"/>
      <c r="R62" s="249"/>
      <c r="S62" s="249"/>
      <c r="T62" s="289"/>
      <c r="U62" s="249"/>
      <c r="V62" s="249"/>
      <c r="W62" s="289"/>
      <c r="X62" s="249"/>
      <c r="Y62" s="249"/>
      <c r="Z62" s="289"/>
      <c r="AA62" s="249"/>
      <c r="AB62" s="249"/>
      <c r="AC62" s="289"/>
      <c r="AD62" s="289"/>
      <c r="AE62" s="289"/>
      <c r="AF62" s="289"/>
      <c r="AG62" s="289"/>
      <c r="AH62" s="249"/>
      <c r="AI62" s="249"/>
      <c r="AJ62" s="289"/>
      <c r="AK62" s="249"/>
      <c r="AL62" s="249"/>
      <c r="AM62" s="289"/>
      <c r="AN62" s="249"/>
      <c r="AO62" s="249"/>
      <c r="AP62" s="289"/>
      <c r="AQ62" s="249"/>
      <c r="AR62" s="249"/>
      <c r="AS62" s="289"/>
      <c r="AT62" s="249"/>
      <c r="AU62" s="249"/>
      <c r="AV62" s="289"/>
      <c r="AW62" s="249"/>
      <c r="AX62" s="249"/>
      <c r="AY62" s="289"/>
      <c r="AZ62" s="249"/>
      <c r="BA62" s="249"/>
      <c r="BB62" s="289"/>
      <c r="BC62" s="249"/>
      <c r="BD62" s="249"/>
      <c r="BE62" s="289"/>
      <c r="BF62" s="249"/>
      <c r="BG62" s="249"/>
      <c r="BH62" s="289"/>
      <c r="BI62" s="249"/>
      <c r="BJ62" s="249"/>
      <c r="BK62" s="289"/>
      <c r="BL62" s="249"/>
      <c r="BM62" s="249"/>
      <c r="BN62" s="289"/>
      <c r="BO62" s="249"/>
      <c r="BP62" s="249"/>
      <c r="BQ62" s="289"/>
      <c r="BR62" s="249"/>
      <c r="BS62" s="249"/>
      <c r="BT62" s="289"/>
      <c r="BU62" s="249"/>
      <c r="BV62" s="267"/>
      <c r="BW62" s="293"/>
      <c r="BX62" s="262"/>
      <c r="BY62" s="249"/>
      <c r="BZ62" s="289"/>
      <c r="CA62" s="249"/>
      <c r="CB62" s="249"/>
      <c r="CC62" s="289"/>
      <c r="CD62" s="249"/>
      <c r="CE62" s="249"/>
      <c r="CF62" s="289"/>
      <c r="CG62" s="249"/>
      <c r="CH62" s="249"/>
      <c r="CI62" s="289"/>
      <c r="CJ62" s="249"/>
      <c r="CK62" s="249"/>
      <c r="CL62" s="289"/>
      <c r="CM62" s="249"/>
      <c r="CN62" s="249"/>
      <c r="CO62" s="289"/>
      <c r="CP62" s="249"/>
      <c r="CQ62" s="249"/>
      <c r="CR62" s="289"/>
      <c r="CS62" s="249"/>
      <c r="CT62" s="249"/>
      <c r="CU62" s="289"/>
      <c r="CV62" s="249"/>
      <c r="CW62" s="249"/>
      <c r="CX62" s="289"/>
      <c r="CY62" s="249"/>
      <c r="CZ62" s="267"/>
      <c r="DA62" s="289"/>
      <c r="DB62" s="249"/>
      <c r="DC62" s="249"/>
      <c r="DD62" s="289"/>
      <c r="DE62" s="249"/>
      <c r="DF62" s="249"/>
      <c r="DG62" s="289"/>
      <c r="DH62" s="249"/>
      <c r="DI62" s="249"/>
      <c r="DJ62" s="289"/>
      <c r="DK62" s="249"/>
      <c r="DL62" s="249"/>
      <c r="DM62" s="289"/>
      <c r="DN62" s="249"/>
      <c r="DO62" s="249"/>
      <c r="DP62" s="289"/>
      <c r="DQ62" s="249"/>
      <c r="DR62" s="249"/>
      <c r="DS62" s="289"/>
      <c r="DT62" s="249"/>
      <c r="DU62" s="249"/>
      <c r="DV62" s="289"/>
      <c r="DW62" s="249"/>
      <c r="DX62" s="249"/>
      <c r="DY62" s="289"/>
      <c r="DZ62" s="249"/>
    </row>
    <row r="63" spans="1:130" s="53" customFormat="1" x14ac:dyDescent="0.2">
      <c r="A63" s="262" t="s">
        <v>335</v>
      </c>
      <c r="B63" s="283">
        <v>128.9</v>
      </c>
      <c r="C63" s="267" t="s">
        <v>254</v>
      </c>
      <c r="D63" s="249"/>
      <c r="E63" s="289"/>
      <c r="F63" s="249"/>
      <c r="G63" s="267" t="s">
        <v>90</v>
      </c>
      <c r="H63" s="288">
        <f>0.693/H67</f>
        <v>4.3949771689497717E-6</v>
      </c>
      <c r="I63" s="249" t="s">
        <v>82</v>
      </c>
      <c r="J63" s="249"/>
      <c r="K63" s="289"/>
      <c r="L63" s="249"/>
      <c r="M63" s="249"/>
      <c r="N63" s="289"/>
      <c r="O63" s="249"/>
      <c r="P63" s="249"/>
      <c r="Q63" s="289"/>
      <c r="R63" s="249"/>
      <c r="S63" s="249"/>
      <c r="T63" s="289"/>
      <c r="U63" s="249"/>
      <c r="V63" s="249"/>
      <c r="W63" s="289"/>
      <c r="X63" s="249"/>
      <c r="Y63" s="249"/>
      <c r="Z63" s="289"/>
      <c r="AA63" s="249"/>
      <c r="AB63" s="249"/>
      <c r="AC63" s="289"/>
      <c r="AD63" s="289"/>
      <c r="AE63" s="289"/>
      <c r="AF63" s="289"/>
      <c r="AG63" s="289"/>
      <c r="AH63" s="249"/>
      <c r="AI63" s="249"/>
      <c r="AJ63" s="289"/>
      <c r="AK63" s="249"/>
      <c r="AL63" s="249"/>
      <c r="AM63" s="289"/>
      <c r="AN63" s="249"/>
      <c r="AO63" s="249"/>
      <c r="AP63" s="289"/>
      <c r="AQ63" s="249"/>
      <c r="AR63" s="249"/>
      <c r="AS63" s="289"/>
      <c r="AT63" s="249"/>
      <c r="AU63" s="249"/>
      <c r="AV63" s="289"/>
      <c r="AW63" s="249"/>
      <c r="AX63" s="249"/>
      <c r="AY63" s="289"/>
      <c r="AZ63" s="249"/>
      <c r="BA63" s="249"/>
      <c r="BB63" s="289"/>
      <c r="BC63" s="249"/>
      <c r="BD63" s="249"/>
      <c r="BE63" s="289"/>
      <c r="BF63" s="249"/>
      <c r="BG63" s="249"/>
      <c r="BH63" s="289"/>
      <c r="BI63" s="249"/>
      <c r="BJ63" s="249"/>
      <c r="BK63" s="289"/>
      <c r="BL63" s="249"/>
      <c r="BM63" s="249"/>
      <c r="BN63" s="289"/>
      <c r="BO63" s="249"/>
      <c r="BP63" s="249"/>
      <c r="BQ63" s="289"/>
      <c r="BR63" s="249"/>
      <c r="BS63" s="249"/>
      <c r="BT63" s="289"/>
      <c r="BU63" s="249"/>
      <c r="BV63" s="267"/>
      <c r="BW63" s="293"/>
      <c r="BX63" s="262"/>
      <c r="BY63" s="249"/>
      <c r="BZ63" s="289"/>
      <c r="CA63" s="249"/>
      <c r="CB63" s="249"/>
      <c r="CC63" s="289"/>
      <c r="CD63" s="249"/>
      <c r="CE63" s="249"/>
      <c r="CF63" s="289"/>
      <c r="CG63" s="249"/>
      <c r="CH63" s="249"/>
      <c r="CI63" s="289"/>
      <c r="CJ63" s="249"/>
      <c r="CK63" s="249"/>
      <c r="CL63" s="289"/>
      <c r="CM63" s="249"/>
      <c r="CN63" s="249"/>
      <c r="CO63" s="289"/>
      <c r="CP63" s="249"/>
      <c r="CQ63" s="249"/>
      <c r="CR63" s="289"/>
      <c r="CS63" s="249"/>
      <c r="CT63" s="249"/>
      <c r="CU63" s="289"/>
      <c r="CV63" s="249"/>
      <c r="CW63" s="249"/>
      <c r="CX63" s="289"/>
      <c r="CY63" s="249"/>
      <c r="CZ63" s="267"/>
      <c r="DA63" s="289"/>
      <c r="DB63" s="249"/>
      <c r="DC63" s="249"/>
      <c r="DD63" s="289"/>
      <c r="DE63" s="249"/>
      <c r="DF63" s="249"/>
      <c r="DG63" s="289"/>
      <c r="DH63" s="249"/>
      <c r="DI63" s="249"/>
      <c r="DJ63" s="289"/>
      <c r="DK63" s="249"/>
      <c r="DL63" s="249"/>
      <c r="DM63" s="289"/>
      <c r="DN63" s="249"/>
      <c r="DO63" s="249"/>
      <c r="DP63" s="289"/>
      <c r="DQ63" s="249"/>
      <c r="DR63" s="249"/>
      <c r="DS63" s="289"/>
      <c r="DT63" s="249"/>
      <c r="DU63" s="249"/>
      <c r="DV63" s="289"/>
      <c r="DW63" s="249"/>
      <c r="DX63" s="249"/>
      <c r="DY63" s="289"/>
      <c r="DZ63" s="249"/>
    </row>
    <row r="64" spans="1:130" s="53" customFormat="1" x14ac:dyDescent="0.2">
      <c r="A64" s="262" t="s">
        <v>343</v>
      </c>
      <c r="B64" s="283">
        <v>6</v>
      </c>
      <c r="C64" s="264" t="s">
        <v>69</v>
      </c>
      <c r="D64" s="249"/>
      <c r="E64" s="289"/>
      <c r="F64" s="249"/>
      <c r="G64" s="267" t="s">
        <v>91</v>
      </c>
      <c r="H64" s="289">
        <f>B93</f>
        <v>1</v>
      </c>
      <c r="I64" s="249" t="s">
        <v>47</v>
      </c>
      <c r="J64" s="249"/>
      <c r="K64" s="289"/>
      <c r="L64" s="249"/>
      <c r="M64" s="249"/>
      <c r="N64" s="289"/>
      <c r="O64" s="249"/>
      <c r="P64" s="249"/>
      <c r="Q64" s="289"/>
      <c r="R64" s="249"/>
      <c r="S64" s="249"/>
      <c r="T64" s="289"/>
      <c r="U64" s="249"/>
      <c r="V64" s="249"/>
      <c r="W64" s="289"/>
      <c r="X64" s="249"/>
      <c r="Y64" s="249"/>
      <c r="Z64" s="289"/>
      <c r="AA64" s="249"/>
      <c r="AB64" s="249"/>
      <c r="AC64" s="289"/>
      <c r="AD64" s="289"/>
      <c r="AE64" s="289"/>
      <c r="AF64" s="289"/>
      <c r="AG64" s="289"/>
      <c r="AH64" s="249"/>
      <c r="AI64" s="275"/>
      <c r="AJ64" s="353"/>
      <c r="AK64" s="275"/>
      <c r="AL64" s="249"/>
      <c r="AM64" s="289"/>
      <c r="AN64" s="249"/>
      <c r="AO64" s="249"/>
      <c r="AP64" s="289"/>
      <c r="AQ64" s="249"/>
      <c r="AR64" s="249"/>
      <c r="AS64" s="289"/>
      <c r="AT64" s="249"/>
      <c r="AU64" s="249"/>
      <c r="AV64" s="289"/>
      <c r="AW64" s="249"/>
      <c r="AX64" s="249"/>
      <c r="AY64" s="289"/>
      <c r="AZ64" s="249"/>
      <c r="BA64" s="249"/>
      <c r="BB64" s="289"/>
      <c r="BC64" s="249"/>
      <c r="BD64" s="249"/>
      <c r="BE64" s="289"/>
      <c r="BF64" s="249"/>
      <c r="BG64" s="249"/>
      <c r="BH64" s="289"/>
      <c r="BI64" s="249"/>
      <c r="BJ64" s="249"/>
      <c r="BK64" s="289"/>
      <c r="BL64" s="249"/>
      <c r="BM64" s="249"/>
      <c r="BN64" s="289"/>
      <c r="BO64" s="249"/>
      <c r="BP64" s="249"/>
      <c r="BQ64" s="289"/>
      <c r="BR64" s="249"/>
      <c r="BS64" s="249"/>
      <c r="BT64" s="289"/>
      <c r="BU64" s="249"/>
      <c r="BV64" s="267"/>
      <c r="BW64" s="289"/>
      <c r="BX64" s="249"/>
      <c r="BY64" s="249"/>
      <c r="BZ64" s="289"/>
      <c r="CA64" s="249"/>
      <c r="CB64" s="249"/>
      <c r="CC64" s="289"/>
      <c r="CD64" s="249"/>
      <c r="CE64" s="249"/>
      <c r="CF64" s="289"/>
      <c r="CG64" s="249"/>
      <c r="CH64" s="249"/>
      <c r="CI64" s="289"/>
      <c r="CJ64" s="249"/>
      <c r="CK64" s="249"/>
      <c r="CL64" s="289"/>
      <c r="CM64" s="249"/>
      <c r="CN64" s="249"/>
      <c r="CO64" s="289"/>
      <c r="CP64" s="249"/>
      <c r="CQ64" s="249"/>
      <c r="CR64" s="289"/>
      <c r="CS64" s="249"/>
      <c r="CT64" s="249"/>
      <c r="CU64" s="289"/>
      <c r="CV64" s="249"/>
      <c r="CW64" s="249"/>
      <c r="CX64" s="289"/>
      <c r="CY64" s="249"/>
      <c r="CZ64" s="249"/>
      <c r="DA64" s="289"/>
      <c r="DB64" s="249"/>
      <c r="DC64" s="249"/>
      <c r="DD64" s="289"/>
      <c r="DE64" s="249"/>
      <c r="DF64" s="249"/>
      <c r="DG64" s="289"/>
      <c r="DH64" s="249"/>
      <c r="DI64" s="249"/>
      <c r="DJ64" s="289"/>
      <c r="DK64" s="249"/>
      <c r="DL64" s="249"/>
      <c r="DM64" s="289"/>
      <c r="DN64" s="249"/>
      <c r="DO64" s="249"/>
      <c r="DP64" s="289"/>
      <c r="DQ64" s="249"/>
      <c r="DR64" s="249"/>
      <c r="DS64" s="289"/>
      <c r="DT64" s="249"/>
      <c r="DU64" s="249"/>
      <c r="DV64" s="289"/>
      <c r="DW64" s="249"/>
      <c r="DX64" s="249"/>
      <c r="DY64" s="289"/>
      <c r="DZ64" s="249"/>
    </row>
    <row r="65" spans="1:105" s="53" customFormat="1" x14ac:dyDescent="0.2">
      <c r="A65" s="262" t="s">
        <v>342</v>
      </c>
      <c r="B65" s="283">
        <v>20</v>
      </c>
      <c r="C65" s="264" t="s">
        <v>69</v>
      </c>
      <c r="D65" s="249"/>
      <c r="E65" s="289"/>
      <c r="F65" s="249"/>
      <c r="G65" s="267" t="s">
        <v>92</v>
      </c>
      <c r="H65" s="289">
        <f>B94</f>
        <v>14</v>
      </c>
      <c r="I65" s="249" t="s">
        <v>93</v>
      </c>
      <c r="J65" s="249"/>
      <c r="K65" s="289"/>
      <c r="L65" s="249"/>
      <c r="M65" s="249"/>
      <c r="N65" s="289"/>
      <c r="O65" s="249"/>
      <c r="P65" s="249"/>
      <c r="Q65" s="289"/>
      <c r="R65" s="249"/>
      <c r="S65" s="249"/>
      <c r="T65" s="289"/>
      <c r="U65" s="249"/>
      <c r="V65" s="249"/>
      <c r="W65" s="289"/>
      <c r="X65" s="249"/>
      <c r="Y65" s="249"/>
      <c r="Z65" s="289"/>
      <c r="AA65" s="249"/>
      <c r="AB65" s="249"/>
      <c r="AC65" s="289"/>
      <c r="AD65" s="289"/>
      <c r="AE65" s="289"/>
      <c r="AF65" s="289"/>
      <c r="AG65" s="289"/>
      <c r="AH65" s="249"/>
      <c r="AI65" s="275"/>
      <c r="AJ65" s="353"/>
      <c r="AK65" s="275"/>
      <c r="AL65" s="249"/>
      <c r="AM65" s="289"/>
      <c r="AN65" s="249"/>
      <c r="AO65" s="249"/>
      <c r="AP65" s="289"/>
      <c r="AQ65" s="249"/>
      <c r="AR65" s="249"/>
      <c r="AS65" s="289"/>
      <c r="AT65" s="249"/>
      <c r="AU65" s="249"/>
      <c r="AV65" s="289"/>
      <c r="AW65" s="249"/>
      <c r="AX65" s="249"/>
      <c r="AY65" s="289"/>
      <c r="AZ65" s="249"/>
      <c r="BA65" s="249"/>
      <c r="BB65" s="289"/>
      <c r="BC65" s="249"/>
      <c r="BD65" s="249"/>
      <c r="BE65" s="289"/>
      <c r="BF65" s="249"/>
      <c r="BG65" s="249"/>
      <c r="BH65" s="289"/>
      <c r="BI65" s="249"/>
      <c r="BJ65" s="249"/>
      <c r="BK65" s="289"/>
      <c r="BL65" s="249"/>
      <c r="BM65" s="249"/>
      <c r="BN65" s="289"/>
      <c r="BO65" s="249"/>
      <c r="BP65" s="249"/>
      <c r="BQ65" s="289"/>
      <c r="BR65" s="249"/>
      <c r="BS65" s="249"/>
      <c r="BT65" s="289"/>
      <c r="BU65" s="249"/>
      <c r="BV65" s="267"/>
      <c r="BW65" s="289"/>
      <c r="BX65" s="249"/>
      <c r="BY65" s="249"/>
      <c r="BZ65" s="289"/>
      <c r="CA65" s="249"/>
      <c r="CB65" s="249"/>
      <c r="CC65" s="289"/>
      <c r="CD65" s="249"/>
      <c r="CE65" s="249"/>
      <c r="CF65" s="289"/>
      <c r="CG65" s="249"/>
      <c r="CH65" s="249"/>
      <c r="CI65" s="289"/>
      <c r="CJ65" s="249"/>
      <c r="CK65" s="249"/>
      <c r="CL65" s="289"/>
      <c r="CM65" s="249"/>
      <c r="CN65" s="249"/>
      <c r="CO65" s="289"/>
      <c r="CP65" s="249"/>
      <c r="CQ65" s="249"/>
      <c r="CR65" s="289"/>
      <c r="CS65" s="249"/>
      <c r="CT65" s="249"/>
      <c r="CU65" s="289"/>
      <c r="CV65" s="249"/>
      <c r="CW65" s="249"/>
      <c r="CX65" s="289"/>
      <c r="CY65" s="249"/>
      <c r="CZ65" s="249"/>
      <c r="DA65" s="289"/>
    </row>
    <row r="66" spans="1:105" s="53" customFormat="1" x14ac:dyDescent="0.2">
      <c r="A66" s="262" t="s">
        <v>341</v>
      </c>
      <c r="B66" s="283">
        <v>26</v>
      </c>
      <c r="C66" s="264" t="s">
        <v>69</v>
      </c>
      <c r="D66" s="249"/>
      <c r="E66" s="289"/>
      <c r="F66" s="249"/>
      <c r="G66" s="249" t="s">
        <v>38</v>
      </c>
      <c r="H66" s="287">
        <f>B45</f>
        <v>2.1999999999999999E-5</v>
      </c>
      <c r="I66" s="249"/>
      <c r="J66" s="249"/>
      <c r="K66" s="289"/>
      <c r="L66" s="249"/>
      <c r="M66" s="249"/>
      <c r="N66" s="289"/>
      <c r="O66" s="249"/>
      <c r="P66" s="249"/>
      <c r="Q66" s="289"/>
      <c r="R66" s="249"/>
      <c r="S66" s="249"/>
      <c r="T66" s="289"/>
      <c r="U66" s="249"/>
      <c r="V66" s="249"/>
      <c r="W66" s="289"/>
      <c r="X66" s="249"/>
      <c r="Y66" s="249"/>
      <c r="Z66" s="289"/>
      <c r="AA66" s="249"/>
      <c r="AB66" s="249"/>
      <c r="AC66" s="289"/>
      <c r="AD66" s="289"/>
      <c r="AE66" s="289"/>
      <c r="AF66" s="289"/>
      <c r="AG66" s="289"/>
      <c r="AH66" s="249"/>
      <c r="AI66" s="275"/>
      <c r="AJ66" s="353"/>
      <c r="AK66" s="275"/>
      <c r="AL66" s="249"/>
      <c r="AM66" s="289"/>
      <c r="AN66" s="249"/>
      <c r="AO66" s="249"/>
      <c r="AP66" s="289"/>
      <c r="AQ66" s="249"/>
      <c r="AR66" s="249"/>
      <c r="AS66" s="289"/>
      <c r="AT66" s="249"/>
      <c r="AU66" s="249"/>
      <c r="AV66" s="289"/>
      <c r="AW66" s="249"/>
      <c r="AX66" s="249"/>
      <c r="AY66" s="289"/>
      <c r="AZ66" s="249"/>
      <c r="BA66" s="249"/>
      <c r="BB66" s="289"/>
      <c r="BC66" s="249"/>
      <c r="BD66" s="249"/>
      <c r="BE66" s="289"/>
      <c r="BF66" s="249"/>
      <c r="BG66" s="249"/>
      <c r="BH66" s="289"/>
      <c r="BI66" s="249"/>
      <c r="BJ66" s="249"/>
      <c r="BK66" s="289"/>
      <c r="BL66" s="249"/>
      <c r="BM66" s="249"/>
      <c r="BN66" s="289"/>
      <c r="BO66" s="249"/>
      <c r="BP66" s="249"/>
      <c r="BQ66" s="289"/>
      <c r="BR66" s="249"/>
      <c r="BS66" s="249"/>
      <c r="BT66" s="289"/>
      <c r="BU66" s="249"/>
      <c r="BV66" s="267"/>
      <c r="BW66" s="289"/>
      <c r="BX66" s="249"/>
      <c r="BY66" s="249"/>
      <c r="BZ66" s="289"/>
      <c r="CA66" s="249"/>
      <c r="CB66" s="249"/>
      <c r="CC66" s="289"/>
      <c r="CD66" s="249"/>
      <c r="CE66" s="249"/>
      <c r="CF66" s="289"/>
      <c r="CG66" s="249"/>
      <c r="CH66" s="249"/>
      <c r="CI66" s="289"/>
      <c r="CJ66" s="249"/>
      <c r="CK66" s="249"/>
      <c r="CL66" s="289"/>
      <c r="CM66" s="249"/>
      <c r="CN66" s="249"/>
      <c r="CO66" s="289"/>
      <c r="CP66" s="249"/>
      <c r="CQ66" s="249"/>
      <c r="CR66" s="289"/>
      <c r="CS66" s="249"/>
      <c r="CT66" s="249"/>
      <c r="CU66" s="289"/>
      <c r="CV66" s="249"/>
      <c r="CW66" s="249"/>
      <c r="CX66" s="289"/>
      <c r="CY66" s="249"/>
      <c r="CZ66" s="262"/>
      <c r="DA66" s="287"/>
    </row>
    <row r="67" spans="1:105" s="53" customFormat="1" x14ac:dyDescent="0.2">
      <c r="A67" s="262" t="s">
        <v>340</v>
      </c>
      <c r="B67" s="283">
        <v>350</v>
      </c>
      <c r="C67" s="264" t="s">
        <v>26</v>
      </c>
      <c r="D67" s="249"/>
      <c r="E67" s="289"/>
      <c r="F67" s="249"/>
      <c r="G67" s="262" t="s">
        <v>273</v>
      </c>
      <c r="H67" s="287">
        <f>B35</f>
        <v>157680</v>
      </c>
      <c r="I67" s="249" t="s">
        <v>257</v>
      </c>
      <c r="J67" s="249"/>
      <c r="K67" s="289"/>
      <c r="L67" s="249"/>
      <c r="M67" s="249"/>
      <c r="N67" s="289"/>
      <c r="O67" s="249"/>
      <c r="P67" s="249"/>
      <c r="Q67" s="289"/>
      <c r="R67" s="249"/>
      <c r="S67" s="249"/>
      <c r="T67" s="289"/>
      <c r="U67" s="249"/>
      <c r="V67" s="249"/>
      <c r="W67" s="289"/>
      <c r="X67" s="249"/>
      <c r="Y67" s="249"/>
      <c r="Z67" s="289"/>
      <c r="AA67" s="249"/>
      <c r="AB67" s="249"/>
      <c r="AC67" s="289"/>
      <c r="AD67" s="289"/>
      <c r="AE67" s="289"/>
      <c r="AF67" s="289"/>
      <c r="AG67" s="289"/>
      <c r="AH67" s="249"/>
      <c r="AI67" s="275"/>
      <c r="AJ67" s="353"/>
      <c r="AK67" s="275"/>
      <c r="AL67" s="249"/>
      <c r="AM67" s="289"/>
      <c r="AN67" s="249"/>
      <c r="AO67" s="249"/>
      <c r="AP67" s="289"/>
      <c r="AQ67" s="249"/>
      <c r="AR67" s="249"/>
      <c r="AS67" s="289"/>
      <c r="AT67" s="249"/>
      <c r="AU67" s="249"/>
      <c r="AV67" s="289"/>
      <c r="AW67" s="249"/>
      <c r="AX67" s="249"/>
      <c r="AY67" s="289"/>
      <c r="AZ67" s="249"/>
      <c r="BA67" s="249"/>
      <c r="BB67" s="289"/>
      <c r="BC67" s="249"/>
      <c r="BD67" s="249"/>
      <c r="BE67" s="289"/>
      <c r="BF67" s="249"/>
      <c r="BG67" s="249"/>
      <c r="BH67" s="289"/>
      <c r="BI67" s="249"/>
      <c r="BJ67" s="249"/>
      <c r="BK67" s="289"/>
      <c r="BL67" s="249"/>
      <c r="BM67" s="249"/>
      <c r="BN67" s="289"/>
      <c r="BO67" s="249"/>
      <c r="BP67" s="249"/>
      <c r="BQ67" s="289"/>
      <c r="BR67" s="249"/>
      <c r="BS67" s="249"/>
      <c r="BT67" s="289"/>
      <c r="BU67" s="249"/>
      <c r="BV67" s="267"/>
      <c r="BW67" s="289"/>
      <c r="BX67" s="249"/>
      <c r="BY67" s="249"/>
      <c r="BZ67" s="289"/>
      <c r="CA67" s="249"/>
      <c r="CB67" s="249"/>
      <c r="CC67" s="289"/>
      <c r="CD67" s="249"/>
      <c r="CE67" s="249"/>
      <c r="CF67" s="289"/>
      <c r="CG67" s="249"/>
      <c r="CH67" s="249"/>
      <c r="CI67" s="289"/>
      <c r="CJ67" s="249"/>
      <c r="CK67" s="249"/>
      <c r="CL67" s="289"/>
      <c r="CM67" s="249"/>
      <c r="CN67" s="249"/>
      <c r="CO67" s="289"/>
      <c r="CP67" s="249"/>
      <c r="CQ67" s="249"/>
      <c r="CR67" s="289"/>
      <c r="CS67" s="249"/>
      <c r="CT67" s="249"/>
      <c r="CU67" s="289"/>
      <c r="CV67" s="249"/>
      <c r="CW67" s="249"/>
      <c r="CX67" s="289"/>
      <c r="CY67" s="249"/>
      <c r="CZ67" s="249"/>
      <c r="DA67" s="289"/>
    </row>
    <row r="68" spans="1:105" s="53" customFormat="1" x14ac:dyDescent="0.2">
      <c r="A68" s="262" t="s">
        <v>339</v>
      </c>
      <c r="B68" s="283">
        <v>350</v>
      </c>
      <c r="C68" s="264" t="s">
        <v>26</v>
      </c>
      <c r="D68" s="249"/>
      <c r="E68" s="289"/>
      <c r="F68" s="249"/>
      <c r="G68" s="95" t="s">
        <v>315</v>
      </c>
      <c r="H68" s="297">
        <f>B293</f>
        <v>241</v>
      </c>
      <c r="I68" s="249" t="s">
        <v>309</v>
      </c>
      <c r="J68" s="249"/>
      <c r="K68" s="289"/>
      <c r="L68" s="249"/>
      <c r="M68" s="249"/>
      <c r="N68" s="289"/>
      <c r="O68" s="249"/>
      <c r="P68" s="249"/>
      <c r="Q68" s="289"/>
      <c r="R68" s="249"/>
      <c r="S68" s="249"/>
      <c r="T68" s="289"/>
      <c r="U68" s="249"/>
      <c r="V68" s="249"/>
      <c r="W68" s="289"/>
      <c r="X68" s="249"/>
      <c r="Y68" s="249"/>
      <c r="Z68" s="289"/>
      <c r="AA68" s="249"/>
      <c r="AB68" s="249"/>
      <c r="AC68" s="289"/>
      <c r="AD68" s="289"/>
      <c r="AE68" s="289"/>
      <c r="AF68" s="289"/>
      <c r="AG68" s="289"/>
      <c r="AH68" s="249"/>
      <c r="AI68" s="275"/>
      <c r="AJ68" s="353"/>
      <c r="AK68" s="275"/>
      <c r="AL68" s="249"/>
      <c r="AM68" s="289"/>
      <c r="AN68" s="249"/>
      <c r="AO68" s="249"/>
      <c r="AP68" s="289"/>
      <c r="AQ68" s="249"/>
      <c r="AR68" s="249"/>
      <c r="AS68" s="289"/>
      <c r="AT68" s="249"/>
      <c r="AU68" s="249"/>
      <c r="AV68" s="289"/>
      <c r="AW68" s="249"/>
      <c r="AX68" s="249"/>
      <c r="AY68" s="289"/>
      <c r="AZ68" s="249"/>
      <c r="BA68" s="249"/>
      <c r="BB68" s="289"/>
      <c r="BC68" s="249"/>
      <c r="BD68" s="249"/>
      <c r="BE68" s="289"/>
      <c r="BF68" s="249"/>
      <c r="BG68" s="249"/>
      <c r="BH68" s="289"/>
      <c r="BI68" s="249"/>
      <c r="BJ68" s="249"/>
      <c r="BK68" s="289"/>
      <c r="BL68" s="249"/>
      <c r="BM68" s="249"/>
      <c r="BN68" s="289"/>
      <c r="BO68" s="249"/>
      <c r="BP68" s="249"/>
      <c r="BQ68" s="289"/>
      <c r="BR68" s="249"/>
      <c r="BS68" s="249"/>
      <c r="BT68" s="289"/>
      <c r="BU68" s="249"/>
      <c r="BV68" s="249"/>
      <c r="BW68" s="289"/>
      <c r="BX68" s="249"/>
      <c r="BY68" s="249"/>
      <c r="BZ68" s="289"/>
      <c r="CA68" s="249"/>
      <c r="CB68" s="249"/>
      <c r="CC68" s="289"/>
      <c r="CD68" s="249"/>
      <c r="CE68" s="249"/>
      <c r="CF68" s="289"/>
      <c r="CG68" s="249"/>
      <c r="CH68" s="249"/>
      <c r="CI68" s="289"/>
      <c r="CJ68" s="249"/>
      <c r="CK68" s="249"/>
      <c r="CL68" s="289"/>
      <c r="CM68" s="249"/>
      <c r="CN68" s="249"/>
      <c r="CO68" s="289"/>
      <c r="CP68" s="249"/>
      <c r="CQ68" s="249"/>
      <c r="CR68" s="289"/>
      <c r="CS68" s="249"/>
      <c r="CT68" s="249"/>
      <c r="CU68" s="289"/>
      <c r="CV68" s="249"/>
      <c r="CW68" s="249"/>
      <c r="CX68" s="289"/>
      <c r="CY68" s="249"/>
      <c r="CZ68" s="249"/>
      <c r="DA68" s="289"/>
    </row>
    <row r="69" spans="1:105" s="53" customFormat="1" x14ac:dyDescent="0.2">
      <c r="A69" s="262" t="s">
        <v>338</v>
      </c>
      <c r="B69" s="283">
        <v>350</v>
      </c>
      <c r="C69" s="264" t="s">
        <v>26</v>
      </c>
      <c r="D69" s="249"/>
      <c r="E69" s="289"/>
      <c r="F69" s="249"/>
      <c r="G69" s="267" t="s">
        <v>310</v>
      </c>
      <c r="H69" s="289">
        <f>B295</f>
        <v>2.8000000000000001E-15</v>
      </c>
      <c r="I69" s="249"/>
      <c r="J69" s="249"/>
      <c r="K69" s="289"/>
      <c r="L69" s="249"/>
      <c r="M69" s="249"/>
      <c r="N69" s="289"/>
      <c r="O69" s="249"/>
      <c r="P69" s="249"/>
      <c r="Q69" s="289"/>
      <c r="R69" s="249"/>
      <c r="S69" s="249"/>
      <c r="T69" s="289"/>
      <c r="U69" s="249"/>
      <c r="V69" s="249"/>
      <c r="W69" s="289"/>
      <c r="X69" s="249"/>
      <c r="Y69" s="249"/>
      <c r="Z69" s="289"/>
      <c r="AA69" s="249"/>
      <c r="AB69" s="249"/>
      <c r="AC69" s="289"/>
      <c r="AD69" s="289"/>
      <c r="AE69" s="289"/>
      <c r="AF69" s="289"/>
      <c r="AG69" s="289"/>
      <c r="AH69" s="249"/>
      <c r="AI69" s="275"/>
      <c r="AJ69" s="353"/>
      <c r="AK69" s="275"/>
      <c r="AL69" s="249"/>
      <c r="AM69" s="289"/>
      <c r="AN69" s="249"/>
      <c r="AO69" s="249"/>
      <c r="AP69" s="289"/>
      <c r="AQ69" s="249"/>
      <c r="AR69" s="249"/>
      <c r="AS69" s="289"/>
      <c r="AT69" s="249"/>
      <c r="AU69" s="249"/>
      <c r="AV69" s="289"/>
      <c r="AW69" s="249"/>
      <c r="AX69" s="249"/>
      <c r="AY69" s="289"/>
      <c r="AZ69" s="249"/>
      <c r="BA69" s="249"/>
      <c r="BB69" s="289"/>
      <c r="BC69" s="249"/>
      <c r="BD69" s="249"/>
      <c r="BE69" s="289"/>
      <c r="BF69" s="249"/>
      <c r="BG69" s="249"/>
      <c r="BH69" s="289"/>
      <c r="BI69" s="249"/>
      <c r="BJ69" s="249"/>
      <c r="BK69" s="289"/>
      <c r="BL69" s="249"/>
      <c r="BM69" s="249"/>
      <c r="BN69" s="289"/>
      <c r="BO69" s="249"/>
      <c r="BP69" s="249"/>
      <c r="BQ69" s="289"/>
      <c r="BR69" s="249"/>
      <c r="BS69" s="249"/>
      <c r="BT69" s="289"/>
      <c r="BU69" s="249"/>
      <c r="BV69" s="262"/>
      <c r="BW69" s="287"/>
      <c r="BX69" s="249"/>
      <c r="BY69" s="249"/>
      <c r="BZ69" s="289"/>
      <c r="CA69" s="249"/>
      <c r="CB69" s="249"/>
      <c r="CC69" s="289"/>
      <c r="CD69" s="249"/>
      <c r="CE69" s="249"/>
      <c r="CF69" s="289"/>
      <c r="CG69" s="249"/>
      <c r="CH69" s="249"/>
      <c r="CI69" s="289"/>
      <c r="CJ69" s="249"/>
      <c r="CK69" s="249"/>
      <c r="CL69" s="289"/>
      <c r="CM69" s="249"/>
      <c r="CN69" s="249"/>
      <c r="CO69" s="289"/>
      <c r="CP69" s="249"/>
      <c r="CQ69" s="249"/>
      <c r="CR69" s="289"/>
      <c r="CS69" s="249"/>
      <c r="CT69" s="249"/>
      <c r="CU69" s="289"/>
      <c r="CV69" s="249"/>
      <c r="CW69" s="249"/>
      <c r="CX69" s="289"/>
      <c r="CY69" s="249"/>
      <c r="CZ69" s="249"/>
      <c r="DA69" s="289"/>
    </row>
    <row r="70" spans="1:105" s="53" customFormat="1" x14ac:dyDescent="0.2">
      <c r="A70" s="249" t="s">
        <v>344</v>
      </c>
      <c r="B70" s="284">
        <v>0.54</v>
      </c>
      <c r="C70" s="92" t="s">
        <v>104</v>
      </c>
      <c r="D70" s="249"/>
      <c r="E70" s="289"/>
      <c r="F70" s="249"/>
      <c r="G70" s="249" t="s">
        <v>270</v>
      </c>
      <c r="H70" s="287">
        <f>B31</f>
        <v>432.2</v>
      </c>
      <c r="I70" s="249" t="s">
        <v>69</v>
      </c>
      <c r="J70" s="249"/>
      <c r="K70" s="289"/>
      <c r="L70" s="249"/>
      <c r="M70" s="249"/>
      <c r="N70" s="289"/>
      <c r="O70" s="249"/>
      <c r="P70" s="249"/>
      <c r="Q70" s="289"/>
      <c r="R70" s="249"/>
      <c r="S70" s="249"/>
      <c r="T70" s="289"/>
      <c r="U70" s="249"/>
      <c r="V70" s="249"/>
      <c r="W70" s="289"/>
      <c r="X70" s="249"/>
      <c r="Y70" s="249"/>
      <c r="Z70" s="289"/>
      <c r="AA70" s="249"/>
      <c r="AB70" s="249"/>
      <c r="AC70" s="289"/>
      <c r="AD70" s="289"/>
      <c r="AE70" s="289"/>
      <c r="AF70" s="289"/>
      <c r="AG70" s="289"/>
      <c r="AH70" s="249"/>
      <c r="AI70" s="275"/>
      <c r="AJ70" s="353"/>
      <c r="AK70" s="275"/>
      <c r="AL70" s="249"/>
      <c r="AM70" s="289"/>
      <c r="AN70" s="249"/>
      <c r="AO70" s="249"/>
      <c r="AP70" s="289"/>
      <c r="AQ70" s="249"/>
      <c r="AR70" s="249"/>
      <c r="AS70" s="289"/>
      <c r="AT70" s="249"/>
      <c r="AU70" s="249"/>
      <c r="AV70" s="289"/>
      <c r="AW70" s="249"/>
      <c r="AX70" s="249"/>
      <c r="AY70" s="289"/>
      <c r="AZ70" s="249"/>
      <c r="BA70" s="249"/>
      <c r="BB70" s="289"/>
      <c r="BC70" s="249"/>
      <c r="BD70" s="249"/>
      <c r="BE70" s="289"/>
      <c r="BF70" s="249"/>
      <c r="BG70" s="249"/>
      <c r="BH70" s="289"/>
      <c r="BI70" s="249"/>
      <c r="BJ70" s="249"/>
      <c r="BK70" s="289"/>
      <c r="BL70" s="249"/>
      <c r="BM70" s="249"/>
      <c r="BN70" s="289"/>
      <c r="BO70" s="249"/>
      <c r="BP70" s="249"/>
      <c r="BQ70" s="289"/>
      <c r="BR70" s="249"/>
      <c r="BS70" s="249"/>
      <c r="BT70" s="289"/>
      <c r="BU70" s="249"/>
      <c r="BV70" s="262"/>
      <c r="BW70" s="289"/>
      <c r="BX70" s="249"/>
      <c r="BY70" s="249"/>
      <c r="BZ70" s="289"/>
      <c r="CA70" s="249"/>
      <c r="CB70" s="249"/>
      <c r="CC70" s="289"/>
      <c r="CD70" s="249"/>
      <c r="CE70" s="249"/>
      <c r="CF70" s="289"/>
      <c r="CG70" s="249"/>
      <c r="CH70" s="249"/>
      <c r="CI70" s="289"/>
      <c r="CJ70" s="249"/>
      <c r="CK70" s="249"/>
      <c r="CL70" s="289"/>
      <c r="CM70" s="249"/>
      <c r="CN70" s="249"/>
      <c r="CO70" s="289"/>
      <c r="CP70" s="249"/>
      <c r="CQ70" s="249"/>
      <c r="CR70" s="289"/>
      <c r="CS70" s="249"/>
      <c r="CT70" s="249"/>
      <c r="CU70" s="289"/>
      <c r="CV70" s="249"/>
      <c r="CW70" s="249"/>
      <c r="CX70" s="289"/>
      <c r="CY70" s="249"/>
      <c r="CZ70" s="249"/>
      <c r="DA70" s="289"/>
    </row>
    <row r="71" spans="1:105" s="53" customFormat="1" x14ac:dyDescent="0.2">
      <c r="A71" s="249" t="s">
        <v>345</v>
      </c>
      <c r="B71" s="284">
        <v>0.71</v>
      </c>
      <c r="C71" s="92" t="s">
        <v>104</v>
      </c>
      <c r="D71" s="249"/>
      <c r="E71" s="289"/>
      <c r="F71" s="249"/>
      <c r="G71" s="249"/>
      <c r="H71" s="289"/>
      <c r="I71" s="249"/>
      <c r="J71" s="249"/>
      <c r="K71" s="289"/>
      <c r="L71" s="249"/>
      <c r="M71" s="249"/>
      <c r="N71" s="289"/>
      <c r="O71" s="249"/>
      <c r="P71" s="249"/>
      <c r="Q71" s="289"/>
      <c r="R71" s="249"/>
      <c r="S71" s="249"/>
      <c r="T71" s="289"/>
      <c r="U71" s="249"/>
      <c r="V71" s="249"/>
      <c r="W71" s="289"/>
      <c r="X71" s="249"/>
      <c r="Y71" s="249"/>
      <c r="Z71" s="289"/>
      <c r="AA71" s="249"/>
      <c r="AB71" s="249"/>
      <c r="AC71" s="289"/>
      <c r="AD71" s="289"/>
      <c r="AE71" s="289"/>
      <c r="AF71" s="289"/>
      <c r="AG71" s="289"/>
      <c r="AH71" s="249"/>
      <c r="AI71" s="275"/>
      <c r="AJ71" s="353"/>
      <c r="AK71" s="275"/>
      <c r="AL71" s="249"/>
      <c r="AM71" s="289"/>
      <c r="AN71" s="249"/>
      <c r="AO71" s="249"/>
      <c r="AP71" s="289"/>
      <c r="AQ71" s="249"/>
      <c r="AR71" s="249"/>
      <c r="AS71" s="289"/>
      <c r="AT71" s="249"/>
      <c r="AU71" s="249"/>
      <c r="AV71" s="289"/>
      <c r="AW71" s="249"/>
      <c r="AX71" s="249"/>
      <c r="AY71" s="289"/>
      <c r="AZ71" s="249"/>
      <c r="BA71" s="249"/>
      <c r="BB71" s="289"/>
      <c r="BC71" s="249"/>
      <c r="BD71" s="249"/>
      <c r="BE71" s="289"/>
      <c r="BF71" s="249"/>
      <c r="BG71" s="249"/>
      <c r="BH71" s="289"/>
      <c r="BI71" s="249"/>
      <c r="BJ71" s="249"/>
      <c r="BK71" s="289"/>
      <c r="BL71" s="249"/>
      <c r="BM71" s="249"/>
      <c r="BN71" s="289"/>
      <c r="BO71" s="249"/>
      <c r="BP71" s="249"/>
      <c r="BQ71" s="289"/>
      <c r="BR71" s="249"/>
      <c r="BS71" s="249"/>
      <c r="BT71" s="289"/>
      <c r="BU71" s="249"/>
      <c r="BV71" s="262"/>
      <c r="BW71" s="289"/>
      <c r="BX71" s="249"/>
      <c r="BY71" s="249"/>
      <c r="BZ71" s="289"/>
      <c r="CA71" s="249"/>
      <c r="CB71" s="249"/>
      <c r="CC71" s="289"/>
      <c r="CD71" s="249"/>
      <c r="CE71" s="249"/>
      <c r="CF71" s="289"/>
      <c r="CG71" s="249"/>
      <c r="CH71" s="249"/>
      <c r="CI71" s="289"/>
      <c r="CJ71" s="249"/>
      <c r="CK71" s="249"/>
      <c r="CL71" s="289"/>
      <c r="CM71" s="249"/>
      <c r="CN71" s="249"/>
      <c r="CO71" s="289"/>
      <c r="CP71" s="249"/>
      <c r="CQ71" s="249"/>
      <c r="CR71" s="289"/>
      <c r="CS71" s="249"/>
      <c r="CT71" s="249"/>
      <c r="CU71" s="289"/>
      <c r="CV71" s="249"/>
      <c r="CW71" s="249"/>
      <c r="CX71" s="289"/>
      <c r="CY71" s="249"/>
      <c r="CZ71" s="249"/>
      <c r="DA71" s="289"/>
    </row>
    <row r="72" spans="1:105" s="53" customFormat="1" x14ac:dyDescent="0.2">
      <c r="A72" s="262" t="s">
        <v>347</v>
      </c>
      <c r="B72" s="283">
        <v>24</v>
      </c>
      <c r="C72" s="264" t="s">
        <v>224</v>
      </c>
      <c r="D72" s="249"/>
      <c r="E72" s="289"/>
      <c r="F72" s="249"/>
      <c r="G72" s="249"/>
      <c r="H72" s="289"/>
      <c r="I72" s="249"/>
      <c r="J72" s="249"/>
      <c r="K72" s="289"/>
      <c r="L72" s="249"/>
      <c r="M72" s="249"/>
      <c r="N72" s="289"/>
      <c r="O72" s="249"/>
      <c r="P72" s="249"/>
      <c r="Q72" s="289"/>
      <c r="R72" s="249"/>
      <c r="S72" s="249"/>
      <c r="T72" s="289"/>
      <c r="U72" s="249"/>
      <c r="V72" s="249"/>
      <c r="W72" s="289"/>
      <c r="X72" s="249"/>
      <c r="Y72" s="249"/>
      <c r="Z72" s="289"/>
      <c r="AA72" s="249"/>
      <c r="AB72" s="249"/>
      <c r="AC72" s="289"/>
      <c r="AD72" s="289"/>
      <c r="AE72" s="289"/>
      <c r="AF72" s="277"/>
      <c r="AG72" s="353"/>
      <c r="AH72" s="275"/>
      <c r="AI72" s="275"/>
      <c r="AJ72" s="353"/>
      <c r="AK72" s="275"/>
      <c r="AL72" s="249"/>
      <c r="AM72" s="289"/>
      <c r="AN72" s="249"/>
      <c r="AO72" s="249"/>
      <c r="AP72" s="289"/>
      <c r="AQ72" s="249"/>
      <c r="AR72" s="249"/>
      <c r="AS72" s="289"/>
      <c r="AT72" s="249"/>
      <c r="AU72" s="249"/>
      <c r="AV72" s="289"/>
      <c r="AW72" s="249"/>
      <c r="AX72" s="249"/>
      <c r="AY72" s="289"/>
      <c r="AZ72" s="249"/>
      <c r="BA72" s="249"/>
      <c r="BB72" s="289"/>
      <c r="BC72" s="249"/>
      <c r="BD72" s="249"/>
      <c r="BE72" s="289"/>
      <c r="BF72" s="249"/>
      <c r="BG72" s="249"/>
      <c r="BH72" s="289"/>
      <c r="BI72" s="249"/>
      <c r="BJ72" s="249"/>
      <c r="BK72" s="289"/>
      <c r="BL72" s="249"/>
      <c r="BM72" s="249"/>
      <c r="BN72" s="289"/>
      <c r="BO72" s="249"/>
      <c r="BP72" s="249"/>
      <c r="BQ72" s="289"/>
      <c r="BR72" s="249"/>
      <c r="BS72" s="249"/>
      <c r="BT72" s="289"/>
      <c r="BU72" s="249"/>
      <c r="BV72" s="249"/>
      <c r="BW72" s="289"/>
      <c r="BX72" s="249"/>
      <c r="BY72" s="249"/>
      <c r="BZ72" s="289"/>
      <c r="CA72" s="249"/>
      <c r="CB72" s="249"/>
      <c r="CC72" s="289"/>
      <c r="CD72" s="249"/>
      <c r="CE72" s="249"/>
      <c r="CF72" s="289"/>
      <c r="CG72" s="249"/>
      <c r="CH72" s="249"/>
      <c r="CI72" s="289"/>
      <c r="CJ72" s="249"/>
      <c r="CK72" s="249"/>
      <c r="CL72" s="289"/>
      <c r="CM72" s="249"/>
      <c r="CN72" s="249"/>
      <c r="CO72" s="289"/>
      <c r="CP72" s="249"/>
      <c r="CQ72" s="249"/>
      <c r="CR72" s="289"/>
      <c r="CS72" s="249"/>
      <c r="CT72" s="249"/>
      <c r="CU72" s="289"/>
      <c r="CV72" s="249"/>
      <c r="CW72" s="249"/>
      <c r="CX72" s="289"/>
      <c r="CY72" s="249"/>
      <c r="CZ72" s="249"/>
      <c r="DA72" s="289"/>
    </row>
    <row r="73" spans="1:105" s="53" customFormat="1" x14ac:dyDescent="0.2">
      <c r="A73" s="262" t="s">
        <v>348</v>
      </c>
      <c r="B73" s="283">
        <v>24</v>
      </c>
      <c r="C73" s="264" t="s">
        <v>224</v>
      </c>
      <c r="D73" s="249"/>
      <c r="E73" s="289"/>
      <c r="F73" s="249"/>
      <c r="G73" s="249"/>
      <c r="H73" s="289"/>
      <c r="I73" s="249"/>
      <c r="J73" s="249"/>
      <c r="K73" s="289"/>
      <c r="L73" s="249"/>
      <c r="M73" s="249"/>
      <c r="N73" s="289"/>
      <c r="O73" s="249"/>
      <c r="P73" s="249"/>
      <c r="Q73" s="289"/>
      <c r="R73" s="249"/>
      <c r="S73" s="249"/>
      <c r="T73" s="289"/>
      <c r="U73" s="249"/>
      <c r="V73" s="249"/>
      <c r="W73" s="289"/>
      <c r="X73" s="249"/>
      <c r="Y73" s="249"/>
      <c r="Z73" s="289"/>
      <c r="AA73" s="249"/>
      <c r="AB73" s="249"/>
      <c r="AC73" s="289"/>
      <c r="AD73" s="289"/>
      <c r="AE73" s="289"/>
      <c r="AF73" s="277"/>
      <c r="AG73" s="353"/>
      <c r="AH73" s="275"/>
      <c r="AI73" s="275"/>
      <c r="AJ73" s="353"/>
      <c r="AK73" s="275"/>
      <c r="AL73" s="249"/>
      <c r="AM73" s="289"/>
      <c r="AN73" s="249"/>
      <c r="AO73" s="249"/>
      <c r="AP73" s="289"/>
      <c r="AQ73" s="249"/>
      <c r="AR73" s="249"/>
      <c r="AS73" s="289"/>
      <c r="AT73" s="249"/>
      <c r="AU73" s="249"/>
      <c r="AV73" s="289"/>
      <c r="AW73" s="249"/>
      <c r="AX73" s="249"/>
      <c r="AY73" s="289"/>
      <c r="AZ73" s="249"/>
      <c r="BA73" s="249"/>
      <c r="BB73" s="289"/>
      <c r="BC73" s="249"/>
      <c r="BD73" s="249"/>
      <c r="BE73" s="289"/>
      <c r="BF73" s="249"/>
      <c r="BG73" s="249"/>
      <c r="BH73" s="289"/>
      <c r="BI73" s="249"/>
      <c r="BJ73" s="249"/>
      <c r="BK73" s="289"/>
      <c r="BL73" s="249"/>
      <c r="BM73" s="249"/>
      <c r="BN73" s="289"/>
      <c r="BO73" s="249"/>
      <c r="BP73" s="249"/>
      <c r="BQ73" s="289"/>
      <c r="BR73" s="249"/>
      <c r="BS73" s="249"/>
      <c r="BT73" s="289"/>
      <c r="BU73" s="249"/>
      <c r="BV73" s="249"/>
      <c r="BW73" s="289"/>
      <c r="BX73" s="249"/>
      <c r="BY73" s="249"/>
      <c r="BZ73" s="289"/>
      <c r="CA73" s="249"/>
      <c r="CB73" s="249"/>
      <c r="CC73" s="289"/>
      <c r="CD73" s="249"/>
      <c r="CE73" s="249"/>
      <c r="CF73" s="289"/>
      <c r="CG73" s="249"/>
      <c r="CH73" s="249"/>
      <c r="CI73" s="289"/>
      <c r="CJ73" s="249"/>
      <c r="CK73" s="249"/>
      <c r="CL73" s="289"/>
      <c r="CM73" s="249"/>
      <c r="CN73" s="249"/>
      <c r="CO73" s="289"/>
      <c r="CP73" s="249"/>
      <c r="CQ73" s="249"/>
      <c r="CR73" s="289"/>
      <c r="CS73" s="249"/>
      <c r="CT73" s="249"/>
      <c r="CU73" s="289"/>
      <c r="CV73" s="249"/>
      <c r="CW73" s="249"/>
      <c r="CX73" s="289"/>
      <c r="CY73" s="249"/>
      <c r="CZ73" s="249"/>
      <c r="DA73" s="289"/>
    </row>
    <row r="74" spans="1:105" s="53" customFormat="1" x14ac:dyDescent="0.2">
      <c r="A74" s="262" t="s">
        <v>346</v>
      </c>
      <c r="B74" s="283">
        <v>24</v>
      </c>
      <c r="C74" s="264" t="s">
        <v>224</v>
      </c>
      <c r="D74" s="249"/>
      <c r="E74" s="289"/>
      <c r="F74" s="249"/>
      <c r="G74" s="249"/>
      <c r="H74" s="289"/>
      <c r="I74" s="249"/>
      <c r="J74" s="249"/>
      <c r="K74" s="289"/>
      <c r="L74" s="249"/>
      <c r="M74" s="249"/>
      <c r="N74" s="289"/>
      <c r="O74" s="249"/>
      <c r="P74" s="249"/>
      <c r="Q74" s="289"/>
      <c r="R74" s="249"/>
      <c r="S74" s="249"/>
      <c r="T74" s="289"/>
      <c r="U74" s="249"/>
      <c r="V74" s="249"/>
      <c r="W74" s="289"/>
      <c r="X74" s="249"/>
      <c r="Y74" s="249"/>
      <c r="Z74" s="289"/>
      <c r="AA74" s="249"/>
      <c r="AB74" s="249"/>
      <c r="AC74" s="289"/>
      <c r="AD74" s="289"/>
      <c r="AE74" s="289"/>
      <c r="AF74" s="277"/>
      <c r="AG74" s="353"/>
      <c r="AH74" s="275"/>
      <c r="AI74" s="275"/>
      <c r="AJ74" s="353"/>
      <c r="AK74" s="275"/>
      <c r="AL74" s="249"/>
      <c r="AM74" s="289"/>
      <c r="AN74" s="249"/>
      <c r="AO74" s="249"/>
      <c r="AP74" s="289"/>
      <c r="AQ74" s="249"/>
      <c r="AR74" s="249"/>
      <c r="AS74" s="289"/>
      <c r="AT74" s="249"/>
      <c r="AU74" s="249"/>
      <c r="AV74" s="289"/>
      <c r="AW74" s="249"/>
      <c r="AX74" s="249"/>
      <c r="AY74" s="289"/>
      <c r="AZ74" s="249"/>
      <c r="BA74" s="249"/>
      <c r="BB74" s="289"/>
      <c r="BC74" s="249"/>
      <c r="BD74" s="249"/>
      <c r="BE74" s="289"/>
      <c r="BF74" s="249"/>
      <c r="BG74" s="249"/>
      <c r="BH74" s="289"/>
      <c r="BI74" s="249"/>
      <c r="BJ74" s="249"/>
      <c r="BK74" s="289"/>
      <c r="BL74" s="249"/>
      <c r="BM74" s="249"/>
      <c r="BN74" s="289"/>
      <c r="BO74" s="249"/>
      <c r="BP74" s="249"/>
      <c r="BQ74" s="289"/>
      <c r="BR74" s="249"/>
      <c r="BS74" s="249"/>
      <c r="BT74" s="289"/>
      <c r="BU74" s="249"/>
      <c r="BV74" s="249"/>
      <c r="BW74" s="289"/>
      <c r="BX74" s="249"/>
      <c r="BY74" s="249"/>
      <c r="BZ74" s="289"/>
      <c r="CA74" s="249"/>
      <c r="CB74" s="249"/>
      <c r="CC74" s="289"/>
      <c r="CD74" s="249"/>
      <c r="CE74" s="249"/>
      <c r="CF74" s="289"/>
      <c r="CG74" s="249"/>
      <c r="CH74" s="249"/>
      <c r="CI74" s="289"/>
      <c r="CJ74" s="249"/>
      <c r="CK74" s="249"/>
      <c r="CL74" s="289"/>
      <c r="CM74" s="249"/>
      <c r="CN74" s="249"/>
      <c r="CO74" s="289"/>
      <c r="CP74" s="249"/>
      <c r="CQ74" s="249"/>
      <c r="CR74" s="289"/>
      <c r="CS74" s="249"/>
      <c r="CT74" s="249"/>
      <c r="CU74" s="289"/>
      <c r="CV74" s="249"/>
      <c r="CW74" s="249"/>
      <c r="CX74" s="289"/>
      <c r="CY74" s="249"/>
      <c r="CZ74" s="249"/>
      <c r="DA74" s="289"/>
    </row>
    <row r="75" spans="1:105" s="53" customFormat="1" x14ac:dyDescent="0.2">
      <c r="A75" s="249" t="s">
        <v>349</v>
      </c>
      <c r="B75" s="284">
        <v>1</v>
      </c>
      <c r="C75" s="92" t="s">
        <v>98</v>
      </c>
      <c r="D75" s="249"/>
      <c r="E75" s="289"/>
      <c r="F75" s="249"/>
      <c r="G75" s="249"/>
      <c r="H75" s="289"/>
      <c r="I75" s="249"/>
      <c r="J75" s="249"/>
      <c r="K75" s="289"/>
      <c r="L75" s="249"/>
      <c r="M75" s="249"/>
      <c r="N75" s="289"/>
      <c r="O75" s="249"/>
      <c r="P75" s="249"/>
      <c r="Q75" s="289"/>
      <c r="R75" s="249"/>
      <c r="S75" s="249"/>
      <c r="T75" s="289"/>
      <c r="U75" s="249"/>
      <c r="V75" s="249"/>
      <c r="W75" s="289"/>
      <c r="X75" s="249"/>
      <c r="Y75" s="249"/>
      <c r="Z75" s="289"/>
      <c r="AA75" s="249"/>
      <c r="AB75" s="249"/>
      <c r="AC75" s="289"/>
      <c r="AD75" s="289"/>
      <c r="AE75" s="289"/>
      <c r="AF75" s="277"/>
      <c r="AG75" s="353"/>
      <c r="AH75" s="275"/>
      <c r="AI75" s="275"/>
      <c r="AJ75" s="353"/>
      <c r="AK75" s="275"/>
      <c r="AL75" s="249"/>
      <c r="AM75" s="289"/>
      <c r="AN75" s="249"/>
      <c r="AO75" s="249"/>
      <c r="AP75" s="289"/>
      <c r="AQ75" s="249"/>
      <c r="AR75" s="249"/>
      <c r="AS75" s="289"/>
      <c r="AT75" s="249"/>
      <c r="AU75" s="249"/>
      <c r="AV75" s="289"/>
      <c r="AW75" s="249"/>
      <c r="AX75" s="249"/>
      <c r="AY75" s="289"/>
      <c r="AZ75" s="249"/>
      <c r="BA75" s="249"/>
      <c r="BB75" s="289"/>
      <c r="BC75" s="249"/>
      <c r="BD75" s="249"/>
      <c r="BE75" s="289"/>
      <c r="BF75" s="249"/>
      <c r="BG75" s="249"/>
      <c r="BH75" s="289"/>
      <c r="BI75" s="249"/>
      <c r="BJ75" s="249"/>
      <c r="BK75" s="289"/>
      <c r="BL75" s="249"/>
      <c r="BM75" s="249"/>
      <c r="BN75" s="289"/>
      <c r="BO75" s="249"/>
      <c r="BP75" s="249"/>
      <c r="BQ75" s="289"/>
      <c r="BR75" s="249"/>
      <c r="BS75" s="249"/>
      <c r="BT75" s="289"/>
      <c r="BU75" s="249"/>
      <c r="BV75" s="249"/>
      <c r="BW75" s="289"/>
      <c r="BX75" s="249"/>
      <c r="BY75" s="249"/>
      <c r="BZ75" s="289"/>
      <c r="CA75" s="249"/>
      <c r="CB75" s="249"/>
      <c r="CC75" s="289"/>
      <c r="CD75" s="249"/>
      <c r="CE75" s="249"/>
      <c r="CF75" s="289"/>
      <c r="CG75" s="249"/>
      <c r="CH75" s="249"/>
      <c r="CI75" s="289"/>
      <c r="CJ75" s="249"/>
      <c r="CK75" s="249"/>
      <c r="CL75" s="289"/>
      <c r="CM75" s="249"/>
      <c r="CN75" s="249"/>
      <c r="CO75" s="289"/>
      <c r="CP75" s="249"/>
      <c r="CQ75" s="249"/>
      <c r="CR75" s="289"/>
      <c r="CS75" s="249"/>
      <c r="CT75" s="249"/>
      <c r="CU75" s="289"/>
      <c r="CV75" s="249"/>
      <c r="CW75" s="249"/>
      <c r="CX75" s="289"/>
      <c r="CY75" s="249"/>
      <c r="CZ75" s="249"/>
      <c r="DA75" s="289"/>
    </row>
    <row r="76" spans="1:105" s="53" customFormat="1" x14ac:dyDescent="0.2">
      <c r="A76" s="249" t="s">
        <v>350</v>
      </c>
      <c r="B76" s="284">
        <v>1</v>
      </c>
      <c r="C76" s="92" t="s">
        <v>98</v>
      </c>
      <c r="D76" s="249"/>
      <c r="E76" s="289"/>
      <c r="F76" s="249"/>
      <c r="G76" s="249"/>
      <c r="H76" s="289"/>
      <c r="I76" s="249"/>
      <c r="J76" s="249"/>
      <c r="K76" s="289"/>
      <c r="L76" s="249"/>
      <c r="M76" s="249"/>
      <c r="N76" s="289"/>
      <c r="O76" s="249"/>
      <c r="P76" s="249"/>
      <c r="Q76" s="289"/>
      <c r="R76" s="249"/>
      <c r="S76" s="249"/>
      <c r="T76" s="289"/>
      <c r="U76" s="249"/>
      <c r="V76" s="249"/>
      <c r="W76" s="289"/>
      <c r="X76" s="249"/>
      <c r="Y76" s="249"/>
      <c r="Z76" s="289"/>
      <c r="AA76" s="249"/>
      <c r="AB76" s="249"/>
      <c r="AC76" s="289"/>
      <c r="AD76" s="289"/>
      <c r="AE76" s="289"/>
      <c r="AF76" s="277"/>
      <c r="AG76" s="353"/>
      <c r="AH76" s="275"/>
      <c r="AI76" s="275"/>
      <c r="AJ76" s="353"/>
      <c r="AK76" s="275"/>
      <c r="AL76" s="249"/>
      <c r="AM76" s="289"/>
      <c r="AN76" s="249"/>
      <c r="AO76" s="249"/>
      <c r="AP76" s="289"/>
      <c r="AQ76" s="249"/>
      <c r="AR76" s="249"/>
      <c r="AS76" s="289"/>
      <c r="AT76" s="249"/>
      <c r="AU76" s="249"/>
      <c r="AV76" s="289"/>
      <c r="AW76" s="249"/>
      <c r="AX76" s="249"/>
      <c r="AY76" s="289"/>
      <c r="AZ76" s="249"/>
      <c r="BA76" s="249"/>
      <c r="BB76" s="289"/>
      <c r="BC76" s="249"/>
      <c r="BD76" s="249"/>
      <c r="BE76" s="289"/>
      <c r="BF76" s="249"/>
      <c r="BG76" s="249"/>
      <c r="BH76" s="289"/>
      <c r="BI76" s="249"/>
      <c r="BJ76" s="249"/>
      <c r="BK76" s="289"/>
      <c r="BL76" s="249"/>
      <c r="BM76" s="249"/>
      <c r="BN76" s="289"/>
      <c r="BO76" s="249"/>
      <c r="BP76" s="249"/>
      <c r="BQ76" s="289"/>
      <c r="BR76" s="249"/>
      <c r="BS76" s="249"/>
      <c r="BT76" s="289"/>
      <c r="BU76" s="249"/>
      <c r="BV76" s="249"/>
      <c r="BW76" s="289"/>
      <c r="BX76" s="249"/>
      <c r="BY76" s="249"/>
      <c r="BZ76" s="289"/>
      <c r="CA76" s="249"/>
      <c r="CB76" s="249"/>
      <c r="CC76" s="289"/>
      <c r="CD76" s="249"/>
      <c r="CE76" s="249"/>
      <c r="CF76" s="289"/>
      <c r="CG76" s="249"/>
      <c r="CH76" s="249"/>
      <c r="CI76" s="289"/>
      <c r="CJ76" s="249"/>
      <c r="CK76" s="249"/>
      <c r="CL76" s="289"/>
      <c r="CM76" s="249"/>
      <c r="CN76" s="249"/>
      <c r="CO76" s="289"/>
      <c r="CP76" s="249"/>
      <c r="CQ76" s="249"/>
      <c r="CR76" s="289"/>
      <c r="CS76" s="249"/>
      <c r="CT76" s="249"/>
      <c r="CU76" s="289"/>
      <c r="CV76" s="249"/>
      <c r="CW76" s="249"/>
      <c r="CX76" s="289"/>
      <c r="CY76" s="249"/>
      <c r="CZ76" s="249"/>
      <c r="DA76" s="289"/>
    </row>
    <row r="77" spans="1:105" s="53" customFormat="1" x14ac:dyDescent="0.2">
      <c r="A77" s="262" t="s">
        <v>103</v>
      </c>
      <c r="B77" s="283">
        <v>0.4</v>
      </c>
      <c r="C77" s="249"/>
      <c r="D77" s="249"/>
      <c r="E77" s="289"/>
      <c r="F77" s="249"/>
      <c r="G77" s="249"/>
      <c r="H77" s="289"/>
      <c r="I77" s="249"/>
      <c r="J77" s="249"/>
      <c r="K77" s="289"/>
      <c r="L77" s="249"/>
      <c r="M77" s="249"/>
      <c r="N77" s="289"/>
      <c r="O77" s="249"/>
      <c r="P77" s="249"/>
      <c r="Q77" s="289"/>
      <c r="R77" s="249"/>
      <c r="S77" s="249"/>
      <c r="T77" s="289"/>
      <c r="U77" s="249"/>
      <c r="V77" s="249"/>
      <c r="W77" s="289"/>
      <c r="X77" s="249"/>
      <c r="Y77" s="249"/>
      <c r="Z77" s="289"/>
      <c r="AA77" s="249"/>
      <c r="AB77" s="249"/>
      <c r="AC77" s="289"/>
      <c r="AD77" s="289"/>
      <c r="AE77" s="289"/>
      <c r="AF77" s="277"/>
      <c r="AG77" s="353"/>
      <c r="AH77" s="275"/>
      <c r="AI77" s="275"/>
      <c r="AJ77" s="353"/>
      <c r="AK77" s="275"/>
      <c r="AL77" s="249"/>
      <c r="AM77" s="289"/>
      <c r="AN77" s="249"/>
      <c r="AO77" s="249"/>
      <c r="AP77" s="289"/>
      <c r="AQ77" s="249"/>
      <c r="AR77" s="249"/>
      <c r="AS77" s="289"/>
      <c r="AT77" s="249"/>
      <c r="AU77" s="249"/>
      <c r="AV77" s="289"/>
      <c r="AW77" s="249"/>
      <c r="AX77" s="249"/>
      <c r="AY77" s="289"/>
      <c r="AZ77" s="249"/>
      <c r="BA77" s="249"/>
      <c r="BB77" s="289"/>
      <c r="BC77" s="249"/>
      <c r="BD77" s="249"/>
      <c r="BE77" s="289"/>
      <c r="BF77" s="249"/>
      <c r="BG77" s="249"/>
      <c r="BH77" s="289"/>
      <c r="BI77" s="249"/>
      <c r="BJ77" s="249"/>
      <c r="BK77" s="289"/>
      <c r="BL77" s="249"/>
      <c r="BM77" s="249"/>
      <c r="BN77" s="289"/>
      <c r="BO77" s="249"/>
      <c r="BP77" s="249"/>
      <c r="BQ77" s="289"/>
      <c r="BR77" s="249"/>
      <c r="BS77" s="249"/>
      <c r="BT77" s="289"/>
      <c r="BU77" s="249"/>
      <c r="BV77" s="249"/>
      <c r="BW77" s="289"/>
      <c r="BX77" s="249"/>
      <c r="BY77" s="249"/>
      <c r="BZ77" s="289"/>
      <c r="CA77" s="249"/>
      <c r="CB77" s="249"/>
      <c r="CC77" s="289"/>
      <c r="CD77" s="249"/>
      <c r="CE77" s="249"/>
      <c r="CF77" s="289"/>
      <c r="CG77" s="249"/>
      <c r="CH77" s="249"/>
      <c r="CI77" s="289"/>
      <c r="CJ77" s="249"/>
      <c r="CK77" s="249"/>
      <c r="CL77" s="289"/>
      <c r="CM77" s="249"/>
      <c r="CN77" s="249"/>
      <c r="CO77" s="289"/>
      <c r="CP77" s="249"/>
      <c r="CQ77" s="249"/>
      <c r="CR77" s="289"/>
      <c r="CS77" s="249"/>
      <c r="CT77" s="249"/>
      <c r="CU77" s="289"/>
      <c r="CV77" s="249"/>
      <c r="CW77" s="249"/>
      <c r="CX77" s="289"/>
      <c r="CY77" s="249"/>
      <c r="CZ77" s="249"/>
      <c r="DA77" s="289"/>
    </row>
    <row r="78" spans="1:105" s="53" customFormat="1" ht="12.75" customHeight="1" x14ac:dyDescent="0.2">
      <c r="A78" s="249" t="s">
        <v>353</v>
      </c>
      <c r="B78" s="284">
        <v>1</v>
      </c>
      <c r="C78" s="247"/>
      <c r="D78" s="249"/>
      <c r="E78" s="289"/>
      <c r="F78" s="249"/>
      <c r="G78" s="249"/>
      <c r="H78" s="289"/>
      <c r="I78" s="249"/>
      <c r="J78" s="249"/>
      <c r="K78" s="289"/>
      <c r="L78" s="249"/>
      <c r="M78" s="249"/>
      <c r="N78" s="289"/>
      <c r="O78" s="249"/>
      <c r="P78" s="249"/>
      <c r="Q78" s="289"/>
      <c r="R78" s="249"/>
      <c r="S78" s="249"/>
      <c r="T78" s="289"/>
      <c r="U78" s="249"/>
      <c r="V78" s="249"/>
      <c r="W78" s="289"/>
      <c r="X78" s="249"/>
      <c r="Y78" s="249"/>
      <c r="Z78" s="289"/>
      <c r="AA78" s="249"/>
      <c r="AB78" s="249"/>
      <c r="AC78" s="289"/>
      <c r="AD78" s="289"/>
      <c r="AE78" s="289"/>
      <c r="AF78" s="277"/>
      <c r="AG78" s="353"/>
      <c r="AH78" s="249"/>
      <c r="AI78" s="249"/>
      <c r="AJ78" s="289"/>
      <c r="AK78" s="249"/>
      <c r="AL78" s="249"/>
      <c r="AM78" s="289"/>
      <c r="AN78" s="249"/>
      <c r="AO78" s="249"/>
      <c r="AP78" s="289"/>
      <c r="AQ78" s="249"/>
      <c r="AR78" s="249"/>
      <c r="AS78" s="289"/>
      <c r="AT78" s="249"/>
      <c r="AU78" s="249"/>
      <c r="AV78" s="289"/>
      <c r="AW78" s="249"/>
      <c r="AX78" s="249"/>
      <c r="AY78" s="289"/>
      <c r="AZ78" s="249"/>
      <c r="BA78" s="249"/>
      <c r="BB78" s="289"/>
      <c r="BC78" s="249"/>
      <c r="BD78" s="249"/>
      <c r="BE78" s="289"/>
      <c r="BF78" s="249"/>
      <c r="BG78" s="249"/>
      <c r="BH78" s="289"/>
      <c r="BI78" s="249"/>
      <c r="BJ78" s="249"/>
      <c r="BK78" s="289"/>
      <c r="BL78" s="249"/>
      <c r="BM78" s="249"/>
      <c r="BN78" s="289"/>
      <c r="BO78" s="249"/>
      <c r="BP78" s="249"/>
      <c r="BQ78" s="289"/>
      <c r="BR78" s="249"/>
      <c r="BS78" s="249"/>
      <c r="BT78" s="289"/>
      <c r="BU78" s="249"/>
      <c r="BV78" s="249"/>
      <c r="BW78" s="289"/>
      <c r="BX78" s="249"/>
      <c r="BY78" s="249"/>
      <c r="BZ78" s="289"/>
      <c r="CA78" s="249"/>
      <c r="CB78" s="249"/>
      <c r="CC78" s="289"/>
      <c r="CD78" s="249"/>
      <c r="CE78" s="249"/>
      <c r="CF78" s="289"/>
      <c r="CG78" s="249"/>
      <c r="CH78" s="249"/>
      <c r="CI78" s="289"/>
      <c r="CJ78" s="249"/>
      <c r="CK78" s="249"/>
      <c r="CL78" s="289"/>
      <c r="CM78" s="249"/>
      <c r="CN78" s="249"/>
      <c r="CO78" s="289"/>
      <c r="CP78" s="249"/>
      <c r="CQ78" s="249"/>
      <c r="CR78" s="289"/>
      <c r="CS78" s="249"/>
      <c r="CT78" s="249"/>
      <c r="CU78" s="289"/>
      <c r="CV78" s="249"/>
      <c r="CW78" s="249"/>
      <c r="CX78" s="289"/>
      <c r="CY78" s="249"/>
      <c r="CZ78" s="249"/>
      <c r="DA78" s="289"/>
    </row>
    <row r="79" spans="1:105" s="53" customFormat="1" x14ac:dyDescent="0.2">
      <c r="A79" s="249" t="s">
        <v>158</v>
      </c>
      <c r="B79" s="284">
        <v>0.4</v>
      </c>
      <c r="C79" s="247"/>
      <c r="D79" s="249"/>
      <c r="E79" s="289"/>
      <c r="F79" s="249"/>
      <c r="G79" s="249"/>
      <c r="H79" s="289"/>
      <c r="I79" s="249"/>
      <c r="J79" s="249"/>
      <c r="K79" s="289"/>
      <c r="L79" s="249"/>
      <c r="M79" s="249"/>
      <c r="N79" s="289"/>
      <c r="O79" s="249"/>
      <c r="P79" s="249"/>
      <c r="Q79" s="289"/>
      <c r="R79" s="249"/>
      <c r="S79" s="249"/>
      <c r="T79" s="289"/>
      <c r="U79" s="249"/>
      <c r="V79" s="249"/>
      <c r="W79" s="289"/>
      <c r="X79" s="249"/>
      <c r="Y79" s="249"/>
      <c r="Z79" s="289"/>
      <c r="AA79" s="249"/>
      <c r="AB79" s="249"/>
      <c r="AC79" s="289"/>
      <c r="AD79" s="289"/>
      <c r="AE79" s="289"/>
      <c r="AF79" s="277"/>
      <c r="AG79" s="353"/>
      <c r="AH79" s="275"/>
      <c r="AI79" s="275"/>
      <c r="AJ79" s="353"/>
      <c r="AK79" s="275"/>
      <c r="AL79" s="249"/>
      <c r="AM79" s="289"/>
      <c r="AN79" s="249"/>
      <c r="AO79" s="249"/>
      <c r="AP79" s="289"/>
      <c r="AQ79" s="249"/>
      <c r="AR79" s="249"/>
      <c r="AS79" s="289"/>
      <c r="AT79" s="249"/>
      <c r="AU79" s="249"/>
      <c r="AV79" s="289"/>
      <c r="AW79" s="249"/>
      <c r="AX79" s="249"/>
      <c r="AY79" s="289"/>
      <c r="AZ79" s="249"/>
      <c r="BA79" s="249"/>
      <c r="BB79" s="289"/>
      <c r="BC79" s="249"/>
      <c r="BD79" s="249"/>
      <c r="BE79" s="289"/>
      <c r="BF79" s="249"/>
      <c r="BG79" s="249"/>
      <c r="BH79" s="289"/>
      <c r="BI79" s="249"/>
      <c r="BJ79" s="249"/>
      <c r="BK79" s="289"/>
      <c r="BL79" s="249"/>
      <c r="BM79" s="249"/>
      <c r="BN79" s="289"/>
      <c r="BO79" s="249"/>
      <c r="BP79" s="249"/>
      <c r="BQ79" s="289"/>
      <c r="BR79" s="249"/>
      <c r="BS79" s="249"/>
      <c r="BT79" s="289"/>
      <c r="BU79" s="249"/>
      <c r="BV79" s="249"/>
      <c r="BW79" s="289"/>
      <c r="BX79" s="249"/>
      <c r="BY79" s="249"/>
      <c r="BZ79" s="289"/>
      <c r="CA79" s="249"/>
      <c r="CB79" s="249"/>
      <c r="CC79" s="289"/>
      <c r="CD79" s="249"/>
      <c r="CE79" s="249"/>
      <c r="CF79" s="289"/>
      <c r="CG79" s="249"/>
      <c r="CH79" s="249"/>
      <c r="CI79" s="289"/>
      <c r="CJ79" s="249"/>
      <c r="CK79" s="249"/>
      <c r="CL79" s="289"/>
      <c r="CM79" s="249"/>
      <c r="CN79" s="249"/>
      <c r="CO79" s="289"/>
      <c r="CP79" s="249"/>
      <c r="CQ79" s="249"/>
      <c r="CR79" s="289"/>
      <c r="CS79" s="249"/>
      <c r="CT79" s="249"/>
      <c r="CU79" s="289"/>
      <c r="CV79" s="249"/>
      <c r="CW79" s="249"/>
      <c r="CX79" s="289"/>
      <c r="CY79" s="249"/>
      <c r="CZ79" s="249"/>
      <c r="DA79" s="289"/>
    </row>
    <row r="80" spans="1:105" s="53" customFormat="1" x14ac:dyDescent="0.2">
      <c r="A80" s="249" t="s">
        <v>159</v>
      </c>
      <c r="B80" s="284">
        <v>1</v>
      </c>
      <c r="C80" s="247"/>
      <c r="D80" s="249"/>
      <c r="E80" s="289"/>
      <c r="F80" s="249"/>
      <c r="G80" s="249"/>
      <c r="H80" s="289"/>
      <c r="I80" s="249"/>
      <c r="J80" s="249"/>
      <c r="K80" s="289"/>
      <c r="L80" s="249"/>
      <c r="M80" s="249"/>
      <c r="N80" s="289"/>
      <c r="O80" s="249"/>
      <c r="P80" s="249"/>
      <c r="Q80" s="289"/>
      <c r="R80" s="249"/>
      <c r="S80" s="249"/>
      <c r="T80" s="289"/>
      <c r="U80" s="249"/>
      <c r="V80" s="249"/>
      <c r="W80" s="289"/>
      <c r="X80" s="249"/>
      <c r="Y80" s="249"/>
      <c r="Z80" s="289"/>
      <c r="AA80" s="249"/>
      <c r="AB80" s="249"/>
      <c r="AC80" s="289"/>
      <c r="AD80" s="289"/>
      <c r="AE80" s="289"/>
      <c r="AF80" s="277"/>
      <c r="AG80" s="353"/>
      <c r="AH80" s="275"/>
      <c r="AI80" s="275"/>
      <c r="AJ80" s="353"/>
      <c r="AK80" s="275"/>
      <c r="AL80" s="249"/>
      <c r="AM80" s="289"/>
      <c r="AN80" s="249"/>
      <c r="AO80" s="249"/>
      <c r="AP80" s="289"/>
      <c r="AQ80" s="249"/>
      <c r="AR80" s="249"/>
      <c r="AS80" s="289"/>
      <c r="AT80" s="249"/>
      <c r="AU80" s="249"/>
      <c r="AV80" s="289"/>
      <c r="AW80" s="249"/>
      <c r="AX80" s="249"/>
      <c r="AY80" s="289"/>
      <c r="AZ80" s="249"/>
      <c r="BA80" s="249"/>
      <c r="BB80" s="289"/>
      <c r="BC80" s="249"/>
      <c r="BD80" s="249"/>
      <c r="BE80" s="289"/>
      <c r="BF80" s="249"/>
      <c r="BG80" s="249"/>
      <c r="BH80" s="289"/>
      <c r="BI80" s="249"/>
      <c r="BJ80" s="249"/>
      <c r="BK80" s="289"/>
      <c r="BL80" s="249"/>
      <c r="BM80" s="249"/>
      <c r="BN80" s="289"/>
      <c r="BO80" s="249"/>
      <c r="BP80" s="249"/>
      <c r="BQ80" s="289"/>
      <c r="BR80" s="249"/>
      <c r="BS80" s="249"/>
      <c r="BT80" s="289"/>
      <c r="BU80" s="249"/>
      <c r="BV80" s="249"/>
      <c r="BW80" s="289"/>
      <c r="BX80" s="249"/>
      <c r="BY80" s="249"/>
      <c r="BZ80" s="289"/>
      <c r="CA80" s="249"/>
      <c r="CB80" s="249"/>
      <c r="CC80" s="289"/>
      <c r="CD80" s="249"/>
      <c r="CE80" s="249"/>
      <c r="CF80" s="289"/>
      <c r="CG80" s="249"/>
      <c r="CH80" s="249"/>
      <c r="CI80" s="289"/>
      <c r="CJ80" s="249"/>
      <c r="CK80" s="249"/>
      <c r="CL80" s="289"/>
      <c r="CM80" s="249"/>
      <c r="CN80" s="249"/>
      <c r="CO80" s="289"/>
      <c r="CP80" s="249"/>
      <c r="CQ80" s="249"/>
      <c r="CR80" s="289"/>
      <c r="CS80" s="249"/>
      <c r="CT80" s="249"/>
      <c r="CU80" s="289"/>
      <c r="CV80" s="249"/>
      <c r="CW80" s="249"/>
      <c r="CX80" s="289"/>
      <c r="CY80" s="249"/>
      <c r="CZ80" s="249"/>
      <c r="DA80" s="289"/>
    </row>
    <row r="81" spans="1:37" s="53" customFormat="1" x14ac:dyDescent="0.2">
      <c r="A81" s="249" t="s">
        <v>354</v>
      </c>
      <c r="B81" s="284">
        <v>1</v>
      </c>
      <c r="C81" s="247"/>
      <c r="D81" s="249"/>
      <c r="E81" s="289"/>
      <c r="F81" s="249"/>
      <c r="G81" s="249"/>
      <c r="H81" s="289"/>
      <c r="I81" s="249"/>
      <c r="J81" s="249"/>
      <c r="K81" s="289"/>
      <c r="L81" s="249"/>
      <c r="M81" s="249"/>
      <c r="N81" s="289"/>
      <c r="O81" s="249"/>
      <c r="P81" s="249"/>
      <c r="Q81" s="289"/>
      <c r="R81" s="249"/>
      <c r="S81" s="249"/>
      <c r="T81" s="289"/>
      <c r="U81" s="249"/>
      <c r="V81" s="249"/>
      <c r="W81" s="289"/>
      <c r="X81" s="249"/>
      <c r="Y81" s="249"/>
      <c r="Z81" s="289"/>
      <c r="AA81" s="249"/>
      <c r="AB81" s="24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53" customFormat="1" x14ac:dyDescent="0.2">
      <c r="A82" s="262" t="s">
        <v>124</v>
      </c>
      <c r="B82" s="284">
        <v>1</v>
      </c>
      <c r="C82" s="263" t="s">
        <v>125</v>
      </c>
      <c r="D82" s="249"/>
      <c r="E82" s="289"/>
      <c r="F82" s="249"/>
      <c r="G82" s="249"/>
      <c r="H82" s="289"/>
      <c r="I82" s="249"/>
      <c r="J82" s="249"/>
      <c r="K82" s="289"/>
      <c r="L82" s="249"/>
      <c r="M82" s="249"/>
      <c r="N82" s="289"/>
      <c r="O82" s="249"/>
      <c r="P82" s="249"/>
      <c r="Q82" s="289"/>
      <c r="R82" s="249"/>
      <c r="S82" s="249"/>
      <c r="T82" s="289"/>
      <c r="U82" s="249"/>
      <c r="V82" s="249"/>
      <c r="W82" s="289"/>
      <c r="X82" s="249"/>
      <c r="Y82" s="249"/>
      <c r="Z82" s="289"/>
      <c r="AA82" s="249"/>
      <c r="AB82" s="24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53" customFormat="1" x14ac:dyDescent="0.2">
      <c r="A83" s="249" t="s">
        <v>83</v>
      </c>
      <c r="B83" s="284">
        <v>0.5</v>
      </c>
      <c r="C83" s="249" t="s">
        <v>84</v>
      </c>
      <c r="D83" s="249"/>
      <c r="E83" s="289"/>
      <c r="F83" s="249"/>
      <c r="G83" s="249"/>
      <c r="H83" s="289"/>
      <c r="I83" s="249"/>
      <c r="J83" s="249"/>
      <c r="K83" s="289"/>
      <c r="L83" s="249"/>
      <c r="M83" s="249"/>
      <c r="N83" s="289"/>
      <c r="O83" s="249"/>
      <c r="P83" s="249"/>
      <c r="Q83" s="289"/>
      <c r="R83" s="249"/>
      <c r="S83" s="249"/>
      <c r="T83" s="289"/>
      <c r="U83" s="249"/>
      <c r="V83" s="249"/>
      <c r="W83" s="289"/>
      <c r="X83" s="249"/>
      <c r="Y83" s="249"/>
      <c r="Z83" s="289"/>
      <c r="AA83" s="249"/>
      <c r="AB83" s="249"/>
      <c r="AC83" s="289"/>
      <c r="AD83" s="289"/>
      <c r="AE83" s="289"/>
      <c r="AF83" s="277"/>
      <c r="AG83" s="353"/>
      <c r="AH83" s="249"/>
      <c r="AI83" s="249"/>
      <c r="AJ83" s="289"/>
      <c r="AK83" s="249"/>
    </row>
    <row r="84" spans="1:37" s="53" customFormat="1" x14ac:dyDescent="0.2">
      <c r="A84" s="249" t="s">
        <v>355</v>
      </c>
      <c r="B84" s="284">
        <v>0.25</v>
      </c>
      <c r="C84" s="247"/>
      <c r="D84" s="249"/>
      <c r="E84" s="289"/>
      <c r="F84" s="249"/>
      <c r="G84" s="249"/>
      <c r="H84" s="289"/>
      <c r="I84" s="249"/>
      <c r="J84" s="249"/>
      <c r="K84" s="289"/>
      <c r="L84" s="249"/>
      <c r="M84" s="249"/>
      <c r="N84" s="289"/>
      <c r="O84" s="249"/>
      <c r="P84" s="249"/>
      <c r="Q84" s="289"/>
      <c r="R84" s="249"/>
      <c r="S84" s="249"/>
      <c r="T84" s="289"/>
      <c r="U84" s="249"/>
      <c r="V84" s="249"/>
      <c r="W84" s="289"/>
      <c r="X84" s="249"/>
      <c r="Y84" s="249"/>
      <c r="Z84" s="289"/>
      <c r="AA84" s="249"/>
      <c r="AB84" s="24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53" customFormat="1" x14ac:dyDescent="0.2">
      <c r="A85" s="262" t="s">
        <v>41</v>
      </c>
      <c r="B85" s="284">
        <v>3.62</v>
      </c>
      <c r="C85" s="249" t="s">
        <v>42</v>
      </c>
      <c r="D85" s="249"/>
      <c r="E85" s="289"/>
      <c r="F85" s="249"/>
      <c r="G85" s="249"/>
      <c r="H85" s="289"/>
      <c r="I85" s="249"/>
      <c r="J85" s="249"/>
      <c r="K85" s="289"/>
      <c r="L85" s="249"/>
      <c r="M85" s="249"/>
      <c r="N85" s="289"/>
      <c r="O85" s="249"/>
      <c r="P85" s="249"/>
      <c r="Q85" s="289"/>
      <c r="R85" s="249"/>
      <c r="S85" s="249"/>
      <c r="T85" s="289"/>
      <c r="U85" s="249"/>
      <c r="V85" s="249"/>
      <c r="W85" s="289"/>
      <c r="X85" s="249"/>
      <c r="Y85" s="249"/>
      <c r="Z85" s="289"/>
      <c r="AA85" s="249"/>
      <c r="AB85" s="249"/>
      <c r="AC85" s="289"/>
      <c r="AD85" s="289"/>
      <c r="AE85" s="289"/>
      <c r="AF85" s="277"/>
      <c r="AG85" s="353"/>
      <c r="AH85" s="249"/>
      <c r="AI85" s="249"/>
      <c r="AJ85" s="289"/>
      <c r="AK85" s="249"/>
    </row>
    <row r="86" spans="1:37" s="53" customFormat="1" x14ac:dyDescent="0.2">
      <c r="A86" s="262" t="s">
        <v>46</v>
      </c>
      <c r="B86" s="284">
        <v>0.25</v>
      </c>
      <c r="C86" s="249" t="s">
        <v>47</v>
      </c>
      <c r="D86" s="249"/>
      <c r="E86" s="289"/>
      <c r="F86" s="249"/>
      <c r="G86" s="249"/>
      <c r="H86" s="289"/>
      <c r="I86" s="249"/>
      <c r="J86" s="249"/>
      <c r="K86" s="289"/>
      <c r="L86" s="249"/>
      <c r="M86" s="249"/>
      <c r="N86" s="289"/>
      <c r="O86" s="249"/>
      <c r="P86" s="249"/>
      <c r="Q86" s="289"/>
      <c r="R86" s="249"/>
      <c r="S86" s="249"/>
      <c r="T86" s="289"/>
      <c r="U86" s="249"/>
      <c r="V86" s="249"/>
      <c r="W86" s="289"/>
      <c r="X86" s="249"/>
      <c r="Y86" s="249"/>
      <c r="Z86" s="289"/>
      <c r="AA86" s="249"/>
      <c r="AB86" s="24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53" customFormat="1" x14ac:dyDescent="0.2">
      <c r="A87" s="267" t="s">
        <v>60</v>
      </c>
      <c r="B87" s="284">
        <v>10950</v>
      </c>
      <c r="C87" s="249" t="s">
        <v>61</v>
      </c>
      <c r="D87" s="249"/>
      <c r="E87" s="289"/>
      <c r="F87" s="249"/>
      <c r="G87" s="249"/>
      <c r="H87" s="289"/>
      <c r="I87" s="249"/>
      <c r="J87" s="249"/>
      <c r="K87" s="289"/>
      <c r="L87" s="249"/>
      <c r="M87" s="249"/>
      <c r="N87" s="289"/>
      <c r="O87" s="249"/>
      <c r="P87" s="249"/>
      <c r="Q87" s="289"/>
      <c r="R87" s="249"/>
      <c r="S87" s="249"/>
      <c r="T87" s="289"/>
      <c r="U87" s="249"/>
      <c r="V87" s="249"/>
      <c r="W87" s="289"/>
      <c r="X87" s="249"/>
      <c r="Y87" s="249"/>
      <c r="Z87" s="289"/>
      <c r="AA87" s="249"/>
      <c r="AB87" s="249"/>
      <c r="AC87" s="289"/>
      <c r="AD87" s="289"/>
      <c r="AE87" s="289"/>
      <c r="AF87" s="289"/>
      <c r="AG87" s="289"/>
      <c r="AH87" s="249"/>
      <c r="AI87" s="249"/>
      <c r="AJ87" s="289"/>
      <c r="AK87" s="249"/>
    </row>
    <row r="88" spans="1:37" s="53" customFormat="1" x14ac:dyDescent="0.2">
      <c r="A88" s="267" t="s">
        <v>65</v>
      </c>
      <c r="B88" s="284">
        <v>240</v>
      </c>
      <c r="C88" s="249" t="s">
        <v>66</v>
      </c>
      <c r="D88" s="249"/>
      <c r="E88" s="289"/>
      <c r="F88" s="249"/>
      <c r="G88" s="249"/>
      <c r="H88" s="289"/>
      <c r="I88" s="249"/>
      <c r="J88" s="249"/>
      <c r="K88" s="289"/>
      <c r="L88" s="249"/>
      <c r="M88" s="249"/>
      <c r="N88" s="289"/>
      <c r="O88" s="249"/>
      <c r="P88" s="249"/>
      <c r="Q88" s="289"/>
      <c r="R88" s="249"/>
      <c r="S88" s="249"/>
      <c r="T88" s="289"/>
      <c r="U88" s="249"/>
      <c r="V88" s="249"/>
      <c r="W88" s="289"/>
      <c r="X88" s="249"/>
      <c r="Y88" s="249"/>
      <c r="Z88" s="289"/>
      <c r="AA88" s="249"/>
      <c r="AB88" s="249"/>
      <c r="AC88" s="289"/>
      <c r="AD88" s="289"/>
      <c r="AE88" s="289"/>
      <c r="AF88" s="289"/>
      <c r="AG88" s="289"/>
      <c r="AH88" s="249"/>
      <c r="AI88" s="249"/>
      <c r="AJ88" s="289"/>
      <c r="AK88" s="249"/>
    </row>
    <row r="89" spans="1:37" s="53" customFormat="1" x14ac:dyDescent="0.2">
      <c r="A89" s="267" t="s">
        <v>76</v>
      </c>
      <c r="B89" s="284">
        <v>0.42</v>
      </c>
      <c r="C89" s="249" t="s">
        <v>47</v>
      </c>
      <c r="D89" s="249"/>
      <c r="E89" s="289"/>
      <c r="F89" s="249"/>
      <c r="G89" s="249"/>
      <c r="H89" s="289"/>
      <c r="I89" s="249"/>
      <c r="J89" s="249"/>
      <c r="K89" s="289"/>
      <c r="L89" s="249"/>
      <c r="M89" s="249"/>
      <c r="N89" s="289"/>
      <c r="O89" s="249"/>
      <c r="P89" s="249"/>
      <c r="Q89" s="289"/>
      <c r="R89" s="249"/>
      <c r="S89" s="249"/>
      <c r="T89" s="289"/>
      <c r="U89" s="249"/>
      <c r="V89" s="249"/>
      <c r="W89" s="289"/>
      <c r="X89" s="249"/>
      <c r="Y89" s="249"/>
      <c r="Z89" s="289"/>
      <c r="AA89" s="249"/>
      <c r="AB89" s="249"/>
      <c r="AC89" s="289"/>
      <c r="AD89" s="289"/>
      <c r="AE89" s="289"/>
      <c r="AF89" s="289"/>
      <c r="AG89" s="289"/>
      <c r="AH89" s="249"/>
      <c r="AI89" s="249"/>
      <c r="AJ89" s="289"/>
      <c r="AK89" s="249"/>
    </row>
    <row r="90" spans="1:37" s="53" customFormat="1" x14ac:dyDescent="0.2">
      <c r="A90" s="267" t="s">
        <v>85</v>
      </c>
      <c r="B90" s="284">
        <v>60</v>
      </c>
      <c r="C90" s="262" t="s">
        <v>61</v>
      </c>
      <c r="D90" s="249"/>
      <c r="E90" s="289"/>
      <c r="F90" s="249"/>
      <c r="G90" s="249"/>
      <c r="H90" s="289"/>
      <c r="I90" s="249"/>
      <c r="J90" s="249"/>
      <c r="K90" s="289"/>
      <c r="L90" s="249"/>
      <c r="M90" s="249"/>
      <c r="N90" s="289"/>
      <c r="O90" s="249"/>
      <c r="P90" s="249"/>
      <c r="Q90" s="289"/>
      <c r="R90" s="249"/>
      <c r="S90" s="249"/>
      <c r="T90" s="289"/>
      <c r="U90" s="249"/>
      <c r="V90" s="249"/>
      <c r="W90" s="289"/>
      <c r="X90" s="249"/>
      <c r="Y90" s="249"/>
      <c r="Z90" s="289"/>
      <c r="AA90" s="249"/>
      <c r="AB90" s="249"/>
      <c r="AC90" s="289"/>
      <c r="AD90" s="289"/>
      <c r="AE90" s="289"/>
      <c r="AF90" s="289"/>
      <c r="AG90" s="289"/>
      <c r="AH90" s="249"/>
      <c r="AI90" s="249"/>
      <c r="AJ90" s="289"/>
      <c r="AK90" s="249"/>
    </row>
    <row r="91" spans="1:37" s="53" customFormat="1" x14ac:dyDescent="0.2">
      <c r="A91" s="267" t="s">
        <v>87</v>
      </c>
      <c r="B91" s="284">
        <v>2</v>
      </c>
      <c r="C91" s="262" t="s">
        <v>66</v>
      </c>
      <c r="D91" s="249"/>
      <c r="E91" s="289"/>
      <c r="F91" s="249"/>
      <c r="G91" s="249"/>
      <c r="H91" s="289"/>
      <c r="I91" s="249"/>
      <c r="J91" s="249"/>
      <c r="K91" s="289"/>
      <c r="L91" s="249"/>
      <c r="M91" s="249"/>
      <c r="N91" s="289"/>
      <c r="O91" s="249"/>
      <c r="P91" s="249"/>
      <c r="Q91" s="289"/>
      <c r="R91" s="249"/>
      <c r="S91" s="249"/>
      <c r="T91" s="289"/>
      <c r="U91" s="249"/>
      <c r="V91" s="249"/>
      <c r="W91" s="289"/>
      <c r="X91" s="249"/>
      <c r="Y91" s="249"/>
      <c r="Z91" s="289"/>
      <c r="AA91" s="249"/>
      <c r="AB91" s="249"/>
      <c r="AC91" s="289"/>
      <c r="AD91" s="289"/>
      <c r="AE91" s="289"/>
      <c r="AF91" s="289"/>
      <c r="AG91" s="289"/>
      <c r="AH91" s="249"/>
      <c r="AI91" s="249"/>
      <c r="AJ91" s="289"/>
      <c r="AK91" s="249"/>
    </row>
    <row r="92" spans="1:37" s="53" customFormat="1" x14ac:dyDescent="0.2">
      <c r="A92" s="267" t="s">
        <v>89</v>
      </c>
      <c r="B92" s="284">
        <v>2.6999999999999999E-5</v>
      </c>
      <c r="C92" s="249" t="s">
        <v>82</v>
      </c>
      <c r="D92" s="249"/>
      <c r="E92" s="289"/>
      <c r="F92" s="249"/>
      <c r="G92" s="249"/>
      <c r="H92" s="289"/>
      <c r="I92" s="249"/>
      <c r="J92" s="249"/>
      <c r="K92" s="289"/>
      <c r="L92" s="249"/>
      <c r="M92" s="249"/>
      <c r="N92" s="289"/>
      <c r="O92" s="249"/>
      <c r="P92" s="249"/>
      <c r="Q92" s="289"/>
      <c r="R92" s="249"/>
      <c r="S92" s="249"/>
      <c r="T92" s="289"/>
      <c r="U92" s="249"/>
      <c r="V92" s="249"/>
      <c r="W92" s="289"/>
      <c r="X92" s="249"/>
      <c r="Y92" s="249"/>
      <c r="Z92" s="289"/>
      <c r="AA92" s="249"/>
      <c r="AB92" s="249"/>
      <c r="AC92" s="289"/>
      <c r="AD92" s="289"/>
      <c r="AE92" s="289"/>
      <c r="AF92" s="289"/>
      <c r="AG92" s="289"/>
      <c r="AH92" s="249"/>
      <c r="AI92" s="249"/>
      <c r="AJ92" s="289"/>
      <c r="AK92" s="249"/>
    </row>
    <row r="93" spans="1:37" s="53" customFormat="1" x14ac:dyDescent="0.2">
      <c r="A93" s="267" t="s">
        <v>91</v>
      </c>
      <c r="B93" s="284">
        <v>1</v>
      </c>
      <c r="C93" s="249" t="s">
        <v>47</v>
      </c>
      <c r="D93" s="249"/>
      <c r="E93" s="289"/>
      <c r="F93" s="249"/>
      <c r="G93" s="249"/>
      <c r="H93" s="289"/>
      <c r="I93" s="249"/>
      <c r="J93" s="249"/>
      <c r="K93" s="289"/>
      <c r="L93" s="249"/>
      <c r="M93" s="249"/>
      <c r="N93" s="289"/>
      <c r="O93" s="249"/>
      <c r="P93" s="249"/>
      <c r="Q93" s="289"/>
      <c r="R93" s="249"/>
      <c r="S93" s="249"/>
      <c r="T93" s="289"/>
      <c r="U93" s="249"/>
      <c r="V93" s="249"/>
      <c r="W93" s="289"/>
      <c r="X93" s="249"/>
      <c r="Y93" s="249"/>
      <c r="Z93" s="289"/>
      <c r="AA93" s="249"/>
      <c r="AB93" s="249"/>
      <c r="AC93" s="289"/>
      <c r="AD93" s="289"/>
      <c r="AE93" s="289"/>
      <c r="AF93" s="289"/>
      <c r="AG93" s="289"/>
      <c r="AH93" s="249"/>
      <c r="AI93" s="249"/>
      <c r="AJ93" s="289"/>
      <c r="AK93" s="249"/>
    </row>
    <row r="94" spans="1:37" s="53" customFormat="1" x14ac:dyDescent="0.2">
      <c r="A94" s="267" t="s">
        <v>92</v>
      </c>
      <c r="B94" s="284">
        <v>14</v>
      </c>
      <c r="C94" s="249" t="s">
        <v>93</v>
      </c>
      <c r="D94" s="249"/>
      <c r="E94" s="289"/>
      <c r="F94" s="249"/>
      <c r="G94" s="249"/>
      <c r="H94" s="289"/>
      <c r="I94" s="249"/>
      <c r="J94" s="249"/>
      <c r="K94" s="289"/>
      <c r="L94" s="249"/>
      <c r="M94" s="249"/>
      <c r="N94" s="289"/>
      <c r="O94" s="249"/>
      <c r="P94" s="249"/>
      <c r="Q94" s="289"/>
      <c r="R94" s="249"/>
      <c r="S94" s="249"/>
      <c r="T94" s="289"/>
      <c r="U94" s="249"/>
      <c r="V94" s="249"/>
      <c r="W94" s="289"/>
      <c r="X94" s="249"/>
      <c r="Y94" s="249"/>
      <c r="Z94" s="289"/>
      <c r="AA94" s="249"/>
      <c r="AB94" s="249"/>
      <c r="AC94" s="289"/>
      <c r="AD94" s="289"/>
      <c r="AE94" s="289"/>
      <c r="AF94" s="289"/>
      <c r="AG94" s="289"/>
      <c r="AH94" s="249"/>
      <c r="AI94" s="249"/>
      <c r="AJ94" s="289"/>
      <c r="AK94" s="249"/>
    </row>
    <row r="95" spans="1:37" s="53" customFormat="1" x14ac:dyDescent="0.2">
      <c r="A95" s="262" t="s">
        <v>356</v>
      </c>
      <c r="B95" s="283">
        <v>1</v>
      </c>
      <c r="C95" s="249"/>
      <c r="D95" s="249"/>
      <c r="E95" s="289"/>
      <c r="F95" s="249"/>
      <c r="G95" s="249"/>
      <c r="H95" s="289"/>
      <c r="I95" s="249"/>
      <c r="J95" s="249"/>
      <c r="K95" s="289"/>
      <c r="L95" s="249"/>
      <c r="M95" s="249"/>
      <c r="N95" s="289"/>
      <c r="O95" s="249"/>
      <c r="P95" s="249"/>
      <c r="Q95" s="289"/>
      <c r="R95" s="249"/>
      <c r="S95" s="249"/>
      <c r="T95" s="289"/>
      <c r="U95" s="249"/>
      <c r="V95" s="249"/>
      <c r="W95" s="289"/>
      <c r="X95" s="249"/>
      <c r="Y95" s="249"/>
      <c r="Z95" s="289"/>
      <c r="AA95" s="249"/>
      <c r="AB95" s="249"/>
      <c r="AC95" s="289"/>
      <c r="AD95" s="289"/>
      <c r="AE95" s="289"/>
      <c r="AF95" s="289"/>
      <c r="AG95" s="289"/>
      <c r="AH95" s="249"/>
      <c r="AI95" s="249"/>
      <c r="AJ95" s="289"/>
      <c r="AK95" s="249"/>
    </row>
    <row r="96" spans="1:37" s="53" customFormat="1" x14ac:dyDescent="0.2">
      <c r="A96" s="262" t="s">
        <v>351</v>
      </c>
      <c r="B96" s="283">
        <v>1.752</v>
      </c>
      <c r="C96" s="264" t="s">
        <v>224</v>
      </c>
      <c r="D96" s="249"/>
      <c r="E96" s="289"/>
      <c r="F96" s="249"/>
      <c r="G96" s="249"/>
      <c r="H96" s="289"/>
      <c r="I96" s="249"/>
      <c r="J96" s="249"/>
      <c r="K96" s="289"/>
      <c r="L96" s="249"/>
      <c r="M96" s="249"/>
      <c r="N96" s="289"/>
      <c r="O96" s="249"/>
      <c r="P96" s="249"/>
      <c r="Q96" s="289"/>
      <c r="R96" s="249"/>
      <c r="S96" s="249"/>
      <c r="T96" s="289"/>
      <c r="U96" s="249"/>
      <c r="V96" s="249"/>
      <c r="W96" s="289"/>
      <c r="X96" s="249"/>
      <c r="Y96" s="249"/>
      <c r="Z96" s="289"/>
      <c r="AA96" s="249"/>
      <c r="AB96" s="249"/>
      <c r="AC96" s="289"/>
      <c r="AD96" s="289"/>
      <c r="AE96" s="289"/>
      <c r="AF96" s="289"/>
      <c r="AG96" s="289"/>
      <c r="AH96" s="249"/>
      <c r="AI96" s="249"/>
      <c r="AJ96" s="289"/>
      <c r="AK96" s="249"/>
    </row>
    <row r="97" spans="1:3" s="53" customFormat="1" x14ac:dyDescent="0.2">
      <c r="A97" s="262" t="s">
        <v>352</v>
      </c>
      <c r="B97" s="283">
        <v>16.416</v>
      </c>
      <c r="C97" s="264" t="s">
        <v>224</v>
      </c>
    </row>
    <row r="98" spans="1:3" s="53" customFormat="1" ht="15" x14ac:dyDescent="0.2">
      <c r="A98" s="517" t="s">
        <v>5</v>
      </c>
      <c r="B98" s="517"/>
      <c r="C98" s="517"/>
    </row>
    <row r="99" spans="1:3" s="53" customFormat="1" x14ac:dyDescent="0.2">
      <c r="A99" s="262" t="s">
        <v>358</v>
      </c>
      <c r="B99" s="284">
        <v>10</v>
      </c>
      <c r="C99" s="267" t="s">
        <v>359</v>
      </c>
    </row>
    <row r="100" spans="1:3" s="53" customFormat="1" x14ac:dyDescent="0.2">
      <c r="A100" s="262" t="s">
        <v>360</v>
      </c>
      <c r="B100" s="284">
        <v>20</v>
      </c>
      <c r="C100" s="267" t="s">
        <v>359</v>
      </c>
    </row>
    <row r="101" spans="1:3" s="53" customFormat="1" x14ac:dyDescent="0.2">
      <c r="A101" s="262" t="s">
        <v>305</v>
      </c>
      <c r="B101" s="283">
        <v>0.05</v>
      </c>
      <c r="C101" s="262" t="s">
        <v>361</v>
      </c>
    </row>
    <row r="102" spans="1:3" s="53" customFormat="1" x14ac:dyDescent="0.2">
      <c r="A102" s="262" t="s">
        <v>306</v>
      </c>
      <c r="B102" s="283">
        <v>0.05</v>
      </c>
      <c r="C102" s="262" t="s">
        <v>361</v>
      </c>
    </row>
    <row r="103" spans="1:3" s="53" customFormat="1" x14ac:dyDescent="0.2">
      <c r="A103" s="262" t="s">
        <v>362</v>
      </c>
      <c r="B103" s="284">
        <v>200</v>
      </c>
      <c r="C103" s="263" t="s">
        <v>54</v>
      </c>
    </row>
    <row r="104" spans="1:3" s="53" customFormat="1" x14ac:dyDescent="0.2">
      <c r="A104" s="262" t="s">
        <v>363</v>
      </c>
      <c r="B104" s="284">
        <v>100</v>
      </c>
      <c r="C104" s="263" t="s">
        <v>54</v>
      </c>
    </row>
    <row r="105" spans="1:3" s="53" customFormat="1" x14ac:dyDescent="0.2">
      <c r="A105" s="249" t="s">
        <v>187</v>
      </c>
      <c r="B105" s="284">
        <v>1</v>
      </c>
      <c r="C105" s="249" t="s">
        <v>254</v>
      </c>
    </row>
    <row r="106" spans="1:3" s="53" customFormat="1" x14ac:dyDescent="0.2">
      <c r="A106" s="249" t="s">
        <v>188</v>
      </c>
      <c r="B106" s="284">
        <v>1</v>
      </c>
      <c r="C106" s="249" t="s">
        <v>254</v>
      </c>
    </row>
    <row r="107" spans="1:3" s="53" customFormat="1" x14ac:dyDescent="0.2">
      <c r="A107" s="94" t="s">
        <v>373</v>
      </c>
      <c r="B107" s="283">
        <v>6</v>
      </c>
      <c r="C107" s="270" t="s">
        <v>69</v>
      </c>
    </row>
    <row r="108" spans="1:3" s="53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53" customFormat="1" x14ac:dyDescent="0.2">
      <c r="A109" s="94" t="s">
        <v>59</v>
      </c>
      <c r="B109" s="283">
        <v>26</v>
      </c>
      <c r="C109" s="270" t="s">
        <v>69</v>
      </c>
    </row>
    <row r="110" spans="1:3" s="53" customFormat="1" x14ac:dyDescent="0.2">
      <c r="A110" s="94" t="s">
        <v>371</v>
      </c>
      <c r="B110" s="107">
        <v>75</v>
      </c>
      <c r="C110" s="94" t="s">
        <v>26</v>
      </c>
    </row>
    <row r="111" spans="1:3" s="53" customFormat="1" x14ac:dyDescent="0.2">
      <c r="A111" s="94" t="s">
        <v>370</v>
      </c>
      <c r="B111" s="283">
        <v>75</v>
      </c>
      <c r="C111" s="94" t="s">
        <v>26</v>
      </c>
    </row>
    <row r="112" spans="1:3" s="53" customFormat="1" x14ac:dyDescent="0.2">
      <c r="A112" s="94" t="s">
        <v>157</v>
      </c>
      <c r="B112" s="283">
        <v>75</v>
      </c>
      <c r="C112" s="94" t="s">
        <v>26</v>
      </c>
    </row>
    <row r="113" spans="1:3" s="53" customFormat="1" x14ac:dyDescent="0.2">
      <c r="A113" s="94" t="s">
        <v>105</v>
      </c>
      <c r="B113" s="283">
        <v>1</v>
      </c>
      <c r="C113" s="92" t="s">
        <v>224</v>
      </c>
    </row>
    <row r="114" spans="1:3" s="53" customFormat="1" x14ac:dyDescent="0.2">
      <c r="A114" s="92" t="s">
        <v>368</v>
      </c>
      <c r="B114" s="284">
        <v>1</v>
      </c>
      <c r="C114" s="92" t="s">
        <v>224</v>
      </c>
    </row>
    <row r="115" spans="1:3" s="53" customFormat="1" x14ac:dyDescent="0.2">
      <c r="A115" s="92" t="s">
        <v>369</v>
      </c>
      <c r="B115" s="284">
        <v>1</v>
      </c>
      <c r="C115" s="92" t="s">
        <v>224</v>
      </c>
    </row>
    <row r="116" spans="1:3" s="53" customFormat="1" x14ac:dyDescent="0.2">
      <c r="A116" s="249" t="s">
        <v>366</v>
      </c>
      <c r="B116" s="284">
        <v>1</v>
      </c>
      <c r="C116" s="249" t="s">
        <v>104</v>
      </c>
    </row>
    <row r="117" spans="1:3" s="53" customFormat="1" x14ac:dyDescent="0.2">
      <c r="A117" s="249" t="s">
        <v>367</v>
      </c>
      <c r="B117" s="284">
        <v>1</v>
      </c>
      <c r="C117" s="249" t="s">
        <v>104</v>
      </c>
    </row>
    <row r="118" spans="1:3" s="53" customFormat="1" x14ac:dyDescent="0.2">
      <c r="A118" s="94" t="s">
        <v>364</v>
      </c>
      <c r="B118" s="284">
        <v>1</v>
      </c>
      <c r="C118" s="92" t="s">
        <v>98</v>
      </c>
    </row>
    <row r="119" spans="1:3" s="53" customFormat="1" x14ac:dyDescent="0.2">
      <c r="A119" s="94" t="s">
        <v>365</v>
      </c>
      <c r="B119" s="284">
        <v>1</v>
      </c>
      <c r="C119" s="92" t="s">
        <v>98</v>
      </c>
    </row>
    <row r="120" spans="1:3" s="53" customFormat="1" x14ac:dyDescent="0.2">
      <c r="A120" s="263" t="s">
        <v>192</v>
      </c>
      <c r="B120" s="283">
        <v>1</v>
      </c>
      <c r="C120" s="249" t="s">
        <v>283</v>
      </c>
    </row>
    <row r="121" spans="1:3" s="53" customFormat="1" x14ac:dyDescent="0.2">
      <c r="A121" s="263" t="s">
        <v>189</v>
      </c>
      <c r="B121" s="283">
        <v>1</v>
      </c>
      <c r="C121" s="249" t="s">
        <v>283</v>
      </c>
    </row>
    <row r="122" spans="1:3" s="53" customFormat="1" x14ac:dyDescent="0.2">
      <c r="A122" s="263" t="s">
        <v>190</v>
      </c>
      <c r="B122" s="283">
        <v>1</v>
      </c>
      <c r="C122" s="249" t="s">
        <v>47</v>
      </c>
    </row>
    <row r="123" spans="1:3" s="53" customFormat="1" x14ac:dyDescent="0.2">
      <c r="A123" s="263" t="s">
        <v>191</v>
      </c>
      <c r="B123" s="283">
        <v>1</v>
      </c>
      <c r="C123" s="249" t="s">
        <v>47</v>
      </c>
    </row>
    <row r="124" spans="1:3" s="53" customFormat="1" x14ac:dyDescent="0.2">
      <c r="A124" s="263" t="s">
        <v>199</v>
      </c>
      <c r="B124" s="283">
        <v>1</v>
      </c>
      <c r="C124" s="249" t="s">
        <v>30</v>
      </c>
    </row>
    <row r="125" spans="1:3" s="53" customFormat="1" x14ac:dyDescent="0.2">
      <c r="A125" s="249" t="s">
        <v>193</v>
      </c>
      <c r="B125" s="283">
        <v>1</v>
      </c>
      <c r="C125" s="249" t="s">
        <v>283</v>
      </c>
    </row>
    <row r="126" spans="1:3" s="53" customFormat="1" x14ac:dyDescent="0.2">
      <c r="A126" s="249" t="s">
        <v>196</v>
      </c>
      <c r="B126" s="283">
        <v>1</v>
      </c>
      <c r="C126" s="249" t="s">
        <v>283</v>
      </c>
    </row>
    <row r="127" spans="1:3" s="53" customFormat="1" x14ac:dyDescent="0.2">
      <c r="A127" s="268" t="s">
        <v>197</v>
      </c>
      <c r="B127" s="283">
        <v>1</v>
      </c>
      <c r="C127" s="249" t="s">
        <v>47</v>
      </c>
    </row>
    <row r="128" spans="1:3" s="53" customFormat="1" x14ac:dyDescent="0.2">
      <c r="A128" s="262" t="s">
        <v>198</v>
      </c>
      <c r="B128" s="283">
        <v>1</v>
      </c>
      <c r="C128" s="249" t="s">
        <v>47</v>
      </c>
    </row>
    <row r="129" spans="1:3" s="53" customFormat="1" x14ac:dyDescent="0.2">
      <c r="A129" s="263" t="s">
        <v>200</v>
      </c>
      <c r="B129" s="283">
        <v>1</v>
      </c>
      <c r="C129" s="249" t="s">
        <v>30</v>
      </c>
    </row>
    <row r="130" spans="1:3" s="53" customFormat="1" x14ac:dyDescent="0.2">
      <c r="A130" s="262" t="s">
        <v>255</v>
      </c>
      <c r="B130" s="284">
        <v>1</v>
      </c>
      <c r="C130" s="249"/>
    </row>
    <row r="131" spans="1:3" s="53" customFormat="1" x14ac:dyDescent="0.2">
      <c r="A131" s="249" t="s">
        <v>83</v>
      </c>
      <c r="B131" s="284">
        <v>0.5</v>
      </c>
      <c r="C131" s="249"/>
    </row>
    <row r="132" spans="1:3" s="53" customFormat="1" ht="15" x14ac:dyDescent="0.2">
      <c r="A132" s="518" t="s">
        <v>180</v>
      </c>
      <c r="B132" s="518"/>
      <c r="C132" s="518"/>
    </row>
    <row r="133" spans="1:3" s="53" customFormat="1" x14ac:dyDescent="0.2">
      <c r="A133" s="262" t="s">
        <v>374</v>
      </c>
      <c r="B133" s="283">
        <v>200</v>
      </c>
      <c r="C133" s="263" t="s">
        <v>54</v>
      </c>
    </row>
    <row r="134" spans="1:3" s="53" customFormat="1" x14ac:dyDescent="0.2">
      <c r="A134" s="262" t="s">
        <v>375</v>
      </c>
      <c r="B134" s="283">
        <v>100</v>
      </c>
      <c r="C134" s="263" t="s">
        <v>54</v>
      </c>
    </row>
    <row r="135" spans="1:3" s="53" customFormat="1" x14ac:dyDescent="0.2">
      <c r="A135" s="262" t="s">
        <v>376</v>
      </c>
      <c r="B135" s="283">
        <v>10</v>
      </c>
      <c r="C135" s="267" t="s">
        <v>359</v>
      </c>
    </row>
    <row r="136" spans="1:3" s="53" customFormat="1" x14ac:dyDescent="0.2">
      <c r="A136" s="262" t="s">
        <v>377</v>
      </c>
      <c r="B136" s="283">
        <v>20</v>
      </c>
      <c r="C136" s="267" t="s">
        <v>359</v>
      </c>
    </row>
    <row r="137" spans="1:3" s="53" customFormat="1" x14ac:dyDescent="0.2">
      <c r="A137" s="267" t="s">
        <v>378</v>
      </c>
      <c r="B137" s="284">
        <v>0.78</v>
      </c>
      <c r="C137" s="262" t="s">
        <v>30</v>
      </c>
    </row>
    <row r="138" spans="1:3" s="53" customFormat="1" x14ac:dyDescent="0.2">
      <c r="A138" s="267" t="s">
        <v>379</v>
      </c>
      <c r="B138" s="284">
        <v>2.5</v>
      </c>
      <c r="C138" s="262" t="s">
        <v>30</v>
      </c>
    </row>
    <row r="139" spans="1:3" s="53" customFormat="1" x14ac:dyDescent="0.2">
      <c r="A139" s="262" t="s">
        <v>380</v>
      </c>
      <c r="B139" s="283">
        <v>68.099999999999994</v>
      </c>
      <c r="C139" s="267" t="s">
        <v>254</v>
      </c>
    </row>
    <row r="140" spans="1:3" s="53" customFormat="1" x14ac:dyDescent="0.2">
      <c r="A140" s="262" t="s">
        <v>381</v>
      </c>
      <c r="B140" s="283">
        <v>176.8</v>
      </c>
      <c r="C140" s="267" t="s">
        <v>254</v>
      </c>
    </row>
    <row r="141" spans="1:3" s="53" customFormat="1" x14ac:dyDescent="0.2">
      <c r="A141" s="262" t="s">
        <v>382</v>
      </c>
      <c r="B141" s="283">
        <v>41.7</v>
      </c>
      <c r="C141" s="267" t="s">
        <v>254</v>
      </c>
    </row>
    <row r="142" spans="1:3" s="53" customFormat="1" x14ac:dyDescent="0.2">
      <c r="A142" s="262" t="s">
        <v>383</v>
      </c>
      <c r="B142" s="283">
        <v>125.7</v>
      </c>
      <c r="C142" s="267" t="s">
        <v>254</v>
      </c>
    </row>
    <row r="143" spans="1:3" s="53" customFormat="1" x14ac:dyDescent="0.2">
      <c r="A143" s="262" t="s">
        <v>479</v>
      </c>
      <c r="B143" s="283">
        <v>349.5</v>
      </c>
      <c r="C143" s="267" t="s">
        <v>254</v>
      </c>
    </row>
    <row r="144" spans="1:3" s="53" customFormat="1" x14ac:dyDescent="0.2">
      <c r="A144" s="262" t="s">
        <v>480</v>
      </c>
      <c r="B144" s="283">
        <v>445.6</v>
      </c>
      <c r="C144" s="267" t="s">
        <v>254</v>
      </c>
    </row>
    <row r="145" spans="1:3" s="53" customFormat="1" x14ac:dyDescent="0.2">
      <c r="A145" s="262" t="s">
        <v>481</v>
      </c>
      <c r="B145" s="283">
        <v>40.1</v>
      </c>
      <c r="C145" s="267" t="s">
        <v>254</v>
      </c>
    </row>
    <row r="146" spans="1:3" s="53" customFormat="1" x14ac:dyDescent="0.2">
      <c r="A146" s="262" t="s">
        <v>482</v>
      </c>
      <c r="B146" s="283">
        <v>178</v>
      </c>
      <c r="C146" s="267" t="s">
        <v>254</v>
      </c>
    </row>
    <row r="147" spans="1:3" s="53" customFormat="1" x14ac:dyDescent="0.2">
      <c r="A147" s="262" t="s">
        <v>326</v>
      </c>
      <c r="B147" s="283">
        <v>10.95</v>
      </c>
      <c r="C147" s="262" t="s">
        <v>254</v>
      </c>
    </row>
    <row r="148" spans="1:3" s="53" customFormat="1" x14ac:dyDescent="0.2">
      <c r="A148" s="262" t="s">
        <v>327</v>
      </c>
      <c r="B148" s="283">
        <v>53.4</v>
      </c>
      <c r="C148" s="262" t="s">
        <v>254</v>
      </c>
    </row>
    <row r="149" spans="1:3" s="53" customFormat="1" x14ac:dyDescent="0.2">
      <c r="A149" s="262" t="s">
        <v>483</v>
      </c>
      <c r="B149" s="283">
        <v>32.799999999999997</v>
      </c>
      <c r="C149" s="267" t="s">
        <v>254</v>
      </c>
    </row>
    <row r="150" spans="1:3" s="53" customFormat="1" x14ac:dyDescent="0.2">
      <c r="A150" s="262" t="s">
        <v>484</v>
      </c>
      <c r="B150" s="283">
        <v>155.4</v>
      </c>
      <c r="C150" s="267" t="s">
        <v>254</v>
      </c>
    </row>
    <row r="151" spans="1:3" s="53" customFormat="1" x14ac:dyDescent="0.2">
      <c r="A151" s="262" t="s">
        <v>324</v>
      </c>
      <c r="B151" s="283">
        <v>23.6</v>
      </c>
      <c r="C151" s="262" t="s">
        <v>254</v>
      </c>
    </row>
    <row r="152" spans="1:3" s="53" customFormat="1" x14ac:dyDescent="0.2">
      <c r="A152" s="262" t="s">
        <v>325</v>
      </c>
      <c r="B152" s="283">
        <v>106.6</v>
      </c>
      <c r="C152" s="262" t="s">
        <v>254</v>
      </c>
    </row>
    <row r="153" spans="1:3" s="53" customFormat="1" x14ac:dyDescent="0.2">
      <c r="A153" s="262" t="s">
        <v>328</v>
      </c>
      <c r="B153" s="283">
        <v>18.5</v>
      </c>
      <c r="C153" s="262" t="s">
        <v>254</v>
      </c>
    </row>
    <row r="154" spans="1:3" s="53" customFormat="1" x14ac:dyDescent="0.2">
      <c r="A154" s="262" t="s">
        <v>329</v>
      </c>
      <c r="B154" s="283">
        <v>97.9</v>
      </c>
      <c r="C154" s="262" t="s">
        <v>254</v>
      </c>
    </row>
    <row r="155" spans="1:3" s="53" customFormat="1" x14ac:dyDescent="0.2">
      <c r="A155" s="262" t="s">
        <v>384</v>
      </c>
      <c r="B155" s="284">
        <v>6</v>
      </c>
      <c r="C155" s="93" t="s">
        <v>69</v>
      </c>
    </row>
    <row r="156" spans="1:3" s="53" customFormat="1" x14ac:dyDescent="0.2">
      <c r="A156" s="262" t="s">
        <v>385</v>
      </c>
      <c r="B156" s="284">
        <v>34</v>
      </c>
      <c r="C156" s="93" t="s">
        <v>69</v>
      </c>
    </row>
    <row r="157" spans="1:3" s="53" customFormat="1" x14ac:dyDescent="0.2">
      <c r="A157" s="262" t="s">
        <v>386</v>
      </c>
      <c r="B157" s="284">
        <v>40</v>
      </c>
      <c r="C157" s="93" t="s">
        <v>69</v>
      </c>
    </row>
    <row r="158" spans="1:3" s="53" customFormat="1" x14ac:dyDescent="0.2">
      <c r="A158" s="262" t="s">
        <v>387</v>
      </c>
      <c r="B158" s="284">
        <v>350</v>
      </c>
      <c r="C158" s="262" t="s">
        <v>26</v>
      </c>
    </row>
    <row r="159" spans="1:3" s="53" customFormat="1" x14ac:dyDescent="0.2">
      <c r="A159" s="262" t="s">
        <v>388</v>
      </c>
      <c r="B159" s="284">
        <v>350</v>
      </c>
      <c r="C159" s="262" t="s">
        <v>26</v>
      </c>
    </row>
    <row r="160" spans="1:3" s="53" customFormat="1" x14ac:dyDescent="0.2">
      <c r="A160" s="262" t="s">
        <v>389</v>
      </c>
      <c r="B160" s="283">
        <v>24</v>
      </c>
      <c r="C160" s="263" t="s">
        <v>224</v>
      </c>
    </row>
    <row r="161" spans="1:3" s="53" customFormat="1" x14ac:dyDescent="0.2">
      <c r="A161" s="262" t="s">
        <v>390</v>
      </c>
      <c r="B161" s="283">
        <v>24</v>
      </c>
      <c r="C161" s="263" t="s">
        <v>224</v>
      </c>
    </row>
    <row r="162" spans="1:3" s="53" customFormat="1" x14ac:dyDescent="0.2">
      <c r="A162" s="262" t="s">
        <v>396</v>
      </c>
      <c r="B162" s="283">
        <v>24</v>
      </c>
      <c r="C162" s="263" t="s">
        <v>224</v>
      </c>
    </row>
    <row r="163" spans="1:3" s="53" customFormat="1" x14ac:dyDescent="0.2">
      <c r="A163" s="249" t="s">
        <v>393</v>
      </c>
      <c r="B163" s="283">
        <v>0.54</v>
      </c>
      <c r="C163" s="267" t="s">
        <v>395</v>
      </c>
    </row>
    <row r="164" spans="1:3" s="53" customFormat="1" x14ac:dyDescent="0.2">
      <c r="A164" s="249" t="s">
        <v>394</v>
      </c>
      <c r="B164" s="283">
        <v>0.71</v>
      </c>
      <c r="C164" s="267" t="s">
        <v>395</v>
      </c>
    </row>
    <row r="165" spans="1:3" s="53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53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53" customFormat="1" x14ac:dyDescent="0.2">
      <c r="A167" s="262" t="s">
        <v>397</v>
      </c>
      <c r="B167" s="283">
        <v>1</v>
      </c>
      <c r="C167" s="267" t="s">
        <v>166</v>
      </c>
    </row>
    <row r="168" spans="1:3" s="53" customFormat="1" x14ac:dyDescent="0.2">
      <c r="A168" s="262" t="s">
        <v>398</v>
      </c>
      <c r="B168" s="283">
        <v>1</v>
      </c>
      <c r="C168" s="267" t="s">
        <v>166</v>
      </c>
    </row>
    <row r="169" spans="1:3" s="53" customFormat="1" x14ac:dyDescent="0.2">
      <c r="A169" s="262" t="s">
        <v>103</v>
      </c>
      <c r="B169" s="283">
        <v>0.4</v>
      </c>
      <c r="C169" s="247"/>
    </row>
    <row r="170" spans="1:3" s="53" customFormat="1" x14ac:dyDescent="0.2">
      <c r="A170" s="262" t="s">
        <v>158</v>
      </c>
      <c r="B170" s="283">
        <v>0.4</v>
      </c>
      <c r="C170" s="247"/>
    </row>
    <row r="171" spans="1:3" s="53" customFormat="1" x14ac:dyDescent="0.2">
      <c r="A171" s="262" t="s">
        <v>159</v>
      </c>
      <c r="B171" s="283">
        <v>1</v>
      </c>
      <c r="C171" s="247"/>
    </row>
    <row r="172" spans="1:3" s="53" customFormat="1" x14ac:dyDescent="0.2">
      <c r="A172" s="262" t="s">
        <v>62</v>
      </c>
      <c r="B172" s="283">
        <v>1</v>
      </c>
      <c r="C172" s="247"/>
    </row>
    <row r="173" spans="1:3" s="53" customFormat="1" x14ac:dyDescent="0.2">
      <c r="A173" s="262" t="s">
        <v>255</v>
      </c>
      <c r="B173" s="284">
        <v>1</v>
      </c>
      <c r="C173" s="247"/>
    </row>
    <row r="174" spans="1:3" s="53" customFormat="1" x14ac:dyDescent="0.2">
      <c r="A174" s="267" t="s">
        <v>399</v>
      </c>
      <c r="B174" s="283">
        <v>1</v>
      </c>
      <c r="C174" s="247"/>
    </row>
    <row r="175" spans="1:3" s="53" customFormat="1" x14ac:dyDescent="0.2">
      <c r="A175" s="267" t="s">
        <v>400</v>
      </c>
      <c r="B175" s="283">
        <v>1</v>
      </c>
      <c r="C175" s="247"/>
    </row>
    <row r="176" spans="1:3" s="53" customFormat="1" x14ac:dyDescent="0.2">
      <c r="A176" s="267" t="s">
        <v>401</v>
      </c>
      <c r="B176" s="283">
        <v>1</v>
      </c>
      <c r="C176" s="247"/>
    </row>
    <row r="177" spans="1:3" s="53" customFormat="1" x14ac:dyDescent="0.2">
      <c r="A177" s="267" t="s">
        <v>402</v>
      </c>
      <c r="B177" s="283">
        <v>1</v>
      </c>
      <c r="C177" s="247"/>
    </row>
    <row r="178" spans="1:3" s="53" customFormat="1" x14ac:dyDescent="0.2">
      <c r="A178" s="267" t="s">
        <v>403</v>
      </c>
      <c r="B178" s="283">
        <v>1</v>
      </c>
      <c r="C178" s="247"/>
    </row>
    <row r="179" spans="1:3" s="53" customFormat="1" x14ac:dyDescent="0.2">
      <c r="A179" s="267" t="s">
        <v>404</v>
      </c>
      <c r="B179" s="283">
        <v>1</v>
      </c>
      <c r="C179" s="247"/>
    </row>
    <row r="180" spans="1:3" s="53" customFormat="1" x14ac:dyDescent="0.2">
      <c r="A180" s="267" t="s">
        <v>405</v>
      </c>
      <c r="B180" s="284">
        <v>1</v>
      </c>
      <c r="C180" s="247"/>
    </row>
    <row r="181" spans="1:3" s="53" customFormat="1" x14ac:dyDescent="0.2">
      <c r="A181" s="262" t="s">
        <v>41</v>
      </c>
      <c r="B181" s="284">
        <v>3.62</v>
      </c>
      <c r="C181" s="249" t="s">
        <v>42</v>
      </c>
    </row>
    <row r="182" spans="1:3" s="53" customFormat="1" x14ac:dyDescent="0.2">
      <c r="A182" s="262" t="s">
        <v>46</v>
      </c>
      <c r="B182" s="284">
        <v>0.25</v>
      </c>
      <c r="C182" s="249" t="s">
        <v>47</v>
      </c>
    </row>
    <row r="183" spans="1:3" s="53" customFormat="1" x14ac:dyDescent="0.2">
      <c r="A183" s="267" t="s">
        <v>60</v>
      </c>
      <c r="B183" s="284">
        <v>10950</v>
      </c>
      <c r="C183" s="249" t="s">
        <v>61</v>
      </c>
    </row>
    <row r="184" spans="1:3" s="53" customFormat="1" x14ac:dyDescent="0.2">
      <c r="A184" s="267" t="s">
        <v>65</v>
      </c>
      <c r="B184" s="284">
        <v>240</v>
      </c>
      <c r="C184" s="249" t="s">
        <v>66</v>
      </c>
    </row>
    <row r="185" spans="1:3" s="53" customFormat="1" x14ac:dyDescent="0.2">
      <c r="A185" s="267" t="s">
        <v>76</v>
      </c>
      <c r="B185" s="284">
        <v>0.42</v>
      </c>
      <c r="C185" s="249" t="s">
        <v>47</v>
      </c>
    </row>
    <row r="186" spans="1:3" s="53" customFormat="1" x14ac:dyDescent="0.2">
      <c r="A186" s="267" t="s">
        <v>85</v>
      </c>
      <c r="B186" s="284">
        <v>60</v>
      </c>
      <c r="C186" s="262" t="s">
        <v>61</v>
      </c>
    </row>
    <row r="187" spans="1:3" s="53" customFormat="1" x14ac:dyDescent="0.2">
      <c r="A187" s="267" t="s">
        <v>87</v>
      </c>
      <c r="B187" s="284">
        <v>2</v>
      </c>
      <c r="C187" s="262" t="s">
        <v>66</v>
      </c>
    </row>
    <row r="188" spans="1:3" s="53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53" customFormat="1" x14ac:dyDescent="0.2">
      <c r="A189" s="267" t="s">
        <v>91</v>
      </c>
      <c r="B189" s="284">
        <v>1</v>
      </c>
      <c r="C189" s="249" t="s">
        <v>47</v>
      </c>
    </row>
    <row r="190" spans="1:3" s="53" customFormat="1" x14ac:dyDescent="0.2">
      <c r="A190" s="267" t="s">
        <v>92</v>
      </c>
      <c r="B190" s="284">
        <v>14</v>
      </c>
      <c r="C190" s="249" t="s">
        <v>93</v>
      </c>
    </row>
    <row r="191" spans="1:3" s="53" customFormat="1" x14ac:dyDescent="0.2">
      <c r="A191" s="262" t="s">
        <v>29</v>
      </c>
      <c r="B191" s="284">
        <v>92</v>
      </c>
      <c r="C191" s="262" t="s">
        <v>30</v>
      </c>
    </row>
    <row r="192" spans="1:3" s="53" customFormat="1" x14ac:dyDescent="0.2">
      <c r="A192" s="249" t="s">
        <v>287</v>
      </c>
      <c r="B192" s="283">
        <v>1.03</v>
      </c>
      <c r="C192" s="249" t="s">
        <v>288</v>
      </c>
    </row>
    <row r="193" spans="1:3" s="53" customFormat="1" x14ac:dyDescent="0.2">
      <c r="A193" s="262" t="s">
        <v>406</v>
      </c>
      <c r="B193" s="284">
        <v>20.3</v>
      </c>
      <c r="C193" s="249" t="s">
        <v>283</v>
      </c>
    </row>
    <row r="194" spans="1:3" s="53" customFormat="1" x14ac:dyDescent="0.2">
      <c r="A194" s="262" t="s">
        <v>407</v>
      </c>
      <c r="B194" s="284">
        <v>0.4</v>
      </c>
      <c r="C194" s="249" t="s">
        <v>283</v>
      </c>
    </row>
    <row r="195" spans="1:3" s="53" customFormat="1" x14ac:dyDescent="0.2">
      <c r="A195" s="262" t="s">
        <v>408</v>
      </c>
      <c r="B195" s="284">
        <v>1</v>
      </c>
      <c r="C195" s="247"/>
    </row>
    <row r="196" spans="1:3" s="53" customFormat="1" x14ac:dyDescent="0.2">
      <c r="A196" s="262" t="s">
        <v>409</v>
      </c>
      <c r="B196" s="284">
        <v>1</v>
      </c>
      <c r="C196" s="247"/>
    </row>
    <row r="197" spans="1:3" s="53" customFormat="1" x14ac:dyDescent="0.2">
      <c r="A197" s="262" t="s">
        <v>31</v>
      </c>
      <c r="B197" s="284">
        <v>53</v>
      </c>
      <c r="C197" s="262" t="s">
        <v>30</v>
      </c>
    </row>
    <row r="198" spans="1:3" s="53" customFormat="1" x14ac:dyDescent="0.2">
      <c r="A198" s="262" t="s">
        <v>410</v>
      </c>
      <c r="B198" s="284">
        <v>11.77</v>
      </c>
      <c r="C198" s="249" t="s">
        <v>283</v>
      </c>
    </row>
    <row r="199" spans="1:3" s="53" customFormat="1" x14ac:dyDescent="0.2">
      <c r="A199" s="262" t="s">
        <v>411</v>
      </c>
      <c r="B199" s="284">
        <v>0.5</v>
      </c>
      <c r="C199" s="249" t="s">
        <v>283</v>
      </c>
    </row>
    <row r="200" spans="1:3" s="53" customFormat="1" x14ac:dyDescent="0.2">
      <c r="A200" s="262" t="s">
        <v>412</v>
      </c>
      <c r="B200" s="284">
        <v>1</v>
      </c>
      <c r="C200" s="247"/>
    </row>
    <row r="201" spans="1:3" s="53" customFormat="1" x14ac:dyDescent="0.2">
      <c r="A201" s="262" t="s">
        <v>413</v>
      </c>
      <c r="B201" s="284">
        <v>1</v>
      </c>
      <c r="C201" s="247"/>
    </row>
    <row r="202" spans="1:3" s="53" customFormat="1" x14ac:dyDescent="0.2">
      <c r="A202" s="262" t="s">
        <v>173</v>
      </c>
      <c r="B202" s="283">
        <v>0.4</v>
      </c>
      <c r="C202" s="262" t="s">
        <v>30</v>
      </c>
    </row>
    <row r="203" spans="1:3" s="53" customFormat="1" x14ac:dyDescent="0.2">
      <c r="A203" s="262" t="s">
        <v>177</v>
      </c>
      <c r="B203" s="284">
        <v>0.2</v>
      </c>
      <c r="C203" s="249" t="s">
        <v>283</v>
      </c>
    </row>
    <row r="204" spans="1:3" s="53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53" customFormat="1" x14ac:dyDescent="0.2">
      <c r="A205" s="262" t="s">
        <v>178</v>
      </c>
      <c r="B205" s="283">
        <v>1</v>
      </c>
      <c r="C205" s="247"/>
    </row>
    <row r="206" spans="1:3" s="53" customFormat="1" x14ac:dyDescent="0.2">
      <c r="A206" s="262" t="s">
        <v>179</v>
      </c>
      <c r="B206" s="283">
        <v>1</v>
      </c>
      <c r="C206" s="247"/>
    </row>
    <row r="207" spans="1:3" s="53" customFormat="1" x14ac:dyDescent="0.2">
      <c r="A207" s="262" t="s">
        <v>414</v>
      </c>
      <c r="B207" s="283">
        <v>0.4</v>
      </c>
      <c r="C207" s="262" t="s">
        <v>30</v>
      </c>
    </row>
    <row r="208" spans="1:3" s="53" customFormat="1" x14ac:dyDescent="0.2">
      <c r="A208" s="262" t="s">
        <v>415</v>
      </c>
      <c r="B208" s="284">
        <v>0.2</v>
      </c>
      <c r="C208" s="249" t="s">
        <v>283</v>
      </c>
    </row>
    <row r="209" spans="1:3" s="53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53" customFormat="1" x14ac:dyDescent="0.2">
      <c r="A210" s="262" t="s">
        <v>417</v>
      </c>
      <c r="B210" s="284">
        <v>1</v>
      </c>
      <c r="C210" s="247"/>
    </row>
    <row r="211" spans="1:3" s="53" customFormat="1" x14ac:dyDescent="0.2">
      <c r="A211" s="262" t="s">
        <v>418</v>
      </c>
      <c r="B211" s="284">
        <v>1</v>
      </c>
      <c r="C211" s="247"/>
    </row>
    <row r="212" spans="1:3" s="53" customFormat="1" x14ac:dyDescent="0.2">
      <c r="A212" s="262" t="s">
        <v>174</v>
      </c>
      <c r="B212" s="284">
        <v>11.4</v>
      </c>
      <c r="C212" s="262" t="s">
        <v>30</v>
      </c>
    </row>
    <row r="213" spans="1:3" s="53" customFormat="1" x14ac:dyDescent="0.2">
      <c r="A213" s="262" t="s">
        <v>419</v>
      </c>
      <c r="B213" s="284">
        <v>4.7</v>
      </c>
      <c r="C213" s="249" t="s">
        <v>283</v>
      </c>
    </row>
    <row r="214" spans="1:3" s="53" customFormat="1" x14ac:dyDescent="0.2">
      <c r="A214" s="262" t="s">
        <v>420</v>
      </c>
      <c r="B214" s="284">
        <v>0.37</v>
      </c>
      <c r="C214" s="249" t="s">
        <v>283</v>
      </c>
    </row>
    <row r="215" spans="1:3" s="53" customFormat="1" x14ac:dyDescent="0.2">
      <c r="A215" s="262" t="s">
        <v>421</v>
      </c>
      <c r="B215" s="284">
        <v>1</v>
      </c>
      <c r="C215" s="247"/>
    </row>
    <row r="216" spans="1:3" s="53" customFormat="1" x14ac:dyDescent="0.2">
      <c r="A216" s="262" t="s">
        <v>422</v>
      </c>
      <c r="B216" s="284">
        <v>1</v>
      </c>
      <c r="C216" s="247"/>
    </row>
    <row r="217" spans="1:3" s="53" customFormat="1" x14ac:dyDescent="0.2">
      <c r="A217" s="249" t="s">
        <v>83</v>
      </c>
      <c r="B217" s="284">
        <v>0.5</v>
      </c>
      <c r="C217" s="249"/>
    </row>
    <row r="218" spans="1:3" s="53" customFormat="1" x14ac:dyDescent="0.2">
      <c r="A218" s="558" t="s">
        <v>423</v>
      </c>
      <c r="B218" s="558"/>
      <c r="C218" s="558"/>
    </row>
    <row r="219" spans="1:3" s="53" customFormat="1" x14ac:dyDescent="0.2">
      <c r="A219" s="249" t="s">
        <v>424</v>
      </c>
      <c r="B219" s="283">
        <v>60</v>
      </c>
      <c r="C219" s="263" t="s">
        <v>359</v>
      </c>
    </row>
    <row r="220" spans="1:3" s="53" customFormat="1" x14ac:dyDescent="0.2">
      <c r="A220" s="262" t="s">
        <v>425</v>
      </c>
      <c r="B220" s="283">
        <v>250</v>
      </c>
      <c r="C220" s="249" t="s">
        <v>26</v>
      </c>
    </row>
    <row r="221" spans="1:3" s="53" customFormat="1" x14ac:dyDescent="0.2">
      <c r="A221" s="262" t="s">
        <v>75</v>
      </c>
      <c r="B221" s="284">
        <v>25</v>
      </c>
      <c r="C221" s="249" t="s">
        <v>69</v>
      </c>
    </row>
    <row r="222" spans="1:3" s="53" customFormat="1" x14ac:dyDescent="0.2">
      <c r="A222" s="262" t="s">
        <v>426</v>
      </c>
      <c r="B222" s="283">
        <v>100</v>
      </c>
      <c r="C222" s="263" t="s">
        <v>54</v>
      </c>
    </row>
    <row r="223" spans="1:3" s="53" customFormat="1" x14ac:dyDescent="0.2">
      <c r="A223" s="249" t="s">
        <v>353</v>
      </c>
      <c r="B223" s="284">
        <v>1</v>
      </c>
      <c r="C223" s="247"/>
    </row>
    <row r="224" spans="1:3" s="53" customFormat="1" x14ac:dyDescent="0.2">
      <c r="A224" s="262" t="s">
        <v>56</v>
      </c>
      <c r="B224" s="284">
        <v>1</v>
      </c>
      <c r="C224" s="247"/>
    </row>
    <row r="225" spans="1:3" s="53" customFormat="1" x14ac:dyDescent="0.2">
      <c r="A225" s="262" t="s">
        <v>52</v>
      </c>
      <c r="B225" s="284">
        <v>0.4</v>
      </c>
      <c r="C225" s="247"/>
    </row>
    <row r="226" spans="1:3" s="53" customFormat="1" x14ac:dyDescent="0.2">
      <c r="A226" s="262" t="s">
        <v>62</v>
      </c>
      <c r="B226" s="284">
        <v>1</v>
      </c>
      <c r="C226" s="247"/>
    </row>
    <row r="227" spans="1:3" s="53" customFormat="1" x14ac:dyDescent="0.2">
      <c r="A227" s="262" t="s">
        <v>467</v>
      </c>
      <c r="B227" s="283">
        <v>4</v>
      </c>
      <c r="C227" s="249" t="s">
        <v>224</v>
      </c>
    </row>
    <row r="228" spans="1:3" s="53" customFormat="1" x14ac:dyDescent="0.2">
      <c r="A228" s="262" t="s">
        <v>468</v>
      </c>
      <c r="B228" s="283">
        <v>4</v>
      </c>
      <c r="C228" s="249" t="s">
        <v>224</v>
      </c>
    </row>
    <row r="229" spans="1:3" s="53" customFormat="1" x14ac:dyDescent="0.2">
      <c r="A229" s="262" t="s">
        <v>103</v>
      </c>
      <c r="B229" s="283">
        <v>0.4</v>
      </c>
      <c r="C229" s="247"/>
    </row>
    <row r="230" spans="1:3" s="53" customFormat="1" x14ac:dyDescent="0.2">
      <c r="A230" s="558" t="s">
        <v>427</v>
      </c>
      <c r="B230" s="558"/>
      <c r="C230" s="558"/>
    </row>
    <row r="231" spans="1:3" s="53" customFormat="1" x14ac:dyDescent="0.2">
      <c r="A231" s="249" t="s">
        <v>428</v>
      </c>
      <c r="B231" s="283">
        <v>60</v>
      </c>
      <c r="C231" s="263" t="s">
        <v>359</v>
      </c>
    </row>
    <row r="232" spans="1:3" s="53" customFormat="1" x14ac:dyDescent="0.2">
      <c r="A232" s="262" t="s">
        <v>40</v>
      </c>
      <c r="B232" s="283">
        <v>250</v>
      </c>
      <c r="C232" s="249" t="s">
        <v>26</v>
      </c>
    </row>
    <row r="233" spans="1:3" s="53" customFormat="1" x14ac:dyDescent="0.2">
      <c r="A233" s="262" t="s">
        <v>429</v>
      </c>
      <c r="B233" s="284">
        <v>25</v>
      </c>
      <c r="C233" s="249" t="s">
        <v>69</v>
      </c>
    </row>
    <row r="234" spans="1:3" s="53" customFormat="1" x14ac:dyDescent="0.2">
      <c r="A234" s="262" t="s">
        <v>79</v>
      </c>
      <c r="B234" s="283">
        <v>50</v>
      </c>
      <c r="C234" s="263" t="s">
        <v>54</v>
      </c>
    </row>
    <row r="235" spans="1:3" s="53" customFormat="1" x14ac:dyDescent="0.2">
      <c r="A235" s="249" t="s">
        <v>353</v>
      </c>
      <c r="B235" s="284">
        <v>1</v>
      </c>
      <c r="C235" s="247"/>
    </row>
    <row r="236" spans="1:3" s="53" customFormat="1" x14ac:dyDescent="0.2">
      <c r="A236" s="262" t="s">
        <v>56</v>
      </c>
      <c r="B236" s="284">
        <v>1</v>
      </c>
      <c r="C236" s="247"/>
    </row>
    <row r="237" spans="1:3" s="53" customFormat="1" x14ac:dyDescent="0.2">
      <c r="A237" s="262" t="s">
        <v>52</v>
      </c>
      <c r="B237" s="284">
        <v>0.4</v>
      </c>
      <c r="C237" s="247"/>
    </row>
    <row r="238" spans="1:3" s="53" customFormat="1" x14ac:dyDescent="0.2">
      <c r="A238" s="262" t="s">
        <v>62</v>
      </c>
      <c r="B238" s="284">
        <v>1</v>
      </c>
      <c r="C238" s="247"/>
    </row>
    <row r="239" spans="1:3" s="53" customFormat="1" x14ac:dyDescent="0.2">
      <c r="A239" s="262" t="s">
        <v>469</v>
      </c>
      <c r="B239" s="283">
        <v>0</v>
      </c>
      <c r="C239" s="249" t="s">
        <v>224</v>
      </c>
    </row>
    <row r="240" spans="1:3" s="53" customFormat="1" x14ac:dyDescent="0.2">
      <c r="A240" s="262" t="s">
        <v>470</v>
      </c>
      <c r="B240" s="283">
        <v>8</v>
      </c>
      <c r="C240" s="249" t="s">
        <v>224</v>
      </c>
    </row>
    <row r="241" spans="1:3" s="53" customFormat="1" x14ac:dyDescent="0.2">
      <c r="A241" s="262" t="s">
        <v>103</v>
      </c>
      <c r="B241" s="283">
        <v>0.4</v>
      </c>
      <c r="C241" s="247"/>
    </row>
    <row r="242" spans="1:3" s="53" customFormat="1" x14ac:dyDescent="0.2">
      <c r="A242" s="558" t="s">
        <v>430</v>
      </c>
      <c r="B242" s="558"/>
      <c r="C242" s="558"/>
    </row>
    <row r="243" spans="1:3" s="53" customFormat="1" x14ac:dyDescent="0.2">
      <c r="A243" s="249" t="s">
        <v>58</v>
      </c>
      <c r="B243" s="283">
        <v>60</v>
      </c>
      <c r="C243" s="263" t="s">
        <v>359</v>
      </c>
    </row>
    <row r="244" spans="1:3" s="53" customFormat="1" x14ac:dyDescent="0.2">
      <c r="A244" s="262" t="s">
        <v>431</v>
      </c>
      <c r="B244" s="283">
        <v>225</v>
      </c>
      <c r="C244" s="249" t="s">
        <v>26</v>
      </c>
    </row>
    <row r="245" spans="1:3" s="53" customFormat="1" x14ac:dyDescent="0.2">
      <c r="A245" s="262" t="s">
        <v>432</v>
      </c>
      <c r="B245" s="284">
        <v>25</v>
      </c>
      <c r="C245" s="249" t="s">
        <v>69</v>
      </c>
    </row>
    <row r="246" spans="1:3" s="53" customFormat="1" x14ac:dyDescent="0.2">
      <c r="A246" s="262" t="s">
        <v>433</v>
      </c>
      <c r="B246" s="283">
        <v>100</v>
      </c>
      <c r="C246" s="263" t="s">
        <v>54</v>
      </c>
    </row>
    <row r="247" spans="1:3" s="53" customFormat="1" x14ac:dyDescent="0.2">
      <c r="A247" s="249" t="s">
        <v>353</v>
      </c>
      <c r="B247" s="284">
        <v>1</v>
      </c>
      <c r="C247" s="247"/>
    </row>
    <row r="248" spans="1:3" s="53" customFormat="1" x14ac:dyDescent="0.2">
      <c r="A248" s="262" t="s">
        <v>56</v>
      </c>
      <c r="B248" s="284">
        <v>1</v>
      </c>
      <c r="C248" s="247"/>
    </row>
    <row r="249" spans="1:3" s="53" customFormat="1" x14ac:dyDescent="0.2">
      <c r="A249" s="262" t="s">
        <v>52</v>
      </c>
      <c r="B249" s="284">
        <v>0.4</v>
      </c>
      <c r="C249" s="247"/>
    </row>
    <row r="250" spans="1:3" s="53" customFormat="1" x14ac:dyDescent="0.2">
      <c r="A250" s="262" t="s">
        <v>62</v>
      </c>
      <c r="B250" s="284">
        <v>1</v>
      </c>
      <c r="C250" s="247"/>
    </row>
    <row r="251" spans="1:3" s="53" customFormat="1" x14ac:dyDescent="0.2">
      <c r="A251" s="262" t="s">
        <v>466</v>
      </c>
      <c r="B251" s="283">
        <v>8</v>
      </c>
      <c r="C251" s="249" t="s">
        <v>224</v>
      </c>
    </row>
    <row r="252" spans="1:3" s="53" customFormat="1" x14ac:dyDescent="0.2">
      <c r="A252" s="262" t="s">
        <v>465</v>
      </c>
      <c r="B252" s="283">
        <v>0</v>
      </c>
      <c r="C252" s="249" t="s">
        <v>224</v>
      </c>
    </row>
    <row r="253" spans="1:3" s="53" customFormat="1" x14ac:dyDescent="0.2">
      <c r="A253" s="262" t="s">
        <v>103</v>
      </c>
      <c r="B253" s="283">
        <v>0.4</v>
      </c>
      <c r="C253" s="247"/>
    </row>
    <row r="254" spans="1:3" s="53" customFormat="1" x14ac:dyDescent="0.2">
      <c r="A254" s="558" t="s">
        <v>434</v>
      </c>
      <c r="B254" s="558"/>
      <c r="C254" s="558"/>
    </row>
    <row r="255" spans="1:3" s="53" customFormat="1" x14ac:dyDescent="0.2">
      <c r="A255" s="249" t="s">
        <v>435</v>
      </c>
      <c r="B255" s="283">
        <v>60</v>
      </c>
      <c r="C255" s="263" t="s">
        <v>359</v>
      </c>
    </row>
    <row r="256" spans="1:3" s="53" customFormat="1" x14ac:dyDescent="0.2">
      <c r="A256" s="262" t="s">
        <v>221</v>
      </c>
      <c r="B256" s="283">
        <v>130</v>
      </c>
      <c r="C256" s="249" t="s">
        <v>26</v>
      </c>
    </row>
    <row r="257" spans="1:3" s="53" customFormat="1" x14ac:dyDescent="0.2">
      <c r="A257" s="262" t="s">
        <v>186</v>
      </c>
      <c r="B257" s="284">
        <v>1</v>
      </c>
      <c r="C257" s="249" t="s">
        <v>69</v>
      </c>
    </row>
    <row r="258" spans="1:3" s="53" customFormat="1" x14ac:dyDescent="0.2">
      <c r="A258" s="262" t="s">
        <v>436</v>
      </c>
      <c r="B258" s="283">
        <v>330</v>
      </c>
      <c r="C258" s="263" t="s">
        <v>54</v>
      </c>
    </row>
    <row r="259" spans="1:3" s="53" customFormat="1" x14ac:dyDescent="0.2">
      <c r="A259" s="249" t="s">
        <v>353</v>
      </c>
      <c r="B259" s="284">
        <v>1</v>
      </c>
      <c r="C259" s="247"/>
    </row>
    <row r="260" spans="1:3" s="53" customFormat="1" x14ac:dyDescent="0.2">
      <c r="A260" s="262" t="s">
        <v>56</v>
      </c>
      <c r="B260" s="284">
        <v>1</v>
      </c>
      <c r="C260" s="247"/>
    </row>
    <row r="261" spans="1:3" s="53" customFormat="1" x14ac:dyDescent="0.2">
      <c r="A261" s="262" t="s">
        <v>52</v>
      </c>
      <c r="B261" s="284">
        <v>0.4</v>
      </c>
      <c r="C261" s="247"/>
    </row>
    <row r="262" spans="1:3" s="53" customFormat="1" x14ac:dyDescent="0.2">
      <c r="A262" s="262" t="s">
        <v>62</v>
      </c>
      <c r="B262" s="284">
        <v>1</v>
      </c>
      <c r="C262" s="247"/>
    </row>
    <row r="263" spans="1:3" s="53" customFormat="1" x14ac:dyDescent="0.2">
      <c r="A263" s="262" t="s">
        <v>471</v>
      </c>
      <c r="B263" s="283">
        <v>8</v>
      </c>
      <c r="C263" s="249" t="s">
        <v>224</v>
      </c>
    </row>
    <row r="264" spans="1:3" s="53" customFormat="1" x14ac:dyDescent="0.2">
      <c r="A264" s="262" t="s">
        <v>472</v>
      </c>
      <c r="B264" s="283">
        <v>0</v>
      </c>
      <c r="C264" s="249" t="s">
        <v>224</v>
      </c>
    </row>
    <row r="265" spans="1:3" s="53" customFormat="1" x14ac:dyDescent="0.2">
      <c r="A265" s="262" t="s">
        <v>103</v>
      </c>
      <c r="B265" s="283">
        <v>0.4</v>
      </c>
      <c r="C265" s="247"/>
    </row>
    <row r="266" spans="1:3" s="53" customFormat="1" x14ac:dyDescent="0.2">
      <c r="A266" s="262" t="s">
        <v>220</v>
      </c>
      <c r="B266" s="283">
        <v>5</v>
      </c>
      <c r="C266" s="249" t="s">
        <v>129</v>
      </c>
    </row>
    <row r="267" spans="1:3" s="53" customFormat="1" x14ac:dyDescent="0.2">
      <c r="A267" s="262" t="s">
        <v>219</v>
      </c>
      <c r="B267" s="283">
        <v>26</v>
      </c>
      <c r="C267" s="249" t="s">
        <v>130</v>
      </c>
    </row>
    <row r="268" spans="1:3" s="53" customFormat="1" x14ac:dyDescent="0.2">
      <c r="A268" s="558" t="s">
        <v>437</v>
      </c>
      <c r="B268" s="558"/>
      <c r="C268" s="558"/>
    </row>
    <row r="269" spans="1:3" s="53" customFormat="1" x14ac:dyDescent="0.2">
      <c r="A269" s="249" t="s">
        <v>435</v>
      </c>
      <c r="B269" s="283">
        <v>60</v>
      </c>
      <c r="C269" s="263" t="s">
        <v>359</v>
      </c>
    </row>
    <row r="270" spans="1:3" s="53" customFormat="1" x14ac:dyDescent="0.2">
      <c r="A270" s="262" t="s">
        <v>221</v>
      </c>
      <c r="B270" s="283">
        <v>130</v>
      </c>
      <c r="C270" s="249" t="s">
        <v>26</v>
      </c>
    </row>
    <row r="271" spans="1:3" s="53" customFormat="1" x14ac:dyDescent="0.2">
      <c r="A271" s="262" t="s">
        <v>186</v>
      </c>
      <c r="B271" s="284">
        <v>1</v>
      </c>
      <c r="C271" s="249" t="s">
        <v>69</v>
      </c>
    </row>
    <row r="272" spans="1:3" s="53" customFormat="1" x14ac:dyDescent="0.2">
      <c r="A272" s="262" t="s">
        <v>436</v>
      </c>
      <c r="B272" s="283">
        <v>330</v>
      </c>
      <c r="C272" s="263" t="s">
        <v>54</v>
      </c>
    </row>
    <row r="273" spans="1:3" s="53" customFormat="1" x14ac:dyDescent="0.2">
      <c r="A273" s="262" t="s">
        <v>56</v>
      </c>
      <c r="B273" s="284">
        <v>1</v>
      </c>
      <c r="C273" s="247"/>
    </row>
    <row r="274" spans="1:3" s="53" customFormat="1" x14ac:dyDescent="0.2">
      <c r="A274" s="262" t="s">
        <v>52</v>
      </c>
      <c r="B274" s="284">
        <v>0.4</v>
      </c>
      <c r="C274" s="247"/>
    </row>
    <row r="275" spans="1:3" s="53" customFormat="1" x14ac:dyDescent="0.2">
      <c r="A275" s="262" t="s">
        <v>62</v>
      </c>
      <c r="B275" s="284">
        <v>1</v>
      </c>
      <c r="C275" s="247"/>
    </row>
    <row r="276" spans="1:3" s="53" customFormat="1" x14ac:dyDescent="0.2">
      <c r="A276" s="262" t="s">
        <v>471</v>
      </c>
      <c r="B276" s="283">
        <v>8</v>
      </c>
      <c r="C276" s="249" t="s">
        <v>224</v>
      </c>
    </row>
    <row r="277" spans="1:3" s="53" customFormat="1" x14ac:dyDescent="0.2">
      <c r="A277" s="262" t="s">
        <v>472</v>
      </c>
      <c r="B277" s="283">
        <v>0</v>
      </c>
      <c r="C277" s="249" t="s">
        <v>224</v>
      </c>
    </row>
    <row r="278" spans="1:3" s="53" customFormat="1" x14ac:dyDescent="0.2">
      <c r="A278" s="262" t="s">
        <v>103</v>
      </c>
      <c r="B278" s="283">
        <v>0.4</v>
      </c>
      <c r="C278" s="247"/>
    </row>
    <row r="279" spans="1:3" s="53" customFormat="1" x14ac:dyDescent="0.2">
      <c r="A279" s="262" t="s">
        <v>220</v>
      </c>
      <c r="B279" s="283">
        <v>5</v>
      </c>
      <c r="C279" s="249" t="s">
        <v>129</v>
      </c>
    </row>
    <row r="280" spans="1:3" s="53" customFormat="1" x14ac:dyDescent="0.2">
      <c r="A280" s="262" t="s">
        <v>219</v>
      </c>
      <c r="B280" s="283">
        <v>26</v>
      </c>
      <c r="C280" s="249" t="s">
        <v>130</v>
      </c>
    </row>
    <row r="281" spans="1:3" s="53" customFormat="1" x14ac:dyDescent="0.2">
      <c r="A281" s="663" t="s">
        <v>576</v>
      </c>
      <c r="B281" s="663"/>
      <c r="C281" s="663"/>
    </row>
    <row r="282" spans="1:3" s="53" customFormat="1" x14ac:dyDescent="0.2">
      <c r="A282" s="263" t="s">
        <v>577</v>
      </c>
      <c r="B282" s="283">
        <v>1.5</v>
      </c>
      <c r="C282" s="249"/>
    </row>
    <row r="283" spans="1:3" s="53" customFormat="1" x14ac:dyDescent="0.2">
      <c r="A283" s="249" t="s">
        <v>100</v>
      </c>
      <c r="B283" s="283">
        <v>0.3</v>
      </c>
      <c r="C283" s="249"/>
    </row>
    <row r="284" spans="1:3" s="53" customFormat="1" x14ac:dyDescent="0.2">
      <c r="A284" s="249" t="s">
        <v>107</v>
      </c>
      <c r="B284" s="283">
        <v>26</v>
      </c>
      <c r="C284" s="249" t="s">
        <v>69</v>
      </c>
    </row>
    <row r="285" spans="1:3" s="53" customFormat="1" x14ac:dyDescent="0.2">
      <c r="A285" s="263" t="s">
        <v>39</v>
      </c>
      <c r="B285" s="283">
        <v>70</v>
      </c>
      <c r="C285" s="249" t="s">
        <v>69</v>
      </c>
    </row>
    <row r="286" spans="1:3" s="53" customFormat="1" x14ac:dyDescent="0.2">
      <c r="A286" s="263" t="s">
        <v>83</v>
      </c>
      <c r="B286" s="283">
        <v>1</v>
      </c>
      <c r="C286" s="249" t="s">
        <v>108</v>
      </c>
    </row>
    <row r="287" spans="1:3" s="53" customFormat="1" x14ac:dyDescent="0.2">
      <c r="A287" s="249" t="s">
        <v>109</v>
      </c>
      <c r="B287" s="283">
        <v>1</v>
      </c>
      <c r="C287" s="249" t="s">
        <v>110</v>
      </c>
    </row>
    <row r="288" spans="1:3" s="53" customFormat="1" x14ac:dyDescent="0.2">
      <c r="A288" s="249" t="s">
        <v>114</v>
      </c>
      <c r="B288" s="283">
        <v>0.18</v>
      </c>
      <c r="C288" s="249" t="s">
        <v>108</v>
      </c>
    </row>
    <row r="289" spans="1:3" s="53" customFormat="1" x14ac:dyDescent="0.2">
      <c r="A289" s="249" t="s">
        <v>116</v>
      </c>
      <c r="B289" s="283">
        <v>1</v>
      </c>
      <c r="C289" s="249" t="s">
        <v>113</v>
      </c>
    </row>
    <row r="290" spans="1:3" s="53" customFormat="1" x14ac:dyDescent="0.2">
      <c r="A290" s="249" t="s">
        <v>118</v>
      </c>
      <c r="B290" s="283">
        <v>1</v>
      </c>
      <c r="C290" s="249" t="s">
        <v>113</v>
      </c>
    </row>
    <row r="291" spans="1:3" s="53" customFormat="1" x14ac:dyDescent="0.2">
      <c r="A291" s="249" t="s">
        <v>119</v>
      </c>
      <c r="B291" s="283">
        <v>1</v>
      </c>
      <c r="C291" s="249" t="s">
        <v>113</v>
      </c>
    </row>
    <row r="293" spans="1:3" s="53" customFormat="1" x14ac:dyDescent="0.2">
      <c r="A293" s="263" t="s">
        <v>315</v>
      </c>
      <c r="B293" s="284">
        <v>241</v>
      </c>
      <c r="C293" s="249"/>
    </row>
    <row r="294" spans="1:3" s="53" customFormat="1" x14ac:dyDescent="0.2">
      <c r="A294" s="266" t="s">
        <v>310</v>
      </c>
      <c r="B294" s="284">
        <v>2.8000000000000002E-12</v>
      </c>
      <c r="C294" s="249"/>
    </row>
    <row r="295" spans="1:3" s="53" customFormat="1" x14ac:dyDescent="0.2">
      <c r="A295" s="266" t="s">
        <v>310</v>
      </c>
      <c r="B295" s="284">
        <v>2.8000000000000001E-15</v>
      </c>
      <c r="C295" s="249"/>
    </row>
  </sheetData>
  <mergeCells count="336">
    <mergeCell ref="HD21:HF21"/>
    <mergeCell ref="V23:X23"/>
    <mergeCell ref="Y23:AA23"/>
    <mergeCell ref="BF21:BF23"/>
    <mergeCell ref="BJ21:BJ23"/>
    <mergeCell ref="BK21:BK23"/>
    <mergeCell ref="BL21:BL23"/>
    <mergeCell ref="BM21:BM23"/>
    <mergeCell ref="BA21:BA23"/>
    <mergeCell ref="BB21:BB23"/>
    <mergeCell ref="BC21:BC23"/>
    <mergeCell ref="BD21:BD23"/>
    <mergeCell ref="BE21:BE23"/>
    <mergeCell ref="AS21:AS23"/>
    <mergeCell ref="AT21:AT23"/>
    <mergeCell ref="AU21:AU23"/>
    <mergeCell ref="AV21:AV23"/>
    <mergeCell ref="AW21:AW23"/>
    <mergeCell ref="CO19:CO21"/>
    <mergeCell ref="CP19:CP21"/>
    <mergeCell ref="CQ19:CQ21"/>
    <mergeCell ref="CR19:CR21"/>
    <mergeCell ref="BM20:BO20"/>
    <mergeCell ref="AL21:AL23"/>
    <mergeCell ref="M21:M23"/>
    <mergeCell ref="N21:N23"/>
    <mergeCell ref="O21:O23"/>
    <mergeCell ref="P21:P23"/>
    <mergeCell ref="Q21:Q23"/>
    <mergeCell ref="R21:R23"/>
    <mergeCell ref="AI21:AI23"/>
    <mergeCell ref="AJ21:AJ23"/>
    <mergeCell ref="AK21:AK23"/>
    <mergeCell ref="AM21:AM23"/>
    <mergeCell ref="AN21:AN23"/>
    <mergeCell ref="AR21:AR23"/>
    <mergeCell ref="AI20:AK20"/>
    <mergeCell ref="AL20:AN20"/>
    <mergeCell ref="AR20:AT20"/>
    <mergeCell ref="AU20:AW20"/>
    <mergeCell ref="BA20:BC20"/>
    <mergeCell ref="BN21:BN23"/>
    <mergeCell ref="BO21:BO23"/>
    <mergeCell ref="CS19:CS21"/>
    <mergeCell ref="CG19:CG21"/>
    <mergeCell ref="CK19:CK21"/>
    <mergeCell ref="CL19:CL21"/>
    <mergeCell ref="CM19:CM21"/>
    <mergeCell ref="CN19:CN21"/>
    <mergeCell ref="CB19:CB21"/>
    <mergeCell ref="CC19:CC21"/>
    <mergeCell ref="CD19:CD21"/>
    <mergeCell ref="CE19:CE21"/>
    <mergeCell ref="CF19:CF21"/>
    <mergeCell ref="CB18:CD18"/>
    <mergeCell ref="CE18:CG18"/>
    <mergeCell ref="CK18:CM18"/>
    <mergeCell ref="CN18:CP18"/>
    <mergeCell ref="CQ18:CS18"/>
    <mergeCell ref="GY2:GY4"/>
    <mergeCell ref="GZ2:GZ4"/>
    <mergeCell ref="HA2:HA4"/>
    <mergeCell ref="HB2:HB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L2:CL4"/>
    <mergeCell ref="CM2:CM4"/>
    <mergeCell ref="CN2:CN4"/>
    <mergeCell ref="CE2:CE4"/>
    <mergeCell ref="CF2:CF4"/>
    <mergeCell ref="CG2:CG4"/>
    <mergeCell ref="CH2:CH4"/>
    <mergeCell ref="CI2:CI4"/>
    <mergeCell ref="DC2:DC4"/>
    <mergeCell ref="CC2:CC4"/>
    <mergeCell ref="CD2:CD4"/>
    <mergeCell ref="BR2:BR4"/>
    <mergeCell ref="BV2:BV4"/>
    <mergeCell ref="BW2:BW4"/>
    <mergeCell ref="BX2:BX4"/>
    <mergeCell ref="BY2:BY4"/>
    <mergeCell ref="CJ2:CJ4"/>
    <mergeCell ref="CK2:CK4"/>
    <mergeCell ref="BQ2:BQ4"/>
    <mergeCell ref="BH2:BH4"/>
    <mergeCell ref="BI2:BI4"/>
    <mergeCell ref="BJ2:BJ4"/>
    <mergeCell ref="BK2:BK4"/>
    <mergeCell ref="BL2:BL4"/>
    <mergeCell ref="BZ2:BZ4"/>
    <mergeCell ref="CA2:CA4"/>
    <mergeCell ref="CB2:CB4"/>
    <mergeCell ref="DU1:DW1"/>
    <mergeCell ref="DX1:DZ1"/>
    <mergeCell ref="EA1:EC1"/>
    <mergeCell ref="ED1:EF1"/>
    <mergeCell ref="EG1:EI1"/>
    <mergeCell ref="AS2:AS4"/>
    <mergeCell ref="AT2:AT4"/>
    <mergeCell ref="AU2:AU4"/>
    <mergeCell ref="AV2:AV4"/>
    <mergeCell ref="AW2:AW4"/>
    <mergeCell ref="BC2:BC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BM2:BM4"/>
    <mergeCell ref="BN2:BN4"/>
    <mergeCell ref="BO2:BO4"/>
    <mergeCell ref="BP2:BP4"/>
    <mergeCell ref="EY1:FA1"/>
    <mergeCell ref="FB1:FD1"/>
    <mergeCell ref="FE1:FG1"/>
    <mergeCell ref="FH1:FJ1"/>
    <mergeCell ref="FK1:FM1"/>
    <mergeCell ref="EJ1:EL1"/>
    <mergeCell ref="EM1:EO1"/>
    <mergeCell ref="EP1:ER1"/>
    <mergeCell ref="ES1:EU1"/>
    <mergeCell ref="EV1:EX1"/>
    <mergeCell ref="HD1:HF1"/>
    <mergeCell ref="GC1:GE1"/>
    <mergeCell ref="GF1:GH1"/>
    <mergeCell ref="GI1:GK1"/>
    <mergeCell ref="GL1:GN1"/>
    <mergeCell ref="GO1:GQ1"/>
    <mergeCell ref="FN1:FP1"/>
    <mergeCell ref="FQ1:FS1"/>
    <mergeCell ref="FT1:FV1"/>
    <mergeCell ref="FZ1:GB1"/>
    <mergeCell ref="FW1:FY1"/>
    <mergeCell ref="GR1:GT1"/>
    <mergeCell ref="GU1:GW1"/>
    <mergeCell ref="GX1:GZ1"/>
    <mergeCell ref="HA1:HC1"/>
    <mergeCell ref="DF1:DH1"/>
    <mergeCell ref="DI1:DK1"/>
    <mergeCell ref="DL1:DN1"/>
    <mergeCell ref="DO1:DQ1"/>
    <mergeCell ref="DR1:DT1"/>
    <mergeCell ref="CQ1:CS1"/>
    <mergeCell ref="CT1:CV1"/>
    <mergeCell ref="CW1:CY1"/>
    <mergeCell ref="CZ1:DB1"/>
    <mergeCell ref="DC1:DE1"/>
    <mergeCell ref="CB1:CD1"/>
    <mergeCell ref="CE1:CG1"/>
    <mergeCell ref="CH1:CJ1"/>
    <mergeCell ref="CK1:CM1"/>
    <mergeCell ref="CN1:CP1"/>
    <mergeCell ref="BM1:BO1"/>
    <mergeCell ref="BP1:BR1"/>
    <mergeCell ref="BS1:BU1"/>
    <mergeCell ref="BV1:BX1"/>
    <mergeCell ref="BY1:CA1"/>
    <mergeCell ref="A254:C254"/>
    <mergeCell ref="A98:C98"/>
    <mergeCell ref="AX1:AZ1"/>
    <mergeCell ref="BA1:BC1"/>
    <mergeCell ref="BD1:BF1"/>
    <mergeCell ref="BG1:BI1"/>
    <mergeCell ref="BJ1:BL1"/>
    <mergeCell ref="AI1:AK1"/>
    <mergeCell ref="AL1:AN1"/>
    <mergeCell ref="AO1:AQ1"/>
    <mergeCell ref="AR1:AT1"/>
    <mergeCell ref="AU1:AW1"/>
    <mergeCell ref="AI2:AI4"/>
    <mergeCell ref="AJ2:AJ4"/>
    <mergeCell ref="AK2:AK4"/>
    <mergeCell ref="AL2:AL4"/>
    <mergeCell ref="AM2:AM4"/>
    <mergeCell ref="AN2:AN4"/>
    <mergeCell ref="AO2:AO4"/>
    <mergeCell ref="AP2:AP4"/>
    <mergeCell ref="AQ2:AQ4"/>
    <mergeCell ref="AR2:AR4"/>
    <mergeCell ref="BD20:BF20"/>
    <mergeCell ref="BJ20:BL20"/>
    <mergeCell ref="A1:C1"/>
    <mergeCell ref="A14:C17"/>
    <mergeCell ref="M1:O1"/>
    <mergeCell ref="P1:R1"/>
    <mergeCell ref="S1:U1"/>
    <mergeCell ref="V1:X1"/>
    <mergeCell ref="Y1:AA1"/>
    <mergeCell ref="A268:C268"/>
    <mergeCell ref="A281:C281"/>
    <mergeCell ref="D1:F1"/>
    <mergeCell ref="G1:I1"/>
    <mergeCell ref="J1:L1"/>
    <mergeCell ref="G2:G4"/>
    <mergeCell ref="H2:H4"/>
    <mergeCell ref="I2:I4"/>
    <mergeCell ref="J2:J4"/>
    <mergeCell ref="K2:K4"/>
    <mergeCell ref="L2:L4"/>
    <mergeCell ref="D29:F29"/>
    <mergeCell ref="D41:F41"/>
    <mergeCell ref="A132:C132"/>
    <mergeCell ref="A218:C218"/>
    <mergeCell ref="A230:C230"/>
    <mergeCell ref="A242:C242"/>
    <mergeCell ref="CC35:CG38"/>
    <mergeCell ref="BK40:BO43"/>
    <mergeCell ref="AF42:AH44"/>
    <mergeCell ref="AG2:AG4"/>
    <mergeCell ref="AH2:AH4"/>
    <mergeCell ref="A2:C2"/>
    <mergeCell ref="A5:C5"/>
    <mergeCell ref="A50:C50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M20:O20"/>
    <mergeCell ref="P20:R20"/>
    <mergeCell ref="AB1:AB4"/>
    <mergeCell ref="AC2:AC4"/>
    <mergeCell ref="AD2:AD4"/>
    <mergeCell ref="AE2:AE4"/>
    <mergeCell ref="AF2:AF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5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9.85546875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28515625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9.28515625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8.85546875" style="289" bestFit="1" customWidth="1"/>
    <col min="127" max="127" width="6.28515625" style="249" bestFit="1" customWidth="1"/>
    <col min="128" max="128" width="12" style="249" bestFit="1" customWidth="1"/>
    <col min="129" max="129" width="8.85546875" style="289" bestFit="1" customWidth="1"/>
    <col min="130" max="130" width="6.285156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8.85546875" style="289" bestFit="1" customWidth="1"/>
    <col min="142" max="142" width="6.28515625" style="249" bestFit="1" customWidth="1"/>
    <col min="143" max="143" width="12" style="249" bestFit="1" customWidth="1"/>
    <col min="144" max="144" width="8.85546875" style="289" bestFit="1" customWidth="1"/>
    <col min="145" max="145" width="7.42578125" style="249" bestFit="1" customWidth="1"/>
    <col min="146" max="146" width="12" style="249" bestFit="1" customWidth="1"/>
    <col min="147" max="147" width="8.8554687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8.85546875" style="289" bestFit="1" customWidth="1"/>
    <col min="157" max="157" width="6.28515625" style="249" bestFit="1" customWidth="1"/>
    <col min="158" max="158" width="8.5703125" style="249" bestFit="1" customWidth="1"/>
    <col min="159" max="159" width="8.85546875" style="289" bestFit="1" customWidth="1"/>
    <col min="160" max="160" width="7.42578125" style="249" bestFit="1" customWidth="1"/>
    <col min="161" max="161" width="10.140625" style="249" bestFit="1" customWidth="1"/>
    <col min="162" max="162" width="8.8554687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7.42578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7.42578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8.85546875" style="289" bestFit="1" customWidth="1"/>
    <col min="202" max="202" width="6.28515625" style="249" bestFit="1" customWidth="1"/>
    <col min="203" max="203" width="12" style="249" bestFit="1" customWidth="1"/>
    <col min="204" max="204" width="8.85546875" style="289" bestFit="1" customWidth="1"/>
    <col min="205" max="205" width="7.42578125" style="249" bestFit="1" customWidth="1"/>
    <col min="206" max="206" width="12" style="249" bestFit="1" customWidth="1"/>
    <col min="207" max="207" width="8.8554687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thickTop="1" thickBot="1" x14ac:dyDescent="0.25">
      <c r="A1" s="682" t="s">
        <v>8</v>
      </c>
      <c r="B1" s="683"/>
      <c r="C1" s="684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703"/>
      <c r="CB1" s="409" t="s">
        <v>535</v>
      </c>
      <c r="CC1" s="407"/>
      <c r="CD1" s="414"/>
      <c r="CE1" s="406" t="s">
        <v>536</v>
      </c>
      <c r="CF1" s="407"/>
      <c r="CG1" s="414"/>
      <c r="CH1" s="406" t="s">
        <v>537</v>
      </c>
      <c r="CI1" s="407"/>
      <c r="CJ1" s="408"/>
      <c r="CK1" s="409" t="s">
        <v>538</v>
      </c>
      <c r="CL1" s="407"/>
      <c r="CM1" s="414"/>
      <c r="CN1" s="406" t="s">
        <v>538</v>
      </c>
      <c r="CO1" s="407"/>
      <c r="CP1" s="414"/>
      <c r="CQ1" s="406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1/((1/H10)+(1/H12)+(1/H13))</f>
        <v>1.3801726043358877E-11</v>
      </c>
      <c r="I2" s="625" t="s">
        <v>313</v>
      </c>
      <c r="J2" s="619" t="s">
        <v>507</v>
      </c>
      <c r="K2" s="623">
        <f>1/((1/K14)+(1/K15)+(1/K16)+(1/K17))</f>
        <v>5.397211664118179E-10</v>
      </c>
      <c r="L2" s="621" t="s">
        <v>311</v>
      </c>
      <c r="M2" s="617" t="s">
        <v>516</v>
      </c>
      <c r="N2" s="647">
        <f>((N5*N6*N7)/((1-EXP(-N7*N6))*N10*N15*(N9/365)*N13*(((N14/24)*N12)+((N16/24)*N11))))*N8*N17*N18</f>
        <v>7.0198788609241004E-10</v>
      </c>
      <c r="O2" s="615" t="s">
        <v>311</v>
      </c>
      <c r="P2" s="639" t="s">
        <v>516</v>
      </c>
      <c r="Q2" s="647">
        <f>((Q5*Q6*Q7)/((1-EXP(-Q7*Q6))*Q10*Q15*(Q9/365)*Q13*(((Q14/24)*Q12)+((Q16/24)*Q11))))*Q8*Q17*Q18</f>
        <v>3.4370796769416292E-9</v>
      </c>
      <c r="R2" s="637" t="s">
        <v>311</v>
      </c>
      <c r="S2" s="641" t="s">
        <v>516</v>
      </c>
      <c r="T2" s="647">
        <f>((T5*T6*T7)/((1-EXP(-T7*T6))*T10*T15*(T9/365)*T13*(((T14/24)*T12)+((T16/24)*T11))))*T8*T17*T18</f>
        <v>7.8521325403120115E-10</v>
      </c>
      <c r="U2" s="643" t="s">
        <v>311</v>
      </c>
      <c r="V2" s="55"/>
      <c r="W2" s="357"/>
      <c r="X2" s="56"/>
      <c r="Y2" s="57"/>
      <c r="Z2" s="357"/>
      <c r="AA2" s="58"/>
      <c r="AB2" s="650"/>
      <c r="AC2" s="660">
        <f>1/((1/AC32)+(1/AC33)+(1/AC34))</f>
        <v>1.050365179671661E-9</v>
      </c>
      <c r="AD2" s="657">
        <f>1/((1/AD32)+(1/AD33)+(1/AD34))</f>
        <v>2.6250099802394267E-9</v>
      </c>
      <c r="AE2" s="657">
        <f>1/((1/AE32)+(1/AE33)+(1/AE34))</f>
        <v>1.1670724218574008E-9</v>
      </c>
      <c r="AF2" s="657">
        <f>1/((1/AF32)+(1/AF33)+(1/AF34))</f>
        <v>5.6450267235778821E-7</v>
      </c>
      <c r="AG2" s="654">
        <f>1/((1/AG32)+(1/AG33)+(1/AG34))</f>
        <v>5.747550301042307E-7</v>
      </c>
      <c r="AH2" s="652" t="s">
        <v>311</v>
      </c>
      <c r="AI2" s="381" t="s">
        <v>516</v>
      </c>
      <c r="AJ2" s="387">
        <f>((AJ5*AJ6*AJ7)/((1-EXP(-AJ7*AJ6))*AJ15*(AJ9/365)*AJ10*(AJ16/24)*AJ11*AJ13))*AJ8*AJ17*AJ18</f>
        <v>2.6295216425491532E-9</v>
      </c>
      <c r="AK2" s="629" t="s">
        <v>311</v>
      </c>
      <c r="AL2" s="383" t="s">
        <v>516</v>
      </c>
      <c r="AM2" s="387">
        <f>((AM5*AM6*AM7)/((1-EXP(-AM7*AM6))*AM15*(AM9/365)*AM10*(AM16/24)*AM11*AM13))*AM8*AM17*AM18</f>
        <v>1.2874688547679747E-8</v>
      </c>
      <c r="AN2" s="629" t="s">
        <v>311</v>
      </c>
      <c r="AO2" s="383" t="s">
        <v>516</v>
      </c>
      <c r="AP2" s="387">
        <f>((AP5*AP6*AP7)/((1-EXP(-AP7*AP6))*AP15*(AP9/365)*AP10*(AP16/24)*AP11*AP13))*AP8*AP17*AP18</f>
        <v>2.9412690537792081E-9</v>
      </c>
      <c r="AQ2" s="635" t="s">
        <v>311</v>
      </c>
      <c r="AR2" s="381" t="s">
        <v>516</v>
      </c>
      <c r="AS2" s="387">
        <f>((AS5*AS6*AS7)/((1-EXP(-AS7*AS6))*AS15*(AS9/365)*AS10*(AS14/24)*AS12*AS13))*AS8*AS17*AS18</f>
        <v>1.1686762855774015E-9</v>
      </c>
      <c r="AT2" s="391" t="s">
        <v>311</v>
      </c>
      <c r="AU2" s="383" t="s">
        <v>516</v>
      </c>
      <c r="AV2" s="387">
        <f>((AV5*AV6*AV7)/((1-EXP(-AV7*AV6))*AV15*(AV9/365)*AV10*(AV14/24)*AV12*AV13))*AV8*AV17*AV18</f>
        <v>5.7220837989687756E-9</v>
      </c>
      <c r="AW2" s="391" t="s">
        <v>311</v>
      </c>
      <c r="AX2" s="383" t="s">
        <v>516</v>
      </c>
      <c r="AY2" s="387">
        <f>((AY5*AY6*AY7)/((1-EXP(-AY7*AY6))*AY15*(AY9/365)*AY10*(AY14/24)*AY12*AY13))*AY8*AY17*AY18</f>
        <v>1.3072306905685366E-9</v>
      </c>
      <c r="AZ2" s="385" t="s">
        <v>311</v>
      </c>
      <c r="BA2" s="381" t="s">
        <v>516</v>
      </c>
      <c r="BB2" s="387">
        <f>((BB5*BB6*BB7)/((1-EXP(-BB7*BB6))*BB15*(BB9/365)*BB10*((BB14+BB16)/24)*BB12*BB13))*BB8*BB17*BB18</f>
        <v>1.0518086570196616E-9</v>
      </c>
      <c r="BC2" s="391" t="s">
        <v>311</v>
      </c>
      <c r="BD2" s="383" t="s">
        <v>516</v>
      </c>
      <c r="BE2" s="387">
        <f>((BE5*BE6*BE7)/((1-EXP(-BE7*BE6))*BE15*(BE9/365)*BE10*((BE14+BE16)/24)*BE12*BE13))*BE8*BE17*BE18</f>
        <v>5.1498754190718995E-9</v>
      </c>
      <c r="BF2" s="391" t="s">
        <v>311</v>
      </c>
      <c r="BG2" s="383" t="s">
        <v>516</v>
      </c>
      <c r="BH2" s="387">
        <f>((BH5*BH6*BH7)/((1-EXP(-BH7*BH6))*BH15*(BH9/365)*BH10*((BH14+BH16)/24)*BH12*BH13))*BH8*BH17*BH18</f>
        <v>1.1765076215116834E-9</v>
      </c>
      <c r="BI2" s="385" t="s">
        <v>311</v>
      </c>
      <c r="BJ2" s="381" t="s">
        <v>558</v>
      </c>
      <c r="BK2" s="389">
        <f>((BK5*BK6*BK7)/((1-EXP(-BK7*BK6))*BK12*BK16*(BK9/365)*BK14*(BK15/24)*BK13))*BK8*BK17*BK18</f>
        <v>6.1625833324422806E-7</v>
      </c>
      <c r="BL2" s="391" t="s">
        <v>311</v>
      </c>
      <c r="BM2" s="383" t="s">
        <v>559</v>
      </c>
      <c r="BN2" s="389">
        <f>((BN5*BN6*BN7)/((1-EXP(-BN7*BN6))*BN12*BN16*(BN9/365)*BN14*(BN15/24)*BN13))*BN8*BN17*BN18</f>
        <v>6.738374975875645E-6</v>
      </c>
      <c r="BO2" s="391" t="s">
        <v>311</v>
      </c>
      <c r="BP2" s="383" t="s">
        <v>560</v>
      </c>
      <c r="BQ2" s="389">
        <f>((BQ5*BQ6*BQ7)/((1-EXP(-BQ7*BQ6))*BQ12*BQ16*(BQ9/365)*BQ14*(BQ15/24)*BQ13))*BQ8*BQ17*BQ18</f>
        <v>8.1684168728829834E-7</v>
      </c>
      <c r="BR2" s="385" t="s">
        <v>311</v>
      </c>
      <c r="BS2" s="59"/>
      <c r="BT2" s="110"/>
      <c r="BU2" s="250"/>
      <c r="BV2" s="402" t="s">
        <v>563</v>
      </c>
      <c r="BW2" s="400">
        <f>1/((1/BW10)+(1/BW11))</f>
        <v>3.8914441073061853E-9</v>
      </c>
      <c r="BX2" s="404" t="s">
        <v>313</v>
      </c>
      <c r="BY2" s="402" t="s">
        <v>563</v>
      </c>
      <c r="BZ2" s="400">
        <f>1/((1/BZ13)+(1/BZ14)+(1/BZ15))</f>
        <v>3.3539171897284071E-7</v>
      </c>
      <c r="CA2" s="398" t="s">
        <v>311</v>
      </c>
      <c r="CB2" s="410" t="s">
        <v>558</v>
      </c>
      <c r="CC2" s="400">
        <f>((CC5*CC6*CC7)/((1-EXP(-CC7*CC6))*CC10*CC14*(CC9/365)*CC12*(CC13/24)*CC11))*CC8*CC15*CC16</f>
        <v>4.3156153926724044E-7</v>
      </c>
      <c r="CD2" s="404" t="s">
        <v>311</v>
      </c>
      <c r="CE2" s="402" t="s">
        <v>559</v>
      </c>
      <c r="CF2" s="400">
        <f>((CF5*CF6*CF7)/((1-EXP(-CF7*CF6))*CF10*CF14*(CF9/365)*CF12*(CF13/24)*CF11))*CF8*CF15*CF16</f>
        <v>4.7188383829874728E-6</v>
      </c>
      <c r="CG2" s="404" t="s">
        <v>311</v>
      </c>
      <c r="CH2" s="402" t="s">
        <v>560</v>
      </c>
      <c r="CI2" s="400">
        <f>((CI5*CI6*CI7)/((1-EXP(-CI7*CI6))*CI10*CI14*(CI9/365)*CI12*(CI13/24)*CI11))*CI8*CI15*CI16</f>
        <v>5.7202870433896822E-7</v>
      </c>
      <c r="CJ2" s="398" t="s">
        <v>311</v>
      </c>
      <c r="CK2" s="410" t="s">
        <v>510</v>
      </c>
      <c r="CL2" s="400">
        <f>(CL5/(CL6*CL7*CL8*CL9))*CL11*CL10*CL15</f>
        <v>1.5880144583273296E-7</v>
      </c>
      <c r="CM2" s="404" t="s">
        <v>311</v>
      </c>
      <c r="CN2" s="402" t="s">
        <v>7</v>
      </c>
      <c r="CO2" s="400">
        <f>(CL2/(CO5*((CO10*CO12*CO13*(CO6+CO7))+(CO11*CO12))))*CL13</f>
        <v>2.7465857546598221E-5</v>
      </c>
      <c r="CP2" s="412" t="s">
        <v>311</v>
      </c>
      <c r="CQ2" s="402" t="s">
        <v>6</v>
      </c>
      <c r="CR2" s="400">
        <f>CL2/(CR5*CR6*(1/CR7))</f>
        <v>5.8815350308419613E-5</v>
      </c>
      <c r="CS2" s="415" t="s">
        <v>313</v>
      </c>
      <c r="CT2" s="208"/>
      <c r="CU2" s="61"/>
      <c r="CV2" s="62"/>
      <c r="CW2" s="63"/>
      <c r="CX2" s="151"/>
      <c r="CY2" s="64"/>
      <c r="CZ2" s="65"/>
      <c r="DA2" s="66"/>
      <c r="DB2" s="67"/>
      <c r="DC2" s="704" t="s">
        <v>510</v>
      </c>
      <c r="DD2" s="674">
        <f>((DD5)/(DD6*(DD7+DD10)*DD20))*DD22*DD23*DD24</f>
        <v>8.0844945311194917E-11</v>
      </c>
      <c r="DE2" s="706" t="s">
        <v>311</v>
      </c>
      <c r="DF2" s="670" t="s">
        <v>510</v>
      </c>
      <c r="DG2" s="668">
        <f>(DD2/((1/DG24)*(DG5+DG6+DG7)))</f>
        <v>7.2646457291239644E-9</v>
      </c>
      <c r="DH2" s="666" t="s">
        <v>313</v>
      </c>
      <c r="DI2" s="680" t="s">
        <v>510</v>
      </c>
      <c r="DJ2" s="668">
        <f>(DD2/(DJ5+DJ6))*CU11</f>
        <v>4.3332874561680572E-10</v>
      </c>
      <c r="DK2" s="666" t="s">
        <v>313</v>
      </c>
      <c r="DL2" s="680" t="s">
        <v>554</v>
      </c>
      <c r="DM2" s="668">
        <f>(DD2/(DM5+DM6))*((DM9*DD21)/(1-EXP(-DD21*DM9)))</f>
        <v>4.3332874561680572E-10</v>
      </c>
      <c r="DN2" s="666" t="s">
        <v>313</v>
      </c>
      <c r="DO2" s="680" t="s">
        <v>553</v>
      </c>
      <c r="DP2" s="668">
        <f>-(DP5+DP6+DP7)/(DP23+DP24)</f>
        <v>-39.016043743831744</v>
      </c>
      <c r="DQ2" s="678" t="s">
        <v>19</v>
      </c>
      <c r="DR2" s="556" t="s">
        <v>510</v>
      </c>
      <c r="DS2" s="460">
        <f>(DS5/(DS6*DS7*DS16))*DS19*DS20*DS21</f>
        <v>5.1297639788991694E-11</v>
      </c>
      <c r="DT2" s="466" t="s">
        <v>311</v>
      </c>
      <c r="DU2" s="464" t="s">
        <v>510</v>
      </c>
      <c r="DV2" s="462">
        <f>DS2/(DV5*(1/DV8)*DV6*(1/DV7))</f>
        <v>1.2485011574352894E-7</v>
      </c>
      <c r="DW2" s="480" t="s">
        <v>313</v>
      </c>
      <c r="DX2" s="478" t="s">
        <v>510</v>
      </c>
      <c r="DY2" s="462">
        <f>(DS2/(DY9*(1/DY14)*((DY10*DY12*DY13*(DY5+DY6))+(DY11*DY12))))*CU11</f>
        <v>2.8960022844706037E-9</v>
      </c>
      <c r="DZ2" s="480" t="s">
        <v>313</v>
      </c>
      <c r="EA2" s="478" t="s">
        <v>554</v>
      </c>
      <c r="EB2" s="462">
        <f>(DS2/(EB9*(1/EB14)*((EB10*EB12*EB13*(EB5+EB6))+(EB11*EB12))))*((EB15*DS18)/(1-EXP(-DS18*EB15)))</f>
        <v>2.8960022844706037E-9</v>
      </c>
      <c r="EC2" s="480" t="s">
        <v>313</v>
      </c>
      <c r="ED2" s="478" t="s">
        <v>553</v>
      </c>
      <c r="EE2" s="462">
        <f>-EE15/((EE10*EE12*EE13*(EE5+EE6))+(EE11*EE12))</f>
        <v>-15.172254564045053</v>
      </c>
      <c r="EF2" s="476" t="s">
        <v>19</v>
      </c>
      <c r="EG2" s="474" t="s">
        <v>510</v>
      </c>
      <c r="EH2" s="472">
        <f>(EH5/(EH6*EH7*EH16))*EH19*EH20*EH21</f>
        <v>1.406018041027008E-10</v>
      </c>
      <c r="EI2" s="470" t="s">
        <v>311</v>
      </c>
      <c r="EJ2" s="468" t="s">
        <v>510</v>
      </c>
      <c r="EK2" s="502">
        <f>EH2/(EK5*EK6*(1/EK7))</f>
        <v>1.2058473765240205E-7</v>
      </c>
      <c r="EL2" s="500" t="s">
        <v>313</v>
      </c>
      <c r="EM2" s="504" t="s">
        <v>510</v>
      </c>
      <c r="EN2" s="502">
        <f>(EH2/(EN9*((EN10*EN12*EN13*(EN5+EN6))+(EN11*EN12))))*CU11</f>
        <v>2.5822389418957563E-9</v>
      </c>
      <c r="EO2" s="500" t="s">
        <v>311</v>
      </c>
      <c r="EP2" s="504" t="s">
        <v>554</v>
      </c>
      <c r="EQ2" s="502">
        <f>(EH2/(EQ9*((EQ10*EQ12*EQ13*(EQ5+EQ6))+(EQ11*EQ12))))*((EQ14*EH18)/(1-EXP(-EH18*EQ14)))</f>
        <v>2.5822389418957563E-9</v>
      </c>
      <c r="ER2" s="500" t="s">
        <v>313</v>
      </c>
      <c r="ES2" s="504" t="s">
        <v>553</v>
      </c>
      <c r="ET2" s="502">
        <f>-ET15/((ET10*ET12*ET13*(ET5+ET6))+(ET11*ET12))</f>
        <v>-14.006971771987642</v>
      </c>
      <c r="EU2" s="514" t="s">
        <v>19</v>
      </c>
      <c r="EV2" s="512" t="s">
        <v>510</v>
      </c>
      <c r="EW2" s="510">
        <f>(EW5/(EW6*EW7*EW16))*EW19*EW20*EW21</f>
        <v>4.7028698904834697E-10</v>
      </c>
      <c r="EX2" s="508" t="s">
        <v>311</v>
      </c>
      <c r="EY2" s="506" t="s">
        <v>510</v>
      </c>
      <c r="EZ2" s="494">
        <f>EW2/(EZ5*EZ6*(1/EZ7))</f>
        <v>2.9392936815521679E-6</v>
      </c>
      <c r="FA2" s="498" t="s">
        <v>313</v>
      </c>
      <c r="FB2" s="496" t="s">
        <v>510</v>
      </c>
      <c r="FC2" s="494">
        <f>(EW2/(FC9*((FC10*FC12*FC13*(FC5+FC6))+(FC11*FC12))))*CU11</f>
        <v>2.3103788776295815E-8</v>
      </c>
      <c r="FD2" s="498" t="s">
        <v>311</v>
      </c>
      <c r="FE2" s="496" t="s">
        <v>554</v>
      </c>
      <c r="FF2" s="494">
        <f>(EW2/(FF9*((FF10*FF12*FF13*(FF5+FF6))+(FF11*FF12))))*((FF14*EW18)/(1-EXP(-EW18*FF14)))</f>
        <v>2.3103788776295815E-8</v>
      </c>
      <c r="FG2" s="498" t="s">
        <v>313</v>
      </c>
      <c r="FH2" s="496" t="s">
        <v>553</v>
      </c>
      <c r="FI2" s="494">
        <f>-FI15/((FI10*FI12*FI13*(FI5+FI6))+(FI11*FI12))</f>
        <v>-5.1413881748071981</v>
      </c>
      <c r="FJ2" s="492" t="s">
        <v>19</v>
      </c>
      <c r="FK2" s="490" t="s">
        <v>510</v>
      </c>
      <c r="FL2" s="488">
        <f>(FL5/(FL6*FL7*FL16))*FL19*FL20*FL21</f>
        <v>1.6143911256416597E-10</v>
      </c>
      <c r="FM2" s="486" t="s">
        <v>311</v>
      </c>
      <c r="FN2" s="484" t="s">
        <v>510</v>
      </c>
      <c r="FO2" s="430">
        <f>FL2/(FO5*(1/FO6))</f>
        <v>6.4575645025666391E-11</v>
      </c>
      <c r="FP2" s="428" t="s">
        <v>313</v>
      </c>
      <c r="FQ2" s="482" t="s">
        <v>510</v>
      </c>
      <c r="FR2" s="430">
        <f>((FL2*FR6)/FR5)*CU11</f>
        <v>9.8725327458520298E-13</v>
      </c>
      <c r="FS2" s="428" t="s">
        <v>311</v>
      </c>
      <c r="FT2" s="426" t="s">
        <v>554</v>
      </c>
      <c r="FU2" s="430">
        <f>((FL2*FU6)/FU5)*((FU7*FL18)/(1-EXP(-FL18*FU7)))</f>
        <v>9.8725327458520298E-13</v>
      </c>
      <c r="FV2" s="428" t="s">
        <v>313</v>
      </c>
      <c r="FW2" s="426" t="s">
        <v>553</v>
      </c>
      <c r="FX2" s="430">
        <f>-FX5/FX6</f>
        <v>-0.01</v>
      </c>
      <c r="FY2" s="438" t="s">
        <v>19</v>
      </c>
      <c r="FZ2" s="436" t="s">
        <v>510</v>
      </c>
      <c r="GA2" s="434">
        <f>(GA5/(GA6*GA7*GA16))*GA19*GA20*GA21</f>
        <v>2.3493120353071033E-10</v>
      </c>
      <c r="GB2" s="432" t="s">
        <v>311</v>
      </c>
      <c r="GC2" s="458" t="s">
        <v>510</v>
      </c>
      <c r="GD2" s="417">
        <f>(GA2/(GD5*GD6*(1/GD7)))</f>
        <v>2.1752889215806513E-7</v>
      </c>
      <c r="GE2" s="421" t="s">
        <v>313</v>
      </c>
      <c r="GF2" s="419" t="s">
        <v>510</v>
      </c>
      <c r="GG2" s="417">
        <f>(GA2/((GG9)*((GG10*GG12*GG13*(GG5+GG6))+(GG11*GG12))))*CU11</f>
        <v>1.7098466916404209E-9</v>
      </c>
      <c r="GH2" s="421" t="s">
        <v>311</v>
      </c>
      <c r="GI2" s="419" t="s">
        <v>554</v>
      </c>
      <c r="GJ2" s="417">
        <f>(GA2/((GJ9)*((GJ10*GJ12*GJ13*(GJ5+GJ6))+(GJ11*GJ12))))*((GJ14*GA18)/(1-EXP(-GA18*GJ14)))</f>
        <v>1.7098466916404209E-9</v>
      </c>
      <c r="GK2" s="421" t="s">
        <v>313</v>
      </c>
      <c r="GL2" s="419" t="s">
        <v>553</v>
      </c>
      <c r="GM2" s="417">
        <f>-GM15/((GM10*GM12*GM13*(GM5+GM6))+(GM11*GM12))</f>
        <v>-5.1413881748071981</v>
      </c>
      <c r="GN2" s="456" t="s">
        <v>19</v>
      </c>
      <c r="GO2" s="454" t="s">
        <v>510</v>
      </c>
      <c r="GP2" s="452">
        <f>(GP5/(GP6*GP7*GP15))*GP18*GP19*GP20</f>
        <v>2.572249425795601E-10</v>
      </c>
      <c r="GQ2" s="450" t="s">
        <v>311</v>
      </c>
      <c r="GR2" s="448" t="s">
        <v>510</v>
      </c>
      <c r="GS2" s="442">
        <f>GP2/(GS5*GS6*(1/GS7))</f>
        <v>1.1281795727173687E-7</v>
      </c>
      <c r="GT2" s="446" t="s">
        <v>313</v>
      </c>
      <c r="GU2" s="444" t="s">
        <v>510</v>
      </c>
      <c r="GV2" s="442">
        <f>(GP2/((GV9)*((GV10*GV12*GV13*(GV5+GV6))+(GV11*GV12))))*CU11</f>
        <v>1.1694931982850412E-9</v>
      </c>
      <c r="GW2" s="446" t="s">
        <v>311</v>
      </c>
      <c r="GX2" s="444" t="s">
        <v>554</v>
      </c>
      <c r="GY2" s="442">
        <f>(GP2/((GY9)*((GY10*GY12*GY13*(GY5+GY6))+(GY11*GY12))))*((GY14*GP17)/(1-EXP(-GP17*GY14)))</f>
        <v>1.1694931982850412E-9</v>
      </c>
      <c r="GZ2" s="446" t="s">
        <v>313</v>
      </c>
      <c r="HA2" s="444" t="s">
        <v>553</v>
      </c>
      <c r="HB2" s="442">
        <f>-HB15/((HB10*HB12*HB13*(HB5+HB6))+(HB11*HB12))</f>
        <v>-6.7804674953904707</v>
      </c>
      <c r="HC2" s="440" t="s">
        <v>19</v>
      </c>
      <c r="HD2" s="251"/>
      <c r="HE2" s="350"/>
      <c r="HF2" s="252"/>
    </row>
    <row r="3" spans="1:214" ht="13.5" thickTop="1" x14ac:dyDescent="0.2">
      <c r="A3" s="278" t="s">
        <v>456</v>
      </c>
      <c r="B3" s="54">
        <v>8.5099999999999995E-2</v>
      </c>
      <c r="C3" s="240"/>
      <c r="D3" s="317" t="s">
        <v>15</v>
      </c>
      <c r="E3" s="285">
        <f>1/((1/E20)+(1/E21))</f>
        <v>6.3692620761389605E-13</v>
      </c>
      <c r="F3" s="253" t="s">
        <v>312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1.2009377150080886E-12</v>
      </c>
      <c r="X3" s="254" t="s">
        <v>312</v>
      </c>
      <c r="Y3" s="321" t="s">
        <v>16</v>
      </c>
      <c r="Z3" s="358">
        <f>1/((1/Z18)+(1/Z19))</f>
        <v>1.0808439435072794E-12</v>
      </c>
      <c r="AA3" s="255" t="s">
        <v>312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7.1335735252756354E-11</v>
      </c>
      <c r="BU3" s="250" t="s">
        <v>312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9.7929764380009828E-13</v>
      </c>
      <c r="CV3" s="71" t="s">
        <v>311</v>
      </c>
      <c r="CW3" s="326" t="s">
        <v>15</v>
      </c>
      <c r="CX3" s="117">
        <f>1/((1/CX20)+(1/CX21))</f>
        <v>3.9598361039940741E-13</v>
      </c>
      <c r="CY3" s="256" t="s">
        <v>312</v>
      </c>
      <c r="CZ3" s="338" t="s">
        <v>285</v>
      </c>
      <c r="DA3" s="336">
        <f>1/((1/DA13)+(1/DA15)+(1/DA16)+(1/DA17)+(1/DA18)+(1/DA19)+(1/DA20)+(1/DA21)+(1/DA22))</f>
        <v>6.3547877469184868E-11</v>
      </c>
      <c r="DB3" s="72" t="s">
        <v>313</v>
      </c>
      <c r="DC3" s="704"/>
      <c r="DD3" s="674"/>
      <c r="DE3" s="706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(HE5*HE13*10^-3*(HE14+(HE9/HE10))*((HE11*HE7)/(1-EXP(-HE7*HE11))))*HE8*HE15*HE16</f>
        <v>3.1354674485751944E-11</v>
      </c>
      <c r="HF3" s="252" t="s">
        <v>311</v>
      </c>
    </row>
    <row r="4" spans="1:214" ht="13.5" thickBot="1" x14ac:dyDescent="0.25">
      <c r="A4" s="279" t="s">
        <v>457</v>
      </c>
      <c r="B4" s="82">
        <v>0.74199999999999999</v>
      </c>
      <c r="C4" s="242"/>
      <c r="D4" s="318" t="s">
        <v>16</v>
      </c>
      <c r="E4" s="286">
        <f>1/((1/E22)+(1/E23))</f>
        <v>8.4595855508925066E-13</v>
      </c>
      <c r="F4" s="257" t="s">
        <v>312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9.1361786062559487E-13</v>
      </c>
      <c r="X4" s="258" t="s">
        <v>312</v>
      </c>
      <c r="Y4" s="322" t="s">
        <v>15</v>
      </c>
      <c r="Z4" s="359">
        <f>1/((1/Z16)+(1/Z17))</f>
        <v>8.2225607456303541E-13</v>
      </c>
      <c r="AA4" s="259" t="s">
        <v>312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9.4747358169996055E-11</v>
      </c>
      <c r="BU4" s="260" t="s">
        <v>312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1.6630812053598209E-10</v>
      </c>
      <c r="CV4" s="73" t="s">
        <v>311</v>
      </c>
      <c r="CW4" s="327" t="s">
        <v>16</v>
      </c>
      <c r="CX4" s="106">
        <f>1/((1/CX22)+(1/CX23))</f>
        <v>6.0539250656110962E-13</v>
      </c>
      <c r="CY4" s="261" t="s">
        <v>312</v>
      </c>
      <c r="CZ4" s="339" t="s">
        <v>11</v>
      </c>
      <c r="DA4" s="337">
        <f>1/((1/DA15)+(1/DA16)+(1/DA13))</f>
        <v>4.5382619840111685E-9</v>
      </c>
      <c r="DB4" s="74" t="s">
        <v>313</v>
      </c>
      <c r="DC4" s="705"/>
      <c r="DD4" s="675"/>
      <c r="DE4" s="707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1.8697930534873596E-13</v>
      </c>
      <c r="HF4" s="75" t="s">
        <v>311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2.7</v>
      </c>
      <c r="CQ5" s="262" t="s">
        <v>264</v>
      </c>
      <c r="CR5" s="287">
        <f>CO5</f>
        <v>2.7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0.66252863179360322</v>
      </c>
      <c r="DH5" s="249" t="s">
        <v>19</v>
      </c>
      <c r="DI5" s="262" t="s">
        <v>20</v>
      </c>
      <c r="DJ5" s="305">
        <f>DJ7</f>
        <v>2.5229999999999999E-2</v>
      </c>
      <c r="DK5" s="262"/>
      <c r="DL5" s="262" t="s">
        <v>20</v>
      </c>
      <c r="DM5" s="305">
        <f>DM7</f>
        <v>2.5229999999999999E-2</v>
      </c>
      <c r="DO5" s="249" t="s">
        <v>18</v>
      </c>
      <c r="DP5" s="118">
        <f>(DP8*DP9*DP10*((1-EXP(-DP11*DP12))))/(DP13*DP11)</f>
        <v>0.66252863179360322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4.5999999999999999E-3</v>
      </c>
      <c r="DW5" s="262"/>
      <c r="DX5" s="262" t="s">
        <v>21</v>
      </c>
      <c r="DY5" s="305">
        <f>DY7</f>
        <v>2.9000000000000001E-2</v>
      </c>
      <c r="DZ5" s="262"/>
      <c r="EA5" s="262" t="s">
        <v>21</v>
      </c>
      <c r="EB5" s="305">
        <f>EB7</f>
        <v>2.9000000000000001E-2</v>
      </c>
      <c r="EC5" s="263"/>
      <c r="ED5" s="262" t="s">
        <v>21</v>
      </c>
      <c r="EE5" s="305">
        <f>EE7</f>
        <v>2.9000000000000001E-2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2.1999999999999999E-2</v>
      </c>
      <c r="EL5" s="262"/>
      <c r="EM5" s="262" t="s">
        <v>21</v>
      </c>
      <c r="EN5" s="305">
        <f>EN7</f>
        <v>2.9000000000000001E-2</v>
      </c>
      <c r="EO5" s="262"/>
      <c r="EP5" s="262" t="s">
        <v>21</v>
      </c>
      <c r="EQ5" s="305">
        <f>EQ7</f>
        <v>2.9000000000000001E-2</v>
      </c>
      <c r="ER5" s="263"/>
      <c r="ES5" s="262" t="s">
        <v>21</v>
      </c>
      <c r="ET5" s="305">
        <f>ET7</f>
        <v>2.9000000000000001E-2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0.4</v>
      </c>
      <c r="FA5" s="262"/>
      <c r="FB5" s="262" t="s">
        <v>21</v>
      </c>
      <c r="FC5" s="305">
        <f>FC7</f>
        <v>2.9000000000000001E-2</v>
      </c>
      <c r="FD5" s="262"/>
      <c r="FE5" s="262" t="s">
        <v>21</v>
      </c>
      <c r="FF5" s="305">
        <f>FF7</f>
        <v>2.9000000000000001E-2</v>
      </c>
      <c r="FG5" s="263"/>
      <c r="FH5" s="263" t="s">
        <v>21</v>
      </c>
      <c r="FI5" s="290">
        <f>FI7</f>
        <v>2.9000000000000001E-2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2500</v>
      </c>
      <c r="FP5" s="263"/>
      <c r="FQ5" s="263" t="s">
        <v>122</v>
      </c>
      <c r="FR5" s="298">
        <f>B36</f>
        <v>2500</v>
      </c>
      <c r="FS5" s="263"/>
      <c r="FT5" s="263" t="s">
        <v>122</v>
      </c>
      <c r="FU5" s="298">
        <f>B36</f>
        <v>2500</v>
      </c>
      <c r="FV5" s="263"/>
      <c r="FW5" s="262" t="s">
        <v>181</v>
      </c>
      <c r="FX5" s="305">
        <f>B46</f>
        <v>10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2.7</v>
      </c>
      <c r="GE5" s="262"/>
      <c r="GF5" s="262" t="s">
        <v>21</v>
      </c>
      <c r="GG5" s="305">
        <f>GG7</f>
        <v>2.9000000000000001E-2</v>
      </c>
      <c r="GH5" s="262"/>
      <c r="GI5" s="262" t="s">
        <v>21</v>
      </c>
      <c r="GJ5" s="305">
        <f>GJ7</f>
        <v>2.9000000000000001E-2</v>
      </c>
      <c r="GK5" s="262"/>
      <c r="GL5" s="262" t="s">
        <v>21</v>
      </c>
      <c r="GM5" s="305">
        <f>GM7</f>
        <v>2.9000000000000001E-2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0.2</v>
      </c>
      <c r="GT5" s="262"/>
      <c r="GU5" s="262" t="s">
        <v>21</v>
      </c>
      <c r="GV5" s="305">
        <f>GV7</f>
        <v>2.9000000000000001E-2</v>
      </c>
      <c r="GW5" s="262"/>
      <c r="GX5" s="262" t="s">
        <v>21</v>
      </c>
      <c r="GY5" s="305">
        <f>GY7</f>
        <v>2.9000000000000001E-2</v>
      </c>
      <c r="GZ5" s="262"/>
      <c r="HA5" s="262" t="s">
        <v>21</v>
      </c>
      <c r="HB5" s="305">
        <f>HB7</f>
        <v>2.9000000000000001E-2</v>
      </c>
      <c r="HC5" s="263"/>
      <c r="HD5" s="265" t="s">
        <v>22</v>
      </c>
      <c r="HE5" s="292">
        <f>B47</f>
        <v>200</v>
      </c>
      <c r="HF5" s="262" t="s">
        <v>580</v>
      </c>
    </row>
    <row r="6" spans="1:214" ht="13.5" thickTop="1" x14ac:dyDescent="0.2">
      <c r="A6" s="278" t="s">
        <v>454</v>
      </c>
      <c r="B6" s="54">
        <v>4.3299999999999998E-2</v>
      </c>
      <c r="C6" s="240"/>
      <c r="D6" s="262" t="s">
        <v>23</v>
      </c>
      <c r="E6" s="288">
        <f>0.693/E7</f>
        <v>2.2972045705420805E-2</v>
      </c>
      <c r="G6" s="262" t="s">
        <v>439</v>
      </c>
      <c r="H6" s="287">
        <f>B20</f>
        <v>3.0487999999999999E-11</v>
      </c>
      <c r="I6" s="262" t="s">
        <v>35</v>
      </c>
      <c r="J6" s="262" t="s">
        <v>316</v>
      </c>
      <c r="K6" s="287">
        <f>B21</f>
        <v>4.2549999999999998E-11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2.2972045705420805E-2</v>
      </c>
      <c r="Y6" s="262" t="s">
        <v>23</v>
      </c>
      <c r="Z6" s="288">
        <f>0.693/Z7</f>
        <v>2.2972045705420805E-2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BQ12</f>
        <v>1</v>
      </c>
      <c r="BR6" s="249" t="s">
        <v>69</v>
      </c>
      <c r="BS6" s="262" t="s">
        <v>23</v>
      </c>
      <c r="BT6" s="288">
        <f>0.693/BT7</f>
        <v>2.2972045705420805E-2</v>
      </c>
      <c r="BV6" s="262" t="s">
        <v>163</v>
      </c>
      <c r="BW6" s="287">
        <f>B20</f>
        <v>3.0487999999999999E-11</v>
      </c>
      <c r="BX6" s="262" t="s">
        <v>35</v>
      </c>
      <c r="BY6" s="262" t="s">
        <v>45</v>
      </c>
      <c r="BZ6" s="287">
        <f>B21</f>
        <v>4.2549999999999998E-11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3.7370000000000003E-11</v>
      </c>
      <c r="CM6" s="266" t="s">
        <v>13</v>
      </c>
      <c r="CN6" s="263" t="s">
        <v>21</v>
      </c>
      <c r="CO6" s="290">
        <f>CO8</f>
        <v>2.9000000000000001E-2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4.2549999999999998E-11</v>
      </c>
      <c r="CV6" s="262" t="s">
        <v>35</v>
      </c>
      <c r="CW6" s="262" t="s">
        <v>23</v>
      </c>
      <c r="CX6" s="288">
        <f>0.693/CX7</f>
        <v>2.2972045705420805E-2</v>
      </c>
      <c r="CZ6" s="262" t="s">
        <v>163</v>
      </c>
      <c r="DA6" s="287">
        <f>B20</f>
        <v>3.0487999999999999E-11</v>
      </c>
      <c r="DB6" s="262" t="s">
        <v>35</v>
      </c>
      <c r="DC6" s="262" t="s">
        <v>438</v>
      </c>
      <c r="DD6" s="287">
        <f>B30</f>
        <v>3.7370000000000003E-11</v>
      </c>
      <c r="DE6" s="267" t="s">
        <v>35</v>
      </c>
      <c r="DF6" s="249" t="s">
        <v>27</v>
      </c>
      <c r="DG6" s="118">
        <f>(DG8*DG9*DG14*((1-EXP(-DG11*DG12))))/(DG13*DG11)</f>
        <v>6.8274849094862002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6.8274849094862002</v>
      </c>
      <c r="DQ6" s="249" t="s">
        <v>19</v>
      </c>
      <c r="DR6" s="262" t="s">
        <v>438</v>
      </c>
      <c r="DS6" s="287">
        <f>B30</f>
        <v>3.7370000000000003E-11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3.7370000000000003E-11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3.7370000000000003E-11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3.7370000000000003E-11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10</v>
      </c>
      <c r="FS6" s="249" t="s">
        <v>19</v>
      </c>
      <c r="FT6" s="262" t="s">
        <v>181</v>
      </c>
      <c r="FU6" s="305">
        <f>B46</f>
        <v>10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3.7370000000000003E-11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3.7370000000000003E-11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1.3801726043358877E-11</v>
      </c>
      <c r="HF6" s="262" t="s">
        <v>313</v>
      </c>
    </row>
    <row r="7" spans="1:214" x14ac:dyDescent="0.2">
      <c r="A7" s="279" t="s">
        <v>455</v>
      </c>
      <c r="B7" s="70">
        <v>0.65300000000000002</v>
      </c>
      <c r="C7" s="241"/>
      <c r="D7" s="266" t="s">
        <v>270</v>
      </c>
      <c r="E7" s="287">
        <f>B31</f>
        <v>30.167100000000001</v>
      </c>
      <c r="F7" s="249" t="s">
        <v>69</v>
      </c>
      <c r="G7" s="262" t="s">
        <v>43</v>
      </c>
      <c r="H7" s="290">
        <f>B19</f>
        <v>1.1248E-10</v>
      </c>
      <c r="I7" s="263" t="s">
        <v>35</v>
      </c>
      <c r="J7" s="262" t="s">
        <v>43</v>
      </c>
      <c r="K7" s="290">
        <f>B19</f>
        <v>1.1248E-10</v>
      </c>
      <c r="L7" s="263" t="s">
        <v>35</v>
      </c>
      <c r="M7" s="262" t="s">
        <v>23</v>
      </c>
      <c r="N7" s="288">
        <f>0.693/N8</f>
        <v>2.2972045705420805E-2</v>
      </c>
      <c r="P7" s="262" t="s">
        <v>23</v>
      </c>
      <c r="Q7" s="288">
        <f>0.693/Q8</f>
        <v>2.2972045705420805E-2</v>
      </c>
      <c r="S7" s="262" t="s">
        <v>23</v>
      </c>
      <c r="T7" s="288">
        <f>0.693/T8</f>
        <v>2.2972045705420805E-2</v>
      </c>
      <c r="V7" s="266" t="s">
        <v>270</v>
      </c>
      <c r="W7" s="287">
        <f>B31</f>
        <v>30.167100000000001</v>
      </c>
      <c r="X7" s="249" t="s">
        <v>69</v>
      </c>
      <c r="Y7" s="266" t="s">
        <v>270</v>
      </c>
      <c r="Z7" s="287">
        <f>B31</f>
        <v>30.167100000000001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2.2972045705420805E-2</v>
      </c>
      <c r="AL7" s="262" t="s">
        <v>23</v>
      </c>
      <c r="AM7" s="288">
        <f>0.693/AM8</f>
        <v>2.2972045705420805E-2</v>
      </c>
      <c r="AO7" s="262" t="s">
        <v>23</v>
      </c>
      <c r="AP7" s="288">
        <f>0.693/AP8</f>
        <v>2.2972045705420805E-2</v>
      </c>
      <c r="AR7" s="262" t="s">
        <v>23</v>
      </c>
      <c r="AS7" s="288">
        <f>0.693/AS8</f>
        <v>2.2972045705420805E-2</v>
      </c>
      <c r="AU7" s="262" t="s">
        <v>23</v>
      </c>
      <c r="AV7" s="288">
        <f>0.693/AV8</f>
        <v>2.2972045705420805E-2</v>
      </c>
      <c r="AX7" s="262" t="s">
        <v>23</v>
      </c>
      <c r="AY7" s="288">
        <f>0.693/AY8</f>
        <v>2.2972045705420805E-2</v>
      </c>
      <c r="BA7" s="262" t="s">
        <v>23</v>
      </c>
      <c r="BB7" s="288">
        <f>0.693/BB8</f>
        <v>2.2972045705420805E-2</v>
      </c>
      <c r="BD7" s="262" t="s">
        <v>23</v>
      </c>
      <c r="BE7" s="288">
        <f>0.693/BE8</f>
        <v>2.2972045705420805E-2</v>
      </c>
      <c r="BG7" s="262" t="s">
        <v>23</v>
      </c>
      <c r="BH7" s="288">
        <f>0.693/BH8</f>
        <v>2.2972045705420805E-2</v>
      </c>
      <c r="BJ7" s="262" t="s">
        <v>23</v>
      </c>
      <c r="BK7" s="288">
        <f>0.693/BK8</f>
        <v>2.2972045705420805E-2</v>
      </c>
      <c r="BM7" s="262" t="s">
        <v>23</v>
      </c>
      <c r="BN7" s="288">
        <f>0.693/BN8</f>
        <v>2.2972045705420805E-2</v>
      </c>
      <c r="BP7" s="262" t="s">
        <v>23</v>
      </c>
      <c r="BQ7" s="288">
        <f>0.693/BQ8</f>
        <v>2.2972045705420805E-2</v>
      </c>
      <c r="BS7" s="266" t="s">
        <v>270</v>
      </c>
      <c r="BT7" s="287">
        <f>B31</f>
        <v>30.167100000000001</v>
      </c>
      <c r="BU7" s="249" t="s">
        <v>69</v>
      </c>
      <c r="BV7" s="262" t="s">
        <v>43</v>
      </c>
      <c r="BW7" s="290">
        <f>E10</f>
        <v>1.1248E-10</v>
      </c>
      <c r="BX7" s="263" t="s">
        <v>35</v>
      </c>
      <c r="BY7" s="262" t="s">
        <v>43</v>
      </c>
      <c r="BZ7" s="290">
        <f>B19</f>
        <v>1.1248E-10</v>
      </c>
      <c r="CA7" s="263" t="s">
        <v>35</v>
      </c>
      <c r="CB7" s="262" t="s">
        <v>23</v>
      </c>
      <c r="CC7" s="288">
        <f>0.693/CC8</f>
        <v>2.2972045705420805E-2</v>
      </c>
      <c r="CE7" s="262" t="s">
        <v>23</v>
      </c>
      <c r="CF7" s="288">
        <f>0.693/CF8</f>
        <v>2.2972045705420805E-2</v>
      </c>
      <c r="CH7" s="262" t="s">
        <v>23</v>
      </c>
      <c r="CI7" s="288">
        <f>0.693/CI8</f>
        <v>2.2972045705420805E-2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1.1248E-10</v>
      </c>
      <c r="CV7" s="263" t="s">
        <v>35</v>
      </c>
      <c r="CW7" s="266" t="s">
        <v>270</v>
      </c>
      <c r="CX7" s="287">
        <f>B31</f>
        <v>30.167100000000001</v>
      </c>
      <c r="CY7" s="249" t="s">
        <v>69</v>
      </c>
      <c r="CZ7" s="263" t="s">
        <v>43</v>
      </c>
      <c r="DA7" s="290">
        <f>B19</f>
        <v>1.1248E-10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3.6385326157733249</v>
      </c>
      <c r="DH7" s="249" t="s">
        <v>19</v>
      </c>
      <c r="DI7" s="262" t="s">
        <v>37</v>
      </c>
      <c r="DJ7" s="287">
        <f>B44</f>
        <v>2.5229999999999999E-2</v>
      </c>
      <c r="DL7" s="262" t="s">
        <v>37</v>
      </c>
      <c r="DM7" s="287">
        <f>B44</f>
        <v>2.5229999999999999E-2</v>
      </c>
      <c r="DO7" s="249" t="s">
        <v>36</v>
      </c>
      <c r="DP7" s="118">
        <f>(DP8*DP9*DP15*DP21*((1-EXP(-DP16*DP17))))/(DP18*DP16)</f>
        <v>3.6385326157733249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2.9000000000000001E-2</v>
      </c>
      <c r="EA7" s="262" t="s">
        <v>38</v>
      </c>
      <c r="EB7" s="287">
        <f>B45</f>
        <v>2.9000000000000001E-2</v>
      </c>
      <c r="EC7" s="263"/>
      <c r="ED7" s="262" t="s">
        <v>38</v>
      </c>
      <c r="EE7" s="287">
        <f>B45</f>
        <v>2.9000000000000001E-2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2.9000000000000001E-2</v>
      </c>
      <c r="EP7" s="262" t="s">
        <v>38</v>
      </c>
      <c r="EQ7" s="287">
        <f>B45</f>
        <v>2.9000000000000001E-2</v>
      </c>
      <c r="ER7" s="263"/>
      <c r="ES7" s="262" t="s">
        <v>38</v>
      </c>
      <c r="ET7" s="287">
        <f>B45</f>
        <v>2.9000000000000001E-2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2.9000000000000001E-2</v>
      </c>
      <c r="FD7" s="262"/>
      <c r="FE7" s="262" t="s">
        <v>38</v>
      </c>
      <c r="FF7" s="305">
        <f>B45</f>
        <v>2.9000000000000001E-2</v>
      </c>
      <c r="FG7" s="263"/>
      <c r="FH7" s="263" t="s">
        <v>38</v>
      </c>
      <c r="FI7" s="290">
        <f>B45</f>
        <v>2.9000000000000001E-2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2.9000000000000001E-2</v>
      </c>
      <c r="GH7" s="262"/>
      <c r="GI7" s="262" t="s">
        <v>38</v>
      </c>
      <c r="GJ7" s="305">
        <f>B45</f>
        <v>2.9000000000000001E-2</v>
      </c>
      <c r="GK7" s="262"/>
      <c r="GL7" s="262" t="s">
        <v>38</v>
      </c>
      <c r="GM7" s="305">
        <f>B45</f>
        <v>2.9000000000000001E-2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2.9000000000000001E-2</v>
      </c>
      <c r="GW7" s="262"/>
      <c r="GX7" s="262" t="s">
        <v>38</v>
      </c>
      <c r="GY7" s="305">
        <f>B45</f>
        <v>2.9000000000000001E-2</v>
      </c>
      <c r="GZ7" s="262"/>
      <c r="HA7" s="262" t="s">
        <v>38</v>
      </c>
      <c r="HB7" s="305">
        <f>B45</f>
        <v>2.9000000000000001E-2</v>
      </c>
      <c r="HC7" s="263"/>
      <c r="HD7" s="262" t="s">
        <v>23</v>
      </c>
      <c r="HE7" s="288">
        <f>0.693/HE8</f>
        <v>2.2972045705420805E-2</v>
      </c>
    </row>
    <row r="8" spans="1:214" x14ac:dyDescent="0.2">
      <c r="A8" s="279" t="s">
        <v>458</v>
      </c>
      <c r="B8" s="70">
        <v>5.0099999999999999E-2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5.1609299040000001E-12</v>
      </c>
      <c r="I8" s="263" t="s">
        <v>35</v>
      </c>
      <c r="J8" s="262" t="s">
        <v>71</v>
      </c>
      <c r="K8" s="287">
        <f>B23</f>
        <v>2.5337597040000001E-6</v>
      </c>
      <c r="L8" s="262" t="s">
        <v>445</v>
      </c>
      <c r="M8" s="266" t="s">
        <v>270</v>
      </c>
      <c r="N8" s="287">
        <f>B31</f>
        <v>30.167100000000001</v>
      </c>
      <c r="O8" s="249" t="s">
        <v>69</v>
      </c>
      <c r="P8" s="266" t="s">
        <v>270</v>
      </c>
      <c r="Q8" s="287">
        <f>B31</f>
        <v>30.167100000000001</v>
      </c>
      <c r="R8" s="249" t="s">
        <v>69</v>
      </c>
      <c r="S8" s="266" t="s">
        <v>270</v>
      </c>
      <c r="T8" s="287">
        <f>B31</f>
        <v>30.167100000000001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30.167100000000001</v>
      </c>
      <c r="AK8" s="249" t="s">
        <v>69</v>
      </c>
      <c r="AL8" s="266" t="s">
        <v>270</v>
      </c>
      <c r="AM8" s="287">
        <f>B31</f>
        <v>30.167100000000001</v>
      </c>
      <c r="AN8" s="249" t="s">
        <v>69</v>
      </c>
      <c r="AO8" s="266" t="s">
        <v>270</v>
      </c>
      <c r="AP8" s="287">
        <f>B31</f>
        <v>30.167100000000001</v>
      </c>
      <c r="AQ8" s="249" t="s">
        <v>69</v>
      </c>
      <c r="AR8" s="266" t="s">
        <v>270</v>
      </c>
      <c r="AS8" s="287">
        <f>B31</f>
        <v>30.167100000000001</v>
      </c>
      <c r="AT8" s="249" t="s">
        <v>69</v>
      </c>
      <c r="AU8" s="266" t="s">
        <v>270</v>
      </c>
      <c r="AV8" s="287">
        <f>B31</f>
        <v>30.167100000000001</v>
      </c>
      <c r="AW8" s="249" t="s">
        <v>69</v>
      </c>
      <c r="AX8" s="266" t="s">
        <v>270</v>
      </c>
      <c r="AY8" s="287">
        <f>B31</f>
        <v>30.167100000000001</v>
      </c>
      <c r="AZ8" s="249" t="s">
        <v>69</v>
      </c>
      <c r="BA8" s="266" t="s">
        <v>270</v>
      </c>
      <c r="BB8" s="287">
        <f>B31</f>
        <v>30.167100000000001</v>
      </c>
      <c r="BC8" s="249" t="s">
        <v>69</v>
      </c>
      <c r="BD8" s="266" t="s">
        <v>270</v>
      </c>
      <c r="BE8" s="287">
        <f>B31</f>
        <v>30.167100000000001</v>
      </c>
      <c r="BF8" s="249" t="s">
        <v>69</v>
      </c>
      <c r="BG8" s="266" t="s">
        <v>270</v>
      </c>
      <c r="BH8" s="287">
        <f>B31</f>
        <v>30.167100000000001</v>
      </c>
      <c r="BI8" s="249" t="s">
        <v>69</v>
      </c>
      <c r="BJ8" s="266" t="s">
        <v>270</v>
      </c>
      <c r="BK8" s="287">
        <f>B31</f>
        <v>30.167100000000001</v>
      </c>
      <c r="BL8" s="249" t="s">
        <v>69</v>
      </c>
      <c r="BM8" s="266" t="s">
        <v>270</v>
      </c>
      <c r="BN8" s="287">
        <f>B31</f>
        <v>30.167100000000001</v>
      </c>
      <c r="BO8" s="249" t="s">
        <v>69</v>
      </c>
      <c r="BP8" s="266" t="s">
        <v>270</v>
      </c>
      <c r="BQ8" s="287">
        <f>B31</f>
        <v>30.167100000000001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5.1609299040000001E-12</v>
      </c>
      <c r="BX8" s="263" t="s">
        <v>35</v>
      </c>
      <c r="BY8" s="262" t="s">
        <v>71</v>
      </c>
      <c r="BZ8" s="287">
        <f>B23</f>
        <v>2.5337597040000001E-6</v>
      </c>
      <c r="CA8" s="262" t="s">
        <v>95</v>
      </c>
      <c r="CB8" s="266" t="s">
        <v>270</v>
      </c>
      <c r="CC8" s="287">
        <f>B31</f>
        <v>30.167100000000001</v>
      </c>
      <c r="CD8" s="249" t="s">
        <v>69</v>
      </c>
      <c r="CE8" s="266" t="s">
        <v>270</v>
      </c>
      <c r="CF8" s="287">
        <f>B31</f>
        <v>30.167100000000001</v>
      </c>
      <c r="CG8" s="249" t="s">
        <v>69</v>
      </c>
      <c r="CH8" s="266" t="s">
        <v>270</v>
      </c>
      <c r="CI8" s="287">
        <f>B31</f>
        <v>30.167100000000001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2.9000000000000001E-2</v>
      </c>
      <c r="CT8" s="262" t="s">
        <v>71</v>
      </c>
      <c r="CU8" s="287">
        <f>B23</f>
        <v>2.5337597040000001E-6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5.1609299040000001E-12</v>
      </c>
      <c r="DB8" s="262" t="s">
        <v>35</v>
      </c>
      <c r="DC8" s="262" t="s">
        <v>380</v>
      </c>
      <c r="DD8" s="297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30.167100000000001</v>
      </c>
      <c r="HF8" s="249" t="s">
        <v>69</v>
      </c>
    </row>
    <row r="9" spans="1:214" x14ac:dyDescent="0.2">
      <c r="A9" s="279" t="s">
        <v>459</v>
      </c>
      <c r="B9" s="70">
        <v>0.72599999999999998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3.7370000000000003E-11</v>
      </c>
      <c r="I9" s="267" t="s">
        <v>35</v>
      </c>
      <c r="J9" s="262" t="s">
        <v>438</v>
      </c>
      <c r="K9" s="287">
        <f>B30</f>
        <v>3.7370000000000003E-11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3.1782999999999999E-11</v>
      </c>
      <c r="AD9" s="287">
        <f>B22</f>
        <v>3.1782999999999999E-11</v>
      </c>
      <c r="AE9" s="287">
        <f>B22</f>
        <v>3.1782999999999999E-11</v>
      </c>
      <c r="AF9" s="287">
        <f>B22</f>
        <v>3.1782999999999999E-11</v>
      </c>
      <c r="AG9" s="287">
        <f>B22</f>
        <v>3.1782999999999999E-11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3.7370000000000003E-11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3.7370000000000003E-11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3.7370000000000003E-11</v>
      </c>
      <c r="DB9" s="263" t="s">
        <v>35</v>
      </c>
      <c r="DC9" s="262" t="s">
        <v>381</v>
      </c>
      <c r="DD9" s="297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4.5999999999999999E-3</v>
      </c>
      <c r="EA9" s="262" t="s">
        <v>278</v>
      </c>
      <c r="EB9" s="287">
        <f>B37</f>
        <v>4.5999999999999999E-3</v>
      </c>
      <c r="EC9" s="263"/>
      <c r="ED9" s="262" t="s">
        <v>278</v>
      </c>
      <c r="EE9" s="287">
        <f>B37</f>
        <v>4.5999999999999999E-3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2.1999999999999999E-2</v>
      </c>
      <c r="EP9" s="262" t="s">
        <v>275</v>
      </c>
      <c r="EQ9" s="310">
        <f>B38</f>
        <v>2.1999999999999999E-2</v>
      </c>
      <c r="ER9" s="263"/>
      <c r="ES9" s="262" t="s">
        <v>275</v>
      </c>
      <c r="ET9" s="310">
        <f>B38</f>
        <v>2.1999999999999999E-2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0.4</v>
      </c>
      <c r="FD9" s="262"/>
      <c r="FE9" s="262" t="s">
        <v>201</v>
      </c>
      <c r="FF9" s="310">
        <f>B40</f>
        <v>0.4</v>
      </c>
      <c r="FG9" s="263"/>
      <c r="FH9" s="262" t="s">
        <v>201</v>
      </c>
      <c r="FI9" s="310">
        <f>B40</f>
        <v>0.4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2.7</v>
      </c>
      <c r="GH9" s="262"/>
      <c r="GI9" s="262" t="s">
        <v>276</v>
      </c>
      <c r="GJ9" s="310">
        <f>B39</f>
        <v>2.7</v>
      </c>
      <c r="GK9" s="262"/>
      <c r="GL9" s="262" t="s">
        <v>276</v>
      </c>
      <c r="GM9" s="310">
        <f>B39</f>
        <v>2.7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0.2</v>
      </c>
      <c r="GW9" s="262"/>
      <c r="GX9" s="262" t="s">
        <v>277</v>
      </c>
      <c r="GY9" s="310">
        <f>B41</f>
        <v>0.2</v>
      </c>
      <c r="GZ9" s="262"/>
      <c r="HA9" s="262" t="s">
        <v>277</v>
      </c>
      <c r="HB9" s="310">
        <f>B41</f>
        <v>0.2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7.2400000000000006E-2</v>
      </c>
      <c r="C10" s="241"/>
      <c r="D10" s="88" t="s">
        <v>43</v>
      </c>
      <c r="E10" s="187">
        <f>B19</f>
        <v>1.1248E-10</v>
      </c>
      <c r="F10" s="188" t="s">
        <v>35</v>
      </c>
      <c r="G10" s="266" t="s">
        <v>80</v>
      </c>
      <c r="H10" s="294">
        <f>(H5/(H6*H15))*H70*H68*H69</f>
        <v>1.9832920700616957E-11</v>
      </c>
      <c r="I10" s="271" t="s">
        <v>313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1.1248E-10</v>
      </c>
      <c r="X10" s="263" t="s">
        <v>44</v>
      </c>
      <c r="Y10" s="249" t="s">
        <v>43</v>
      </c>
      <c r="Z10" s="290">
        <f>B19</f>
        <v>1.1248E-10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1.1248E-10</v>
      </c>
      <c r="BU10" s="263" t="s">
        <v>35</v>
      </c>
      <c r="BV10" s="266" t="s">
        <v>80</v>
      </c>
      <c r="BW10" s="294">
        <f>(BW5/(BW6*BW12))*BW34*BW32*BW33</f>
        <v>3.8929480653169982E-9</v>
      </c>
      <c r="BX10" s="271" t="s">
        <v>313</v>
      </c>
      <c r="BY10" s="188" t="s">
        <v>16</v>
      </c>
      <c r="BZ10" s="109">
        <f>(BZ33*BZ11)/(1-EXP(-BZ11*BZ33))</f>
        <v>1.3281892705568645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315</v>
      </c>
      <c r="CL10" s="289">
        <f>B293</f>
        <v>137</v>
      </c>
      <c r="CM10" s="249" t="s">
        <v>309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1.1248E-10</v>
      </c>
      <c r="CY10" s="263" t="s">
        <v>35</v>
      </c>
      <c r="CZ10" s="263" t="s">
        <v>16</v>
      </c>
      <c r="DA10" s="288">
        <f>(DA38*DA11)/(1-EXP(-DA11*DA38))</f>
        <v>1.5288322310877529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2.5229999999999999E-2</v>
      </c>
      <c r="DL10" s="267"/>
      <c r="DO10" s="267" t="s">
        <v>37</v>
      </c>
      <c r="DP10" s="287">
        <f>B44</f>
        <v>2.5229999999999999E-2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0.73599999999999999</v>
      </c>
      <c r="C11" s="241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(H5/(H7*H16*H28))*H70*H68*H69</f>
        <v>1.278029779207125E-12</v>
      </c>
      <c r="I11" s="271" t="s">
        <v>313</v>
      </c>
      <c r="J11" s="188" t="s">
        <v>16</v>
      </c>
      <c r="K11" s="109">
        <f>(K46*K12)/(1-EXP(-K12*K46))</f>
        <v>1.3281892705568645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(BW5/(BW8*(1/BW31)*BW15))*BW34*BW32*BW33</f>
        <v>1.0072880825071262E-5</v>
      </c>
      <c r="BX11" s="271" t="s">
        <v>313</v>
      </c>
      <c r="BY11" s="266" t="s">
        <v>23</v>
      </c>
      <c r="BZ11" s="109">
        <f>0.693/BZ12</f>
        <v>2.2972045705420805E-2</v>
      </c>
      <c r="CA11" s="88"/>
      <c r="CB11" s="249" t="s">
        <v>456</v>
      </c>
      <c r="CC11" s="287">
        <f>B3</f>
        <v>8.5099999999999995E-2</v>
      </c>
      <c r="CE11" s="249" t="s">
        <v>454</v>
      </c>
      <c r="CF11" s="287">
        <f>B6</f>
        <v>4.3299999999999998E-2</v>
      </c>
      <c r="CH11" s="249" t="s">
        <v>460</v>
      </c>
      <c r="CI11" s="287">
        <f>B10</f>
        <v>7.2400000000000006E-2</v>
      </c>
      <c r="CK11" s="266" t="s">
        <v>270</v>
      </c>
      <c r="CL11" s="287">
        <f>B31</f>
        <v>30.167100000000001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1.5288322310877529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2.2972045705420805E-2</v>
      </c>
      <c r="DC11" s="262" t="s">
        <v>382</v>
      </c>
      <c r="DD11" s="297">
        <f>B141</f>
        <v>41.7</v>
      </c>
      <c r="DE11" s="267" t="s">
        <v>254</v>
      </c>
      <c r="DF11" s="267" t="s">
        <v>55</v>
      </c>
      <c r="DG11" s="288">
        <f>DG19+DG20</f>
        <v>8.9999999999999992E-5</v>
      </c>
      <c r="DL11" s="267"/>
      <c r="DO11" s="267" t="s">
        <v>55</v>
      </c>
      <c r="DP11" s="288">
        <f>DP19+DP20</f>
        <v>8.9999999999999992E-5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2.6599999999999999E-2</v>
      </c>
      <c r="C12" s="241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(H5/(H8*(1/H45)*H21))*H70*H68*H69</f>
        <v>3.2179091757681776E-6</v>
      </c>
      <c r="I12" s="271" t="s">
        <v>313</v>
      </c>
      <c r="J12" s="266" t="s">
        <v>23</v>
      </c>
      <c r="K12" s="109">
        <f>0.693/K13</f>
        <v>2.2972045705420805E-2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30.167100000000001</v>
      </c>
      <c r="CA12" s="88" t="s">
        <v>69</v>
      </c>
      <c r="CB12" s="249" t="s">
        <v>457</v>
      </c>
      <c r="CC12" s="287">
        <f>B4</f>
        <v>0.74199999999999999</v>
      </c>
      <c r="CE12" s="249" t="s">
        <v>455</v>
      </c>
      <c r="CF12" s="287">
        <f>B7</f>
        <v>0.65300000000000002</v>
      </c>
      <c r="CH12" s="249" t="s">
        <v>461</v>
      </c>
      <c r="CI12" s="287">
        <f>B11</f>
        <v>0.73599999999999999</v>
      </c>
      <c r="CK12" s="249" t="s">
        <v>23</v>
      </c>
      <c r="CL12" s="288">
        <f>693/CL11</f>
        <v>22.972045705420804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2.2972045705420805E-2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30.167100000000001</v>
      </c>
      <c r="DB12" s="249" t="s">
        <v>69</v>
      </c>
      <c r="DC12" s="262" t="s">
        <v>383</v>
      </c>
      <c r="DD12" s="297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0.46500000000000002</v>
      </c>
      <c r="C13" s="242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>
        <f>(H14/((1/H42)*(H50+H51+H52)))</f>
        <v>4.5386099178162278E-11</v>
      </c>
      <c r="I13" s="271" t="s">
        <v>313</v>
      </c>
      <c r="J13" s="266" t="s">
        <v>270</v>
      </c>
      <c r="K13" s="189">
        <f>B31</f>
        <v>30.167100000000001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8.5099999999999995E-2</v>
      </c>
      <c r="BM13" s="249" t="s">
        <v>454</v>
      </c>
      <c r="BN13" s="287">
        <f>B6</f>
        <v>4.3299999999999998E-2</v>
      </c>
      <c r="BP13" s="249" t="s">
        <v>460</v>
      </c>
      <c r="BQ13" s="287">
        <f>B10</f>
        <v>7.2400000000000006E-2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>
        <f>((BZ5/(BZ6*BZ16*(1/BZ36)))*BZ10)*BZ12*BZ37*BZ38</f>
        <v>1.5050860236396215E-6</v>
      </c>
      <c r="CA13" s="271" t="s">
        <v>311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597.27318834094092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30.167100000000001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>
        <f>(DA5/(DA6*DA23))*DA12*DA50*DA51</f>
        <v>1.2092597055193301E-8</v>
      </c>
      <c r="DB13" s="266" t="s">
        <v>313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>
        <f>(H5/(H9*(H22+H25)*H43))*H70*H68*H69</f>
        <v>5.0508129959277001E-13</v>
      </c>
      <c r="I14" s="271" t="s">
        <v>311</v>
      </c>
      <c r="J14" s="266" t="s">
        <v>80</v>
      </c>
      <c r="K14" s="294">
        <f>((K5/(K6*K19*(1/K49)))*K11)*K13*K54*K55</f>
        <v>3.2251843363706178E-7</v>
      </c>
      <c r="L14" s="271" t="s">
        <v>311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2.381967648E-9</v>
      </c>
      <c r="X14" s="262" t="s">
        <v>64</v>
      </c>
      <c r="Y14" s="262" t="s">
        <v>63</v>
      </c>
      <c r="Z14" s="287">
        <f>B28</f>
        <v>2.381967648E-9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0.74199999999999999</v>
      </c>
      <c r="BM14" s="249" t="s">
        <v>455</v>
      </c>
      <c r="BN14" s="287">
        <f>B7</f>
        <v>0.65300000000000002</v>
      </c>
      <c r="BP14" s="249" t="s">
        <v>461</v>
      </c>
      <c r="BQ14" s="287">
        <f>B11</f>
        <v>0.73599999999999999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((BZ5/(BZ7*BZ17*(1/BZ9)*BZ35))*BZ10)*BZ12*BZ37*BZ38</f>
        <v>0.12921665485257947</v>
      </c>
      <c r="CA14" s="271" t="s">
        <v>311</v>
      </c>
      <c r="CB14" s="249" t="s">
        <v>71</v>
      </c>
      <c r="CC14" s="290">
        <f>B23</f>
        <v>2.5337597040000001E-6</v>
      </c>
      <c r="CD14" s="263" t="s">
        <v>72</v>
      </c>
      <c r="CE14" s="249" t="s">
        <v>71</v>
      </c>
      <c r="CF14" s="290">
        <f>B25</f>
        <v>5.1749414784E-7</v>
      </c>
      <c r="CG14" s="263" t="s">
        <v>72</v>
      </c>
      <c r="CH14" s="249" t="s">
        <v>71</v>
      </c>
      <c r="CI14" s="290">
        <f>B27</f>
        <v>2.2652045279999998E-6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((CU5/(CU6*CU24*(1/CU47)))*CU11)*CU13*CU48*CU49</f>
        <v>2.5825369917283146E-7</v>
      </c>
      <c r="CV14" s="271" t="s">
        <v>311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(DA5/(DA7*DA24*DA46))*DA12*DA50*DA51</f>
        <v>7.9445094383145607E-10</v>
      </c>
      <c r="DB14" s="266" t="s">
        <v>313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((K5/(K7*K20*(1/K10)*K48))*K11)*K13*K54*K55</f>
        <v>1.1537201326123165E-3</v>
      </c>
      <c r="L15" s="271" t="s">
        <v>311</v>
      </c>
      <c r="M15" s="249" t="s">
        <v>448</v>
      </c>
      <c r="N15" s="290">
        <f>B23</f>
        <v>2.5337597040000001E-6</v>
      </c>
      <c r="O15" s="263" t="s">
        <v>446</v>
      </c>
      <c r="P15" s="249" t="s">
        <v>449</v>
      </c>
      <c r="Q15" s="290">
        <f>B25</f>
        <v>5.1749414784E-7</v>
      </c>
      <c r="R15" s="263" t="s">
        <v>446</v>
      </c>
      <c r="S15" s="249" t="s">
        <v>453</v>
      </c>
      <c r="T15" s="290">
        <f>B27</f>
        <v>2.2652045279999998E-6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2.5337597040000001E-6</v>
      </c>
      <c r="AK15" s="263" t="s">
        <v>72</v>
      </c>
      <c r="AL15" s="262" t="s">
        <v>449</v>
      </c>
      <c r="AM15" s="290">
        <f>B25</f>
        <v>5.1749414784E-7</v>
      </c>
      <c r="AN15" s="263" t="s">
        <v>72</v>
      </c>
      <c r="AO15" s="262" t="s">
        <v>452</v>
      </c>
      <c r="AP15" s="290">
        <f>B27</f>
        <v>2.2652045279999998E-6</v>
      </c>
      <c r="AQ15" s="263" t="s">
        <v>72</v>
      </c>
      <c r="AR15" s="249" t="s">
        <v>448</v>
      </c>
      <c r="AS15" s="290">
        <f>B23</f>
        <v>2.5337597040000001E-6</v>
      </c>
      <c r="AT15" s="263" t="s">
        <v>72</v>
      </c>
      <c r="AU15" s="262" t="s">
        <v>449</v>
      </c>
      <c r="AV15" s="290">
        <f>B25</f>
        <v>5.1749414784E-7</v>
      </c>
      <c r="AW15" s="263" t="s">
        <v>72</v>
      </c>
      <c r="AX15" s="262" t="s">
        <v>452</v>
      </c>
      <c r="AY15" s="290">
        <f>B27</f>
        <v>2.2652045279999998E-6</v>
      </c>
      <c r="AZ15" s="263" t="s">
        <v>72</v>
      </c>
      <c r="BA15" s="249" t="s">
        <v>448</v>
      </c>
      <c r="BB15" s="290">
        <f>B23</f>
        <v>2.5337597040000001E-6</v>
      </c>
      <c r="BC15" s="263" t="s">
        <v>72</v>
      </c>
      <c r="BD15" s="262" t="s">
        <v>449</v>
      </c>
      <c r="BE15" s="290">
        <f>B25</f>
        <v>5.1749414784E-7</v>
      </c>
      <c r="BF15" s="263" t="s">
        <v>72</v>
      </c>
      <c r="BG15" s="262" t="s">
        <v>452</v>
      </c>
      <c r="BH15" s="290">
        <f>B27</f>
        <v>2.2652045279999998E-6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(((BZ5)/(BZ8*BZ22*(1/BZ34)*BZ25*BZ28*(1/24)*BZ31*BZ32))*BZ10)*BZ12*BZ37*BZ38</f>
        <v>4.3156153926724044E-7</v>
      </c>
      <c r="CA15" s="271" t="s">
        <v>311</v>
      </c>
      <c r="CB15" s="95" t="s">
        <v>315</v>
      </c>
      <c r="CC15" s="289">
        <f>B293</f>
        <v>137</v>
      </c>
      <c r="CD15" s="249" t="s">
        <v>309</v>
      </c>
      <c r="CE15" s="95" t="s">
        <v>315</v>
      </c>
      <c r="CF15" s="289">
        <f>B293</f>
        <v>137</v>
      </c>
      <c r="CG15" s="249" t="s">
        <v>309</v>
      </c>
      <c r="CH15" s="95" t="s">
        <v>315</v>
      </c>
      <c r="CI15" s="289">
        <f>B293</f>
        <v>137</v>
      </c>
      <c r="CJ15" s="249" t="s">
        <v>309</v>
      </c>
      <c r="CK15" s="267" t="s">
        <v>310</v>
      </c>
      <c r="CL15" s="289">
        <f>B294</f>
        <v>2.8000000000000002E-12</v>
      </c>
      <c r="CT15" s="266" t="s">
        <v>74</v>
      </c>
      <c r="CU15" s="295">
        <f>((CU5/(CU7*CU25*(1/CU10)*CU46))*CU11)*CU13*CU48*CU49</f>
        <v>8.2551780672163611E-4</v>
      </c>
      <c r="CV15" s="271" t="s">
        <v>311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(DA5/(DA8*DA25*(DA47/DA48)))*DA12*DA50*DA51</f>
        <v>2.0496835655733027E-3</v>
      </c>
      <c r="DB15" s="266" t="s">
        <v>313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95" t="s">
        <v>315</v>
      </c>
      <c r="HE15" s="292">
        <f>B293</f>
        <v>137</v>
      </c>
      <c r="HF15" s="249" t="s">
        <v>309</v>
      </c>
    </row>
    <row r="16" spans="1:214" x14ac:dyDescent="0.2">
      <c r="A16" s="585"/>
      <c r="B16" s="586"/>
      <c r="C16" s="6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((K5/(K8*K45*((K40*K44*(1/24))+(K41*K43*(1/24)))*K32*(1/K47)*K34))*K11)*K13*K54*K55</f>
        <v>7.0198788609241004E-10</v>
      </c>
      <c r="L16" s="271" t="s">
        <v>311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((W5)/((W11/W12)*W8*W9*W10*W13))*W7*W20*W21</f>
        <v>9.1450130867709831E-13</v>
      </c>
      <c r="X16" s="88" t="s">
        <v>15</v>
      </c>
      <c r="Y16" s="88" t="s">
        <v>74</v>
      </c>
      <c r="Z16" s="294">
        <f>((Z5)/((Z11/Z12)*Z8*Z9*Z10*Z13))*Z7*Z20*Z21</f>
        <v>8.2305117780938848E-13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8.5099999999999995E-2</v>
      </c>
      <c r="AG16" s="305">
        <f>B3</f>
        <v>8.5099999999999995E-2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2.5337597040000001E-6</v>
      </c>
      <c r="BL16" s="263" t="s">
        <v>72</v>
      </c>
      <c r="BM16" s="262" t="s">
        <v>449</v>
      </c>
      <c r="BN16" s="290">
        <f>B25</f>
        <v>5.1749414784E-7</v>
      </c>
      <c r="BO16" s="263" t="s">
        <v>72</v>
      </c>
      <c r="BP16" s="262" t="s">
        <v>452</v>
      </c>
      <c r="BQ16" s="290">
        <f>B27</f>
        <v>2.2652045279999998E-6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7" t="s">
        <v>310</v>
      </c>
      <c r="CC16" s="293">
        <f>B294</f>
        <v>2.8000000000000002E-12</v>
      </c>
      <c r="CD16" s="262"/>
      <c r="CE16" s="267" t="s">
        <v>310</v>
      </c>
      <c r="CF16" s="293">
        <f>B294</f>
        <v>2.8000000000000002E-12</v>
      </c>
      <c r="CG16" s="262"/>
      <c r="CH16" s="267" t="s">
        <v>310</v>
      </c>
      <c r="CI16" s="289">
        <f>B294</f>
        <v>2.8000000000000002E-12</v>
      </c>
      <c r="CK16" s="267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((CU5*CU44*CU12)/((1-EXP(-CU12*CU44))*CU8*CU31*(1/365)*CU32*((CU38*(1/24)*CU42)+(CU39*(1/24)*CU41))*CU43))*CU13*CU48*CU49</f>
        <v>2.7017203161565223E-10</v>
      </c>
      <c r="CV16" s="271" t="s">
        <v>311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>
        <f>DG2</f>
        <v>7.2646457291239644E-9</v>
      </c>
      <c r="DB16" s="266" t="s">
        <v>313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4.9562999999999996E-2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4.9562999999999996E-2</v>
      </c>
      <c r="DQ16" s="262" t="s">
        <v>82</v>
      </c>
      <c r="DR16" s="267" t="s">
        <v>400</v>
      </c>
      <c r="DS16" s="297">
        <f>B175</f>
        <v>1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4.9562999999999996E-2</v>
      </c>
      <c r="EF16" s="262" t="s">
        <v>82</v>
      </c>
      <c r="EG16" s="267" t="s">
        <v>401</v>
      </c>
      <c r="EH16" s="297">
        <f>B176</f>
        <v>1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4.9562999999999996E-2</v>
      </c>
      <c r="EU16" s="262" t="s">
        <v>82</v>
      </c>
      <c r="EV16" s="267" t="s">
        <v>402</v>
      </c>
      <c r="EW16" s="297">
        <f>B177</f>
        <v>1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4.9562999999999996E-2</v>
      </c>
      <c r="FJ16" s="262" t="s">
        <v>82</v>
      </c>
      <c r="FK16" s="267" t="s">
        <v>403</v>
      </c>
      <c r="FL16" s="297">
        <f>B178</f>
        <v>1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4.9562999999999996E-2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4.9562999999999996E-2</v>
      </c>
      <c r="HC16" s="262" t="s">
        <v>82</v>
      </c>
      <c r="HD16" s="267" t="s">
        <v>310</v>
      </c>
      <c r="HE16" s="292">
        <f>B295</f>
        <v>2.8000000000000001E-15</v>
      </c>
      <c r="HF16" s="267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>
        <f>(K18/(K50+K51))*K11</f>
        <v>2.351939006689459E-9</v>
      </c>
      <c r="L17" s="271" t="s">
        <v>311</v>
      </c>
      <c r="M17" s="95" t="s">
        <v>315</v>
      </c>
      <c r="N17" s="293">
        <f>B293</f>
        <v>137</v>
      </c>
      <c r="O17" s="249" t="s">
        <v>309</v>
      </c>
      <c r="P17" s="95" t="s">
        <v>315</v>
      </c>
      <c r="Q17" s="293">
        <f>B293</f>
        <v>137</v>
      </c>
      <c r="R17" s="249" t="s">
        <v>309</v>
      </c>
      <c r="S17" s="95" t="s">
        <v>315</v>
      </c>
      <c r="T17" s="293">
        <f>B293</f>
        <v>137</v>
      </c>
      <c r="U17" s="249" t="s">
        <v>309</v>
      </c>
      <c r="V17" s="88" t="s">
        <v>78</v>
      </c>
      <c r="W17" s="296">
        <f>((W5)/((W11/W12)*W8*W9*W14*(1/365)))*W7*W20*W21</f>
        <v>9.4573158857613519E-10</v>
      </c>
      <c r="X17" s="88" t="s">
        <v>15</v>
      </c>
      <c r="Y17" s="88" t="s">
        <v>78</v>
      </c>
      <c r="Z17" s="296">
        <f>((Z5)/((Z11/Z12)*Z8*Z9*Z14*(1/365)))*Z7*Z20*Z21</f>
        <v>8.5115842971852173E-10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95" t="s">
        <v>315</v>
      </c>
      <c r="AJ17" s="293">
        <f>B293</f>
        <v>137</v>
      </c>
      <c r="AK17" s="249" t="s">
        <v>309</v>
      </c>
      <c r="AL17" s="95" t="s">
        <v>315</v>
      </c>
      <c r="AM17" s="293">
        <f>B293</f>
        <v>137</v>
      </c>
      <c r="AN17" s="249" t="s">
        <v>309</v>
      </c>
      <c r="AO17" s="95" t="s">
        <v>315</v>
      </c>
      <c r="AP17" s="293">
        <f>B293</f>
        <v>137</v>
      </c>
      <c r="AQ17" s="249" t="s">
        <v>309</v>
      </c>
      <c r="AR17" s="95" t="s">
        <v>315</v>
      </c>
      <c r="AS17" s="293">
        <f>B293</f>
        <v>137</v>
      </c>
      <c r="AT17" s="249" t="s">
        <v>309</v>
      </c>
      <c r="AU17" s="95" t="s">
        <v>315</v>
      </c>
      <c r="AV17" s="293">
        <f>B293</f>
        <v>137</v>
      </c>
      <c r="AW17" s="249" t="s">
        <v>309</v>
      </c>
      <c r="AX17" s="95" t="s">
        <v>315</v>
      </c>
      <c r="AY17" s="293">
        <f>B293</f>
        <v>137</v>
      </c>
      <c r="AZ17" s="249" t="s">
        <v>309</v>
      </c>
      <c r="BA17" s="95" t="s">
        <v>315</v>
      </c>
      <c r="BB17" s="293">
        <f>B293</f>
        <v>137</v>
      </c>
      <c r="BC17" s="249" t="s">
        <v>309</v>
      </c>
      <c r="BD17" s="95" t="s">
        <v>315</v>
      </c>
      <c r="BE17" s="293">
        <f>B293</f>
        <v>137</v>
      </c>
      <c r="BF17" s="249" t="s">
        <v>309</v>
      </c>
      <c r="BG17" s="95" t="s">
        <v>315</v>
      </c>
      <c r="BH17" s="293">
        <f>B293</f>
        <v>137</v>
      </c>
      <c r="BI17" s="249" t="s">
        <v>309</v>
      </c>
      <c r="BJ17" s="95" t="s">
        <v>315</v>
      </c>
      <c r="BK17" s="293">
        <f>B293</f>
        <v>137</v>
      </c>
      <c r="BL17" s="249" t="s">
        <v>309</v>
      </c>
      <c r="BM17" s="95" t="s">
        <v>315</v>
      </c>
      <c r="BN17" s="293">
        <f>B293</f>
        <v>137</v>
      </c>
      <c r="BO17" s="249" t="s">
        <v>309</v>
      </c>
      <c r="BP17" s="95" t="s">
        <v>315</v>
      </c>
      <c r="BQ17" s="293">
        <f>B293</f>
        <v>137</v>
      </c>
      <c r="BR17" s="249" t="s">
        <v>309</v>
      </c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4.3332874561680572E-10</v>
      </c>
      <c r="CV17" s="271" t="s">
        <v>311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>
        <f>EZ2</f>
        <v>2.9392936815521679E-6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2.2972045705420805E-2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2.381967648E-9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>
        <f>(K5/(K9*(K25+K28)*K39))*K13*K54*K55</f>
        <v>5.0508129959276997E-10</v>
      </c>
      <c r="L18" s="271" t="s">
        <v>311</v>
      </c>
      <c r="M18" s="267" t="s">
        <v>310</v>
      </c>
      <c r="N18" s="289">
        <f>B294</f>
        <v>2.8000000000000002E-12</v>
      </c>
      <c r="P18" s="267" t="s">
        <v>310</v>
      </c>
      <c r="Q18" s="289">
        <f>B294</f>
        <v>2.8000000000000002E-12</v>
      </c>
      <c r="S18" s="267" t="s">
        <v>310</v>
      </c>
      <c r="T18" s="289">
        <f>B294</f>
        <v>2.8000000000000002E-12</v>
      </c>
      <c r="V18" s="88" t="s">
        <v>74</v>
      </c>
      <c r="W18" s="294">
        <f>((W5*W6*W9)/((W11/W12)*(1-EXP(-W6*W9))*W10*W13*W8*W9))*W7*W20*W21</f>
        <v>1.2020989949370671E-12</v>
      </c>
      <c r="X18" s="88" t="s">
        <v>16</v>
      </c>
      <c r="Y18" s="88" t="s">
        <v>74</v>
      </c>
      <c r="Z18" s="294">
        <f>((Z5*Z6*Z9)/((Z11/Z12)*(1-EXP(-Z6*Z9))*Z10*Z13*Z8*Z9))*Z7*Z20*Z21</f>
        <v>1.0818890954433601E-12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AI18" s="267" t="s">
        <v>310</v>
      </c>
      <c r="AJ18" s="289">
        <f>B294</f>
        <v>2.8000000000000002E-12</v>
      </c>
      <c r="AL18" s="267" t="s">
        <v>310</v>
      </c>
      <c r="AM18" s="289">
        <f>B294</f>
        <v>2.8000000000000002E-12</v>
      </c>
      <c r="AO18" s="267" t="s">
        <v>310</v>
      </c>
      <c r="AP18" s="289">
        <f>B294</f>
        <v>2.8000000000000002E-12</v>
      </c>
      <c r="AR18" s="267" t="s">
        <v>310</v>
      </c>
      <c r="AS18" s="289">
        <f>B294</f>
        <v>2.8000000000000002E-12</v>
      </c>
      <c r="AU18" s="267" t="s">
        <v>310</v>
      </c>
      <c r="AV18" s="289">
        <f>B294</f>
        <v>2.8000000000000002E-12</v>
      </c>
      <c r="AX18" s="267" t="s">
        <v>310</v>
      </c>
      <c r="AY18" s="289">
        <f>B294</f>
        <v>2.8000000000000002E-12</v>
      </c>
      <c r="BA18" s="267" t="s">
        <v>310</v>
      </c>
      <c r="BB18" s="289">
        <f>B294</f>
        <v>2.8000000000000002E-12</v>
      </c>
      <c r="BD18" s="267" t="s">
        <v>310</v>
      </c>
      <c r="BE18" s="289">
        <f>B294</f>
        <v>2.8000000000000002E-12</v>
      </c>
      <c r="BG18" s="267" t="s">
        <v>310</v>
      </c>
      <c r="BH18" s="289">
        <f>B294</f>
        <v>2.8000000000000002E-12</v>
      </c>
      <c r="BJ18" s="267" t="s">
        <v>310</v>
      </c>
      <c r="BK18" s="289">
        <f>B294</f>
        <v>2.8000000000000002E-12</v>
      </c>
      <c r="BM18" s="267" t="s">
        <v>310</v>
      </c>
      <c r="BN18" s="289">
        <f>B294</f>
        <v>2.8000000000000002E-12</v>
      </c>
      <c r="BP18" s="267" t="s">
        <v>310</v>
      </c>
      <c r="BQ18" s="289">
        <f>B294</f>
        <v>2.8000000000000002E-12</v>
      </c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14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2.3103788776295815E-8</v>
      </c>
      <c r="CV18" s="271" t="s">
        <v>311</v>
      </c>
      <c r="CW18" s="266" t="s">
        <v>63</v>
      </c>
      <c r="CX18" s="189">
        <f>B28</f>
        <v>2.381967648E-9</v>
      </c>
      <c r="CY18" s="266" t="s">
        <v>64</v>
      </c>
      <c r="CZ18" s="266" t="s">
        <v>258</v>
      </c>
      <c r="DA18" s="295">
        <f>GS2</f>
        <v>1.1281795727173687E-7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2.2972045705420805E-2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2.2972045705420805E-2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2.2972045705420805E-2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2.2972045705420805E-2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2.2972045705420805E-2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30.167100000000001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1.1248E-10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((W5*W6*W9)/((W11/W12)*(1-EXP(-W6*W9))*W14*W8*W9*(1/365)))*W7*W20*W21</f>
        <v>1.2431507547563537E-9</v>
      </c>
      <c r="X19" s="88" t="s">
        <v>16</v>
      </c>
      <c r="Y19" s="88" t="s">
        <v>78</v>
      </c>
      <c r="Z19" s="296">
        <f>((Z5*Z6*Z9)/((Z11/Z12)*(1-EXP(-Z6*Z9))*Z14*Z8*Z9*(1/365)))*Z7*Z20*Z21</f>
        <v>1.1188356792807181E-9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0.74199999999999999</v>
      </c>
      <c r="AG19" s="305">
        <f>B4</f>
        <v>0.74199999999999999</v>
      </c>
      <c r="AH19" s="267"/>
      <c r="BS19" s="262" t="s">
        <v>63</v>
      </c>
      <c r="BT19" s="287">
        <f>E18</f>
        <v>2.381967648E-9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((CC22*CC23*CC24)/((1-EXP(-CC24*CC23))*CC27*CC31*(CC26/365)*CC29*(CC30/24)*CC28))*CC25*CC32*CC33</f>
        <v>1.1015687665857582E-5</v>
      </c>
      <c r="CD19" s="404" t="s">
        <v>314</v>
      </c>
      <c r="CE19" s="402" t="s">
        <v>562</v>
      </c>
      <c r="CF19" s="400">
        <f>((CF22*CF23*CF24)/((1-EXP(-CF24*CF23))*CF27*CF31*(CF26/365)*CF29*(CF30/24)*CF28))*CF25*CF32*CF33</f>
        <v>1.3027077617193285E-6</v>
      </c>
      <c r="CG19" s="398" t="s">
        <v>311</v>
      </c>
      <c r="CK19" s="410" t="s">
        <v>510</v>
      </c>
      <c r="CL19" s="400">
        <f>(CL22/(CL23*CL24*CL25*CL26))*CL28*CL27*CL32</f>
        <v>1.5880144583273296E-7</v>
      </c>
      <c r="CM19" s="404" t="s">
        <v>311</v>
      </c>
      <c r="CN19" s="402" t="s">
        <v>7</v>
      </c>
      <c r="CO19" s="400">
        <f>(CL19/(CO22*((CO27*CO29*CO30*(CO23+CO24))+(CO28*CO29))))*CL30</f>
        <v>3.370809789809782E-3</v>
      </c>
      <c r="CP19" s="412" t="s">
        <v>311</v>
      </c>
      <c r="CQ19" s="402" t="s">
        <v>6</v>
      </c>
      <c r="CR19" s="400">
        <f>CL19/(CR22*CR23*(1/CR24))</f>
        <v>7.2182475378514983E-3</v>
      </c>
      <c r="CS19" s="415" t="s">
        <v>313</v>
      </c>
      <c r="CT19" s="266" t="s">
        <v>258</v>
      </c>
      <c r="CU19" s="295">
        <f>GV2</f>
        <v>1.1694931982850412E-9</v>
      </c>
      <c r="CV19" s="271" t="s">
        <v>311</v>
      </c>
      <c r="CW19" s="266" t="s">
        <v>255</v>
      </c>
      <c r="CX19" s="304">
        <f>B173</f>
        <v>1</v>
      </c>
      <c r="CY19" s="88"/>
      <c r="CZ19" s="266" t="s">
        <v>184</v>
      </c>
      <c r="DA19" s="295">
        <f>EK2</f>
        <v>1.2058473765240205E-7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30.167100000000001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30.167100000000001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30.167100000000001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30.167100000000001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30.167100000000001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315</v>
      </c>
      <c r="GP19" s="292">
        <f>B293</f>
        <v>137</v>
      </c>
      <c r="GQ19" s="249" t="s">
        <v>309</v>
      </c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3.0487999999999999E-11</v>
      </c>
      <c r="C20" s="263" t="s">
        <v>35</v>
      </c>
      <c r="D20" s="88" t="s">
        <v>74</v>
      </c>
      <c r="E20" s="294">
        <f>((E5)/(E10*E11))*E7*E26*E27</f>
        <v>6.3901488960356252E-13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315</v>
      </c>
      <c r="W20" s="289">
        <f>B293</f>
        <v>137</v>
      </c>
      <c r="X20" s="249" t="s">
        <v>309</v>
      </c>
      <c r="Y20" s="95" t="s">
        <v>315</v>
      </c>
      <c r="Z20" s="289">
        <f>B293</f>
        <v>137</v>
      </c>
      <c r="AA20" s="249" t="s">
        <v>309</v>
      </c>
      <c r="AB20" s="262" t="s">
        <v>71</v>
      </c>
      <c r="AC20" s="287">
        <f>B23</f>
        <v>2.5337597040000001E-6</v>
      </c>
      <c r="AD20" s="287">
        <f>B23</f>
        <v>2.5337597040000001E-6</v>
      </c>
      <c r="AE20" s="287">
        <f>B23</f>
        <v>2.5337597040000001E-6</v>
      </c>
      <c r="AF20" s="287">
        <f>B23</f>
        <v>2.5337597040000001E-6</v>
      </c>
      <c r="AG20" s="287">
        <f>B23</f>
        <v>2.5337597040000001E-6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2.5822389418957563E-9</v>
      </c>
      <c r="CV20" s="271" t="s">
        <v>311</v>
      </c>
      <c r="CW20" s="88" t="s">
        <v>74</v>
      </c>
      <c r="CX20" s="294">
        <f>((CX5)/((CX14/CX15)*CX10*CX11))*CX7*CX26*CX27</f>
        <v>3.9722547191572802E-13</v>
      </c>
      <c r="CY20" s="88" t="s">
        <v>15</v>
      </c>
      <c r="CZ20" s="266" t="s">
        <v>493</v>
      </c>
      <c r="DA20" s="295">
        <f>DV2</f>
        <v>1.2485011574352894E-7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6.3E-5</v>
      </c>
      <c r="DH20" s="249" t="s">
        <v>82</v>
      </c>
      <c r="DL20" s="267"/>
      <c r="DO20" s="267" t="s">
        <v>90</v>
      </c>
      <c r="DP20" s="288">
        <f>0.693/B35</f>
        <v>6.3E-5</v>
      </c>
      <c r="DQ20" s="249" t="s">
        <v>82</v>
      </c>
      <c r="DR20" s="95" t="s">
        <v>315</v>
      </c>
      <c r="DS20" s="289">
        <f>B293</f>
        <v>137</v>
      </c>
      <c r="DT20" s="249" t="s">
        <v>309</v>
      </c>
      <c r="DU20" s="267"/>
      <c r="EA20" s="267"/>
      <c r="EB20" s="307"/>
      <c r="EC20" s="263"/>
      <c r="ED20" s="267" t="s">
        <v>90</v>
      </c>
      <c r="EE20" s="299">
        <f>0.693/B35</f>
        <v>6.3E-5</v>
      </c>
      <c r="EF20" s="263" t="s">
        <v>82</v>
      </c>
      <c r="EG20" s="249" t="s">
        <v>315</v>
      </c>
      <c r="EH20" s="297">
        <f>B293</f>
        <v>137</v>
      </c>
      <c r="EI20" s="249" t="s">
        <v>309</v>
      </c>
      <c r="EJ20" s="267"/>
      <c r="EP20" s="267"/>
      <c r="EQ20" s="307"/>
      <c r="ER20" s="263"/>
      <c r="ES20" s="267" t="s">
        <v>90</v>
      </c>
      <c r="ET20" s="299">
        <f>0.693/B35</f>
        <v>6.3E-5</v>
      </c>
      <c r="EU20" s="263" t="s">
        <v>82</v>
      </c>
      <c r="EV20" s="95" t="s">
        <v>315</v>
      </c>
      <c r="EW20" s="297">
        <f>B293</f>
        <v>137</v>
      </c>
      <c r="EX20" s="249" t="s">
        <v>309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6.3E-5</v>
      </c>
      <c r="FJ20" s="263" t="s">
        <v>82</v>
      </c>
      <c r="FK20" s="95" t="s">
        <v>315</v>
      </c>
      <c r="FL20" s="297">
        <f>B293</f>
        <v>137</v>
      </c>
      <c r="FM20" s="249" t="s">
        <v>309</v>
      </c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315</v>
      </c>
      <c r="GA20" s="292">
        <f>B293</f>
        <v>137</v>
      </c>
      <c r="GB20" s="249" t="s">
        <v>309</v>
      </c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6.3E-5</v>
      </c>
      <c r="GN20" s="263" t="s">
        <v>82</v>
      </c>
      <c r="GO20" s="267" t="s">
        <v>310</v>
      </c>
      <c r="GP20" s="292">
        <f>B294</f>
        <v>2.8000000000000002E-12</v>
      </c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6.3E-5</v>
      </c>
      <c r="HC20" s="263" t="s">
        <v>82</v>
      </c>
    </row>
    <row r="21" spans="1:214" ht="15" thickTop="1" thickBot="1" x14ac:dyDescent="0.25">
      <c r="A21" s="262" t="s">
        <v>316</v>
      </c>
      <c r="B21" s="315">
        <v>4.2549999999999998E-11</v>
      </c>
      <c r="C21" s="262" t="s">
        <v>35</v>
      </c>
      <c r="D21" s="88" t="s">
        <v>78</v>
      </c>
      <c r="E21" s="295">
        <f>((E5)/((E14/E15)*E8*E9*E18*(1/365)*E19))*E7*E26*E27</f>
        <v>1.9486227786596187E-10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((N24*N25*N26)/((1-EXP(-N26*N25))*N29*N34*(N28/365)*N32*(((N33/24)*N31)+((N35/24)*N30))))*N27*N36*N37</f>
        <v>3.50993943046205E-9</v>
      </c>
      <c r="O21" s="637" t="s">
        <v>314</v>
      </c>
      <c r="P21" s="639" t="s">
        <v>516</v>
      </c>
      <c r="Q21" s="647">
        <f>((Q24*Q25*Q26)/((1-EXP(-Q26*Q25))*Q29*Q34*(Q28/365)*Q32*(((Q33/24)*Q31)+((Q35/24)*Q30))))*Q27*Q36*Q37</f>
        <v>1.2206039365549119E-9</v>
      </c>
      <c r="R21" s="643" t="s">
        <v>311</v>
      </c>
      <c r="V21" s="267" t="s">
        <v>310</v>
      </c>
      <c r="W21" s="289">
        <f>B295</f>
        <v>2.8000000000000001E-15</v>
      </c>
      <c r="Y21" s="267" t="s">
        <v>310</v>
      </c>
      <c r="Z21" s="289">
        <f>B295</f>
        <v>2.8000000000000001E-15</v>
      </c>
      <c r="AB21" s="262" t="s">
        <v>43</v>
      </c>
      <c r="AC21" s="290">
        <f>B19</f>
        <v>1.1248E-10</v>
      </c>
      <c r="AD21" s="290">
        <f>B19</f>
        <v>1.1248E-10</v>
      </c>
      <c r="AE21" s="290">
        <f>B19</f>
        <v>1.1248E-10</v>
      </c>
      <c r="AF21" s="290">
        <f>B19</f>
        <v>1.1248E-10</v>
      </c>
      <c r="AG21" s="290">
        <f>B19</f>
        <v>1.1248E-10</v>
      </c>
      <c r="AH21" s="263" t="s">
        <v>35</v>
      </c>
      <c r="AI21" s="381" t="s">
        <v>516</v>
      </c>
      <c r="AJ21" s="387">
        <f>((AJ24*AJ25*AJ26)/((1-EXP(-AJ26*AJ25))*AJ34*(AJ28/365)*AJ29*(AJ35/24)*AJ30*AJ32))*AJ27*AJ36*AJ37</f>
        <v>1.3147608212745767E-8</v>
      </c>
      <c r="AK21" s="629" t="s">
        <v>314</v>
      </c>
      <c r="AL21" s="383" t="s">
        <v>516</v>
      </c>
      <c r="AM21" s="387">
        <f>((AM24*AM25*AM26)/((1-EXP(-AM26*AM25))*AM34*(AM28/365)*AM29*(AM35/24)*AM30*AM32))*AM27*AM36*AM37</f>
        <v>4.5721650355221663E-9</v>
      </c>
      <c r="AN21" s="635" t="s">
        <v>311</v>
      </c>
      <c r="AR21" s="381" t="s">
        <v>516</v>
      </c>
      <c r="AS21" s="387">
        <f>((AS24*AS25*AS26)/((1-EXP(-AS26*AS25))*AS34*(AS28/365)*AS29*(AS33/24)*AS31*AS32))*AS27*AS36*AS37</f>
        <v>5.8433814278870078E-9</v>
      </c>
      <c r="AT21" s="391" t="s">
        <v>314</v>
      </c>
      <c r="AU21" s="383" t="s">
        <v>516</v>
      </c>
      <c r="AV21" s="387">
        <f>((AV24*AV25*AV26)/((1-EXP(-AV26*AV25))*AV34*(AV28/365)*AV29*(AV33/24)*AV31*AV32))*AV27*AV36*AV37</f>
        <v>2.0320733491209628E-9</v>
      </c>
      <c r="AW21" s="385" t="s">
        <v>311</v>
      </c>
      <c r="BA21" s="381" t="s">
        <v>516</v>
      </c>
      <c r="BB21" s="387">
        <f>((BB24*BB25*BB26)/((1-EXP(-BB26*BB25))*BB34*(BB28/365)*BB29*((BB33+BB35)/24)*BB31*BB32))*BB27*BB36*BB37</f>
        <v>5.2590432850983072E-9</v>
      </c>
      <c r="BC21" s="391" t="s">
        <v>314</v>
      </c>
      <c r="BD21" s="383" t="s">
        <v>516</v>
      </c>
      <c r="BE21" s="387">
        <f>((BE24*BE25*BE26)/((1-EXP(-BE26*BE25))*BE34*(BE28/365)*BE29*((BE33+BE35)/24)*BE31*BE32))*BE27*BE36*BE37</f>
        <v>1.8288660142088663E-9</v>
      </c>
      <c r="BF21" s="385" t="s">
        <v>311</v>
      </c>
      <c r="BJ21" s="381" t="s">
        <v>561</v>
      </c>
      <c r="BK21" s="389">
        <f>((BK24*BK25*BK26)/((1-EXP(-BK26*BK25))*BK31*BK35*(BK28/365)*BK33*(BK34/24)*BK32))*BK27*BK36*BK37</f>
        <v>1.5730107302950999E-5</v>
      </c>
      <c r="BL21" s="391" t="s">
        <v>314</v>
      </c>
      <c r="BM21" s="383" t="s">
        <v>562</v>
      </c>
      <c r="BN21" s="389">
        <f>((BN24*BN25*BN26)/((1-EXP(-BN26*BN25))*BN31*BN35*(BN28/365)*BN33*(BN34/24)*BN32))*BN27*BN36*BN37</f>
        <v>1.8602318346175487E-6</v>
      </c>
      <c r="BO21" s="385" t="s">
        <v>311</v>
      </c>
      <c r="BS21" s="88" t="s">
        <v>74</v>
      </c>
      <c r="BT21" s="294">
        <f>((BT5)/(BT10*BT11))*BT7*BT29*BT30</f>
        <v>7.1569667635599004E-11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2.8960022844706037E-9</v>
      </c>
      <c r="CV21" s="271" t="s">
        <v>311</v>
      </c>
      <c r="CW21" s="88" t="s">
        <v>78</v>
      </c>
      <c r="CX21" s="296">
        <f>((CX5)/((CX14/CX15)*CX8*CX9*CX18*(1/365)*CX19))*CX7*CX26*CX27</f>
        <v>1.2666048061287525E-10</v>
      </c>
      <c r="CY21" s="88" t="s">
        <v>15</v>
      </c>
      <c r="CZ21" s="266" t="s">
        <v>492</v>
      </c>
      <c r="DA21" s="295">
        <f>GD2</f>
        <v>2.1752889215806513E-7</v>
      </c>
      <c r="DB21" s="88"/>
      <c r="DC21" s="249" t="s">
        <v>23</v>
      </c>
      <c r="DD21" s="287">
        <f>0.693/DD22</f>
        <v>2.2972045705420805E-2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R21" s="267" t="s">
        <v>310</v>
      </c>
      <c r="DS21" s="289">
        <f>B294</f>
        <v>2.8000000000000002E-12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G21" s="267" t="s">
        <v>310</v>
      </c>
      <c r="EH21" s="289">
        <f>B294</f>
        <v>2.8000000000000002E-12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V21" s="267" t="s">
        <v>310</v>
      </c>
      <c r="EW21" s="289">
        <f>B294</f>
        <v>2.8000000000000002E-12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 t="s">
        <v>310</v>
      </c>
      <c r="FL21" s="292">
        <f>B294</f>
        <v>2.8000000000000002E-12</v>
      </c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FZ21" s="267" t="s">
        <v>310</v>
      </c>
      <c r="GA21" s="289">
        <f>B294</f>
        <v>2.8000000000000002E-12</v>
      </c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3.1782999999999999E-11</v>
      </c>
      <c r="C22" s="262" t="s">
        <v>35</v>
      </c>
      <c r="D22" s="88" t="s">
        <v>74</v>
      </c>
      <c r="E22" s="295">
        <f>((E5*E9*E6)/((1-EXP(-E6*E9))*E10*E11))*E7*E26*E27</f>
        <v>8.4873272009753095E-13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((BT5)/((BT14/24)*(BT8/365)*BT9*BT19*BT20))*BT7*BT29*BT30</f>
        <v>2.1824575120987733E-8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2.1999999999999999E-2</v>
      </c>
      <c r="CQ22" s="262" t="s">
        <v>265</v>
      </c>
      <c r="CR22" s="287">
        <f>CO22</f>
        <v>2.1999999999999999E-2</v>
      </c>
      <c r="CT22" s="266" t="s">
        <v>492</v>
      </c>
      <c r="CU22" s="295">
        <f>GG2</f>
        <v>1.7098466916404209E-9</v>
      </c>
      <c r="CV22" s="271" t="s">
        <v>311</v>
      </c>
      <c r="CW22" s="88" t="s">
        <v>74</v>
      </c>
      <c r="CX22" s="294">
        <f>((CX5*CX9*CX6)/((CX14/CX15)*(1-EXP(-CX6*CX9))*CX10*CX11))*CX7*CX26*CX27</f>
        <v>6.0729110447380792E-13</v>
      </c>
      <c r="CY22" s="88" t="s">
        <v>16</v>
      </c>
      <c r="CZ22" s="266" t="s">
        <v>183</v>
      </c>
      <c r="DA22" s="296">
        <f>FO2</f>
        <v>6.4575645025666391E-11</v>
      </c>
      <c r="DB22" s="88"/>
      <c r="DC22" s="266" t="s">
        <v>270</v>
      </c>
      <c r="DD22" s="287">
        <f>B31</f>
        <v>30.167100000000001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2.5337597040000001E-6</v>
      </c>
      <c r="C23" s="262" t="s">
        <v>95</v>
      </c>
      <c r="D23" s="88" t="s">
        <v>78</v>
      </c>
      <c r="E23" s="296">
        <f>((E5*E9*E6)/((E14/E15)*E8*E9*(1-EXP(-E6*E9))*E18*(1/365)*E19))*E7*E26*E27</f>
        <v>2.5881398669784102E-10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((BT5*BT28*BT6)/((1-EXP(-BT6*BT28))*BT10*BT11))*BT7*BT29*BT30</f>
        <v>9.5058064650923442E-11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3.7370000000000003E-11</v>
      </c>
      <c r="CM23" s="266" t="s">
        <v>13</v>
      </c>
      <c r="CN23" s="249" t="s">
        <v>21</v>
      </c>
      <c r="CO23" s="290">
        <f>CO25</f>
        <v>2.9000000000000001E-2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9.8725327458520298E-13</v>
      </c>
      <c r="CV23" s="271" t="s">
        <v>311</v>
      </c>
      <c r="CW23" s="88" t="s">
        <v>78</v>
      </c>
      <c r="CX23" s="296">
        <f>((CX5*CX9*CX6)/((CX14/CX15)*CX8*CX9*(1-EXP(-CX6*CX9))*CX18*(1/365)*CX19))*CX7*CX26*CX27</f>
        <v>1.9364262516602908E-10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C23" s="95" t="s">
        <v>315</v>
      </c>
      <c r="DD23" s="297">
        <f>B293</f>
        <v>137</v>
      </c>
      <c r="DE23" s="249" t="s">
        <v>309</v>
      </c>
      <c r="DF23" s="262" t="s">
        <v>17</v>
      </c>
      <c r="DG23" s="287">
        <f>B35</f>
        <v>11000</v>
      </c>
      <c r="DH23" s="249" t="s">
        <v>257</v>
      </c>
      <c r="DO23" s="262" t="s">
        <v>20</v>
      </c>
      <c r="DP23" s="305">
        <f>DP25</f>
        <v>2.5229999999999999E-2</v>
      </c>
      <c r="EA23" s="262"/>
      <c r="EB23" s="293"/>
      <c r="EC23" s="263"/>
      <c r="ED23" s="262" t="s">
        <v>20</v>
      </c>
      <c r="EE23" s="305">
        <f>EE25</f>
        <v>2.9000000000000001E-2</v>
      </c>
      <c r="EF23" s="263"/>
      <c r="EP23" s="262"/>
      <c r="EQ23" s="293"/>
      <c r="ER23" s="263"/>
      <c r="ES23" s="262" t="s">
        <v>20</v>
      </c>
      <c r="ET23" s="305">
        <f>ET25</f>
        <v>2.9000000000000001E-2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2.5229999999999999E-2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2.5229999999999999E-2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2.5229999999999999E-2</v>
      </c>
      <c r="HC23" s="263"/>
      <c r="HD23" s="219" t="s">
        <v>574</v>
      </c>
      <c r="HE23" s="348">
        <f>((HE25*HE33*HE38*HE32*10^-3*HE31*HE27)/(HE30*HE41*(1-EXP(-HE27*HE31))))*HE28*HE15*HE16</f>
        <v>6.463405232890353E-11</v>
      </c>
      <c r="HF23" s="252" t="s">
        <v>311</v>
      </c>
    </row>
    <row r="24" spans="1:214" ht="14.25" thickTop="1" thickBot="1" x14ac:dyDescent="0.25">
      <c r="A24" s="262" t="s">
        <v>450</v>
      </c>
      <c r="B24" s="315">
        <v>5.0675194079999996E-7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((BT5*BT28*BT6)/((BT14/24)*(BT8/365)*BT9*(1-EXP(-BT6*BT28))*BT19*BT20))*BT7*BT29*BT30</f>
        <v>2.8987166510158183E-8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2.2972045705420805E-2</v>
      </c>
      <c r="CE24" s="262" t="s">
        <v>23</v>
      </c>
      <c r="CF24" s="288">
        <f>0.693/CF25</f>
        <v>2.2972045705420805E-2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C24" s="267" t="s">
        <v>310</v>
      </c>
      <c r="DD24" s="289">
        <f>B294</f>
        <v>2.8000000000000002E-12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3.8543631546307239E-13</v>
      </c>
      <c r="HF24" s="75" t="s">
        <v>311</v>
      </c>
    </row>
    <row r="25" spans="1:214" ht="13.5" thickTop="1" x14ac:dyDescent="0.2">
      <c r="A25" s="262" t="s">
        <v>449</v>
      </c>
      <c r="B25" s="315">
        <v>5.1749414784E-7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1.0808439435072794E-12</v>
      </c>
      <c r="X25" s="254" t="s">
        <v>312</v>
      </c>
      <c r="Y25" s="321" t="s">
        <v>16</v>
      </c>
      <c r="Z25" s="358">
        <f>1/((1/Z38)+(1/Z39))</f>
        <v>3.998734067494991E-11</v>
      </c>
      <c r="AA25" s="255" t="s">
        <v>312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30.167100000000001</v>
      </c>
      <c r="CD25" s="249" t="s">
        <v>69</v>
      </c>
      <c r="CE25" s="266" t="s">
        <v>270</v>
      </c>
      <c r="CF25" s="287">
        <f>B31</f>
        <v>30.167100000000001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2.9000000000000001E-2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2.5229999999999999E-2</v>
      </c>
      <c r="EA25" s="262"/>
      <c r="EC25" s="263"/>
      <c r="ED25" s="262" t="s">
        <v>38</v>
      </c>
      <c r="EE25" s="287">
        <f>B45</f>
        <v>2.9000000000000001E-2</v>
      </c>
      <c r="EF25" s="263"/>
      <c r="EP25" s="262"/>
      <c r="ER25" s="263"/>
      <c r="ES25" s="263" t="s">
        <v>37</v>
      </c>
      <c r="ET25" s="287">
        <f>B45</f>
        <v>2.9000000000000001E-2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2.5229999999999999E-2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2.5229999999999999E-2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2.5229999999999999E-2</v>
      </c>
      <c r="HC25" s="263"/>
      <c r="HD25" s="265" t="s">
        <v>22</v>
      </c>
      <c r="HE25" s="292">
        <f>B47</f>
        <v>200</v>
      </c>
      <c r="HF25" s="262" t="s">
        <v>580</v>
      </c>
    </row>
    <row r="26" spans="1:214" ht="13.5" thickBot="1" x14ac:dyDescent="0.25">
      <c r="A26" s="262" t="s">
        <v>451</v>
      </c>
      <c r="B26" s="315">
        <v>1.4572037375999999E-6</v>
      </c>
      <c r="C26" s="262" t="s">
        <v>95</v>
      </c>
      <c r="D26" s="263" t="s">
        <v>315</v>
      </c>
      <c r="E26" s="289">
        <f>B293</f>
        <v>137</v>
      </c>
      <c r="F26" s="249" t="s">
        <v>309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2.2972045705420805E-2</v>
      </c>
      <c r="P26" s="262" t="s">
        <v>23</v>
      </c>
      <c r="Q26" s="288">
        <f>0.693/Q27</f>
        <v>2.2972045705420805E-2</v>
      </c>
      <c r="V26" s="320" t="s">
        <v>15</v>
      </c>
      <c r="W26" s="359">
        <f>1/((1/W38)+(1/W39))</f>
        <v>8.2225607456303541E-13</v>
      </c>
      <c r="X26" s="258" t="s">
        <v>312</v>
      </c>
      <c r="Y26" s="322" t="s">
        <v>15</v>
      </c>
      <c r="Z26" s="360">
        <f>1/((1/Z40)+(1/Z41))</f>
        <v>3.953154204629977E-11</v>
      </c>
      <c r="AA26" s="259" t="s">
        <v>312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2.2972045705420805E-2</v>
      </c>
      <c r="AL26" s="262" t="s">
        <v>23</v>
      </c>
      <c r="AM26" s="288">
        <f>0.693/AM27</f>
        <v>2.2972045705420805E-2</v>
      </c>
      <c r="AR26" s="262" t="s">
        <v>23</v>
      </c>
      <c r="AS26" s="288">
        <f>0.693/AS27</f>
        <v>2.2972045705420805E-2</v>
      </c>
      <c r="AU26" s="262" t="s">
        <v>23</v>
      </c>
      <c r="AV26" s="288">
        <f>0.693/AV27</f>
        <v>2.2972045705420805E-2</v>
      </c>
      <c r="BA26" s="262" t="s">
        <v>23</v>
      </c>
      <c r="BB26" s="288">
        <f>0.693/BB27</f>
        <v>2.2972045705420805E-2</v>
      </c>
      <c r="BD26" s="262" t="s">
        <v>23</v>
      </c>
      <c r="BE26" s="288">
        <f>0.693/BE27</f>
        <v>2.2972045705420805E-2</v>
      </c>
      <c r="BJ26" s="262" t="s">
        <v>23</v>
      </c>
      <c r="BK26" s="288">
        <f>0.693/BK27</f>
        <v>2.2972045705420805E-2</v>
      </c>
      <c r="BM26" s="262" t="s">
        <v>23</v>
      </c>
      <c r="BN26" s="288">
        <f>0.693/BN27</f>
        <v>2.2972045705420805E-2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95" t="s">
        <v>315</v>
      </c>
      <c r="CX26" s="194">
        <f>B293</f>
        <v>137</v>
      </c>
      <c r="CY26" s="249" t="s">
        <v>309</v>
      </c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2.9000000000000001E-2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1.3801726043358877E-11</v>
      </c>
      <c r="HF26" s="262" t="s">
        <v>313</v>
      </c>
    </row>
    <row r="27" spans="1:214" ht="15" thickTop="1" x14ac:dyDescent="0.2">
      <c r="A27" s="262" t="s">
        <v>452</v>
      </c>
      <c r="B27" s="315">
        <v>2.2652045279999998E-6</v>
      </c>
      <c r="C27" s="262" t="s">
        <v>95</v>
      </c>
      <c r="D27" s="249" t="s">
        <v>310</v>
      </c>
      <c r="E27" s="289">
        <f>B295</f>
        <v>2.8000000000000001E-15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30.167100000000001</v>
      </c>
      <c r="O27" s="249" t="s">
        <v>69</v>
      </c>
      <c r="P27" s="266" t="s">
        <v>270</v>
      </c>
      <c r="Q27" s="287">
        <f>B31</f>
        <v>30.167100000000001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2.2972045705420805E-2</v>
      </c>
      <c r="AD27" s="288">
        <f>0.693/AD28</f>
        <v>2.2972045705420805E-2</v>
      </c>
      <c r="AE27" s="288">
        <f>0.693/AE28</f>
        <v>2.2972045705420805E-2</v>
      </c>
      <c r="AF27" s="288">
        <f>0.693/AF28</f>
        <v>2.2972045705420805E-2</v>
      </c>
      <c r="AG27" s="288">
        <f>0.693/AG28</f>
        <v>2.2972045705420805E-2</v>
      </c>
      <c r="AI27" s="266" t="s">
        <v>270</v>
      </c>
      <c r="AJ27" s="287">
        <f>B31</f>
        <v>30.167100000000001</v>
      </c>
      <c r="AK27" s="249" t="s">
        <v>69</v>
      </c>
      <c r="AL27" s="266" t="s">
        <v>270</v>
      </c>
      <c r="AM27" s="287">
        <f>B31</f>
        <v>30.167100000000001</v>
      </c>
      <c r="AN27" s="249" t="s">
        <v>69</v>
      </c>
      <c r="AR27" s="266" t="s">
        <v>270</v>
      </c>
      <c r="AS27" s="287">
        <f>B31</f>
        <v>30.167100000000001</v>
      </c>
      <c r="AT27" s="249" t="s">
        <v>69</v>
      </c>
      <c r="AU27" s="266" t="s">
        <v>270</v>
      </c>
      <c r="AV27" s="287">
        <f>B31</f>
        <v>30.167100000000001</v>
      </c>
      <c r="AW27" s="249" t="s">
        <v>69</v>
      </c>
      <c r="BA27" s="266" t="s">
        <v>270</v>
      </c>
      <c r="BB27" s="287">
        <f>B31</f>
        <v>30.167100000000001</v>
      </c>
      <c r="BC27" s="249" t="s">
        <v>69</v>
      </c>
      <c r="BD27" s="266" t="s">
        <v>270</v>
      </c>
      <c r="BE27" s="287">
        <f>B31</f>
        <v>30.167100000000001</v>
      </c>
      <c r="BF27" s="249" t="s">
        <v>69</v>
      </c>
      <c r="BJ27" s="266" t="s">
        <v>270</v>
      </c>
      <c r="BK27" s="287">
        <f>B31</f>
        <v>30.167100000000001</v>
      </c>
      <c r="BL27" s="249" t="s">
        <v>69</v>
      </c>
      <c r="BM27" s="266" t="s">
        <v>270</v>
      </c>
      <c r="BN27" s="287">
        <f>B31</f>
        <v>30.167100000000001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315</v>
      </c>
      <c r="CL27" s="289">
        <f>B293</f>
        <v>137</v>
      </c>
      <c r="CM27" s="249" t="s">
        <v>309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7" t="s">
        <v>310</v>
      </c>
      <c r="CX27" s="304">
        <f>B295</f>
        <v>2.8000000000000001E-15</v>
      </c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4.5999999999999999E-3</v>
      </c>
      <c r="EP27" s="262"/>
      <c r="EQ27" s="310"/>
      <c r="ES27" s="262" t="s">
        <v>275</v>
      </c>
      <c r="ET27" s="310">
        <f>B38</f>
        <v>2.1999999999999999E-2</v>
      </c>
      <c r="FH27" s="262" t="s">
        <v>201</v>
      </c>
      <c r="FI27" s="310">
        <f>B40</f>
        <v>0.4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2.7</v>
      </c>
      <c r="GS27" s="328"/>
      <c r="GT27" s="264"/>
      <c r="GU27" s="264"/>
      <c r="GV27" s="328"/>
      <c r="GW27" s="264"/>
      <c r="HA27" s="262" t="s">
        <v>277</v>
      </c>
      <c r="HB27" s="310">
        <f>B41</f>
        <v>0.2</v>
      </c>
      <c r="HD27" s="262" t="s">
        <v>23</v>
      </c>
      <c r="HE27" s="288">
        <f>0.693/HE28</f>
        <v>2.2972045705420805E-2</v>
      </c>
    </row>
    <row r="28" spans="1:214" ht="15.75" thickBot="1" x14ac:dyDescent="0.25">
      <c r="A28" s="262" t="s">
        <v>63</v>
      </c>
      <c r="B28" s="315">
        <v>2.381967648E-9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2.2972045705420805E-2</v>
      </c>
      <c r="Y28" s="262" t="s">
        <v>23</v>
      </c>
      <c r="Z28" s="288">
        <f>0.693/Z29</f>
        <v>2.2972045705420805E-2</v>
      </c>
      <c r="AB28" s="266" t="s">
        <v>270</v>
      </c>
      <c r="AC28" s="287">
        <f>B31</f>
        <v>30.167100000000001</v>
      </c>
      <c r="AD28" s="287">
        <f>B31</f>
        <v>30.167100000000001</v>
      </c>
      <c r="AE28" s="287">
        <f>B31</f>
        <v>30.167100000000001</v>
      </c>
      <c r="AF28" s="287">
        <f>B31</f>
        <v>30.167100000000001</v>
      </c>
      <c r="AG28" s="287">
        <f>B31</f>
        <v>30.167100000000001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2.6599999999999999E-2</v>
      </c>
      <c r="CE28" s="249" t="s">
        <v>458</v>
      </c>
      <c r="CF28" s="287">
        <f>B8</f>
        <v>5.0099999999999999E-2</v>
      </c>
      <c r="CK28" s="266" t="s">
        <v>270</v>
      </c>
      <c r="CL28" s="287">
        <f>B31</f>
        <v>30.167100000000001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30.167100000000001</v>
      </c>
      <c r="HF28" s="249" t="s">
        <v>69</v>
      </c>
    </row>
    <row r="29" spans="1:214" ht="18.75" thickTop="1" x14ac:dyDescent="0.2">
      <c r="A29" s="266" t="s">
        <v>161</v>
      </c>
      <c r="B29" s="315">
        <v>5.1609299040000001E-12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30.167100000000001</v>
      </c>
      <c r="X29" s="249" t="s">
        <v>69</v>
      </c>
      <c r="Y29" s="266" t="s">
        <v>270</v>
      </c>
      <c r="Z29" s="287">
        <f>B31</f>
        <v>30.167100000000001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95" t="s">
        <v>315</v>
      </c>
      <c r="BT29" s="313">
        <f>B293</f>
        <v>137</v>
      </c>
      <c r="BU29" s="249" t="s">
        <v>309</v>
      </c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0.46500000000000002</v>
      </c>
      <c r="CE29" s="249" t="s">
        <v>459</v>
      </c>
      <c r="CF29" s="287">
        <f>B9</f>
        <v>0.72599999999999998</v>
      </c>
      <c r="CK29" s="249" t="s">
        <v>23</v>
      </c>
      <c r="CL29" s="288">
        <f>693/CL28</f>
        <v>22.972045705420804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3.7370000000000003E-11</v>
      </c>
      <c r="C30" s="267" t="s">
        <v>35</v>
      </c>
      <c r="D30" s="203" t="s">
        <v>510</v>
      </c>
      <c r="E30" s="204">
        <f>E37</f>
        <v>6.3016446759021017E-10</v>
      </c>
      <c r="F30" s="184" t="s">
        <v>311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288">
        <f>(AC26*AC27)/(1-EXP(-AC27*AC26))</f>
        <v>1.3144858115905844</v>
      </c>
      <c r="AD30" s="288">
        <f>(AD26*AD27)/(1-EXP(-AD27*AD26))</f>
        <v>1.3144858115905844</v>
      </c>
      <c r="AE30" s="288">
        <f>(AE26*AE27)/(1-EXP(-AE27*AE26))</f>
        <v>1.3144858115905844</v>
      </c>
      <c r="AF30" s="288">
        <f>(AF26*AF27)/(1-EXP(-AF27*AF26))</f>
        <v>1.0115299987062558</v>
      </c>
      <c r="AG30" s="288">
        <f>(AG26*AG27)/(1-EXP(-AG27*AG26))</f>
        <v>1.0115299987062558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7" t="s">
        <v>310</v>
      </c>
      <c r="BT30" s="137">
        <f>B295</f>
        <v>2.8000000000000001E-15</v>
      </c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597.27318834094092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A30" s="366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207">
        <v>30.167100000000001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8.5099999999999995E-2</v>
      </c>
      <c r="CB31" s="249" t="s">
        <v>71</v>
      </c>
      <c r="CC31" s="290">
        <f>B24</f>
        <v>5.0675194079999996E-7</v>
      </c>
      <c r="CD31" s="262" t="s">
        <v>282</v>
      </c>
      <c r="CE31" s="249" t="s">
        <v>71</v>
      </c>
      <c r="CF31" s="290">
        <f>B26</f>
        <v>1.4572037375999999E-6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1.1248E-10</v>
      </c>
      <c r="X32" s="263" t="s">
        <v>44</v>
      </c>
      <c r="Y32" s="249" t="s">
        <v>43</v>
      </c>
      <c r="Z32" s="290">
        <f>B19</f>
        <v>1.1248E-10</v>
      </c>
      <c r="AA32" s="263" t="s">
        <v>44</v>
      </c>
      <c r="AB32" s="266" t="s">
        <v>80</v>
      </c>
      <c r="AC32" s="294">
        <f>((AC5/(AC9*AC14*AC8*AC11*(1/AC6)))*AC30)*AC28*AC38*AC39</f>
        <v>7.6576084985979393E-7</v>
      </c>
      <c r="AD32" s="294">
        <f>((AD5/(AD9*AD14*AD8*AD11*(1/AD6)))*AD30)*AD28*AD38*AD39</f>
        <v>1.5315216997195879E-6</v>
      </c>
      <c r="AE32" s="294">
        <f>((AE5/(AE9*AE14*AE8*AE11*(1/AE6)))*AE30)*AE28*AE38*AE39</f>
        <v>8.5084538873310434E-7</v>
      </c>
      <c r="AF32" s="294">
        <f>((AF5/(AF9*AF14*AF8*AF11*(1/AF6)))*AF30)*AF28*AF38*AF39</f>
        <v>8.5849693385920916E-6</v>
      </c>
      <c r="AG32" s="294">
        <f>((AG5/(AG9*AG14*AG8*AG11*(1/AG6)))*AG30)*AG28*AG38*AG39</f>
        <v>8.5849693385920916E-6</v>
      </c>
      <c r="AH32" s="266" t="s">
        <v>311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2.6599999999999999E-2</v>
      </c>
      <c r="BM32" s="249" t="s">
        <v>458</v>
      </c>
      <c r="BN32" s="287">
        <f>B8</f>
        <v>5.0099999999999999E-2</v>
      </c>
      <c r="BV32" s="95" t="s">
        <v>315</v>
      </c>
      <c r="BW32" s="289">
        <f>B293</f>
        <v>137</v>
      </c>
      <c r="BX32" s="249" t="s">
        <v>309</v>
      </c>
      <c r="BY32" s="262" t="s">
        <v>62</v>
      </c>
      <c r="BZ32" s="305">
        <f>B4</f>
        <v>0.74199999999999999</v>
      </c>
      <c r="CB32" s="95" t="s">
        <v>315</v>
      </c>
      <c r="CC32" s="289">
        <f>B293</f>
        <v>137</v>
      </c>
      <c r="CD32" s="249" t="s">
        <v>309</v>
      </c>
      <c r="CE32" s="95" t="s">
        <v>315</v>
      </c>
      <c r="CF32" s="289">
        <f>B293</f>
        <v>137</v>
      </c>
      <c r="CG32" s="249" t="s">
        <v>309</v>
      </c>
      <c r="CK32" s="267" t="s">
        <v>310</v>
      </c>
      <c r="CL32" s="289">
        <f>B294</f>
        <v>2.8000000000000002E-12</v>
      </c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70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((AC5/(AC21*AC17*AC8*AC11*(1/AC35)*((8/1)/(24/1))*AC31))*AC30)*AC28*AC38*AC39</f>
        <v>1.4706599629189482E-3</v>
      </c>
      <c r="AD33" s="295">
        <f>((AD5/(AD21*AD17*AD8*((8/1)/(24/1))*AD11*(1/AD35)*AD31))*AD30)*AD28*AD38*AD39</f>
        <v>1.4706599629189484E-3</v>
      </c>
      <c r="AE33" s="295">
        <f>((AE5/(AE21*AE17*AE8*((8/1)/(24/1))*AE11*(1/AE35)*AE31))*AE30)*AE28*AE38*AE39</f>
        <v>1.6340666254654982E-3</v>
      </c>
      <c r="AF33" s="295">
        <f>((AF5/(AF21*AF17*AF8*AF11*(1/AF36)*(AF23/24)*AF31))*AF30)*AF28*AF38*AF39</f>
        <v>3.0967387142527092E-5</v>
      </c>
      <c r="AG33" s="295">
        <f>((AG5/(AG21*AG17*AG8*AG11*(1/AG37)*(AG23/24)*AG31))*AG30)*AG28*AG38*AG39</f>
        <v>1.4431721625955021E-3</v>
      </c>
      <c r="AH33" s="88" t="s">
        <v>311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0.46500000000000002</v>
      </c>
      <c r="BM33" s="249" t="s">
        <v>459</v>
      </c>
      <c r="BN33" s="287">
        <f>B9</f>
        <v>0.72599999999999998</v>
      </c>
      <c r="BV33" s="267" t="s">
        <v>310</v>
      </c>
      <c r="BW33" s="289">
        <f>B295</f>
        <v>2.8000000000000001E-15</v>
      </c>
      <c r="BY33" s="269" t="s">
        <v>111</v>
      </c>
      <c r="BZ33" s="298">
        <f>BZ25</f>
        <v>26</v>
      </c>
      <c r="CA33" s="249" t="s">
        <v>69</v>
      </c>
      <c r="CB33" s="267" t="s">
        <v>310</v>
      </c>
      <c r="CC33" s="289">
        <f>B294</f>
        <v>2.8000000000000002E-12</v>
      </c>
      <c r="CE33" s="267" t="s">
        <v>310</v>
      </c>
      <c r="CF33" s="289">
        <f>B294</f>
        <v>2.8000000000000002E-12</v>
      </c>
      <c r="CK33" s="267"/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3.7370000000000003E-11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5.0675194079999996E-7</v>
      </c>
      <c r="O34" s="263" t="s">
        <v>447</v>
      </c>
      <c r="P34" s="249" t="s">
        <v>451</v>
      </c>
      <c r="Q34" s="290">
        <f>B26</f>
        <v>1.4572037375999999E-6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((AC5/(AC20*(AC8/365)*AC11*((AC23+AC24)/24)*AC16*AC19))*AC30)*AC28*AC38*AC39</f>
        <v>1.0518086570196616E-9</v>
      </c>
      <c r="AD34" s="296">
        <f>((AD5/(AD20*(AD8/365)*AD11*(AD24/24)*AD18*AD19))*AD30)*AD28*AD38*AD39</f>
        <v>2.6295216425491536E-9</v>
      </c>
      <c r="AE34" s="296">
        <f>((AE5/(AE20*(AE8/365)*AE11*(AE23/24)*AE16*AE19))*AE30)*AE28*AE38*AE39</f>
        <v>1.1686762855774013E-9</v>
      </c>
      <c r="AF34" s="296">
        <f>((AF5/(AF20*(AF8/365)*AF11*(AF23/24)*AF16*AF19))*AF30)*AF28*AF38*AF39</f>
        <v>6.1625833324422806E-7</v>
      </c>
      <c r="AG34" s="296">
        <f>((AG5/(AG20*(AG8/365)*AG11*(AG23/24)*AG16*AG19))*AG30)*AG28*AG38*AG39</f>
        <v>6.1625833324422806E-7</v>
      </c>
      <c r="AH34" s="266" t="s">
        <v>311</v>
      </c>
      <c r="AI34" s="262" t="s">
        <v>450</v>
      </c>
      <c r="AJ34" s="290">
        <f>B24</f>
        <v>5.0675194079999996E-7</v>
      </c>
      <c r="AK34" s="262" t="s">
        <v>282</v>
      </c>
      <c r="AL34" s="262" t="s">
        <v>451</v>
      </c>
      <c r="AM34" s="290">
        <f>B26</f>
        <v>1.4572037375999999E-6</v>
      </c>
      <c r="AN34" s="263" t="s">
        <v>72</v>
      </c>
      <c r="AR34" s="262" t="s">
        <v>450</v>
      </c>
      <c r="AS34" s="290">
        <f>B24</f>
        <v>5.0675194079999996E-7</v>
      </c>
      <c r="AT34" s="262" t="s">
        <v>282</v>
      </c>
      <c r="AU34" s="262" t="s">
        <v>451</v>
      </c>
      <c r="AV34" s="290">
        <f>B26</f>
        <v>1.4572037375999999E-6</v>
      </c>
      <c r="AW34" s="263" t="s">
        <v>72</v>
      </c>
      <c r="BA34" s="262" t="s">
        <v>450</v>
      </c>
      <c r="BB34" s="290">
        <f>B24</f>
        <v>5.0675194079999996E-7</v>
      </c>
      <c r="BC34" s="262" t="s">
        <v>282</v>
      </c>
      <c r="BD34" s="262" t="s">
        <v>451</v>
      </c>
      <c r="BE34" s="290">
        <f>B26</f>
        <v>1.4572037375999999E-6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V34" s="249" t="s">
        <v>270</v>
      </c>
      <c r="BW34" s="287">
        <f>B31</f>
        <v>30.167100000000001</v>
      </c>
      <c r="BX34" s="249" t="s">
        <v>69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10</v>
      </c>
      <c r="HF34" s="249" t="s">
        <v>19</v>
      </c>
    </row>
    <row r="35" spans="1:214" ht="12.75" customHeight="1" x14ac:dyDescent="0.2">
      <c r="A35" s="266" t="s">
        <v>270</v>
      </c>
      <c r="B35" s="315">
        <v>11000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5.0675194079999996E-7</v>
      </c>
      <c r="BL35" s="262" t="s">
        <v>282</v>
      </c>
      <c r="BM35" s="262" t="s">
        <v>451</v>
      </c>
      <c r="BN35" s="290">
        <f>B26</f>
        <v>1.4572037375999999E-6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ht="12.75" customHeight="1" x14ac:dyDescent="0.2">
      <c r="A36" s="262" t="s">
        <v>122</v>
      </c>
      <c r="B36" s="315">
        <v>2500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95" t="s">
        <v>315</v>
      </c>
      <c r="N36" s="361">
        <f>B293</f>
        <v>137</v>
      </c>
      <c r="O36" s="249" t="s">
        <v>309</v>
      </c>
      <c r="P36" s="95" t="s">
        <v>315</v>
      </c>
      <c r="Q36" s="361">
        <f>B293</f>
        <v>137</v>
      </c>
      <c r="R36" s="249" t="s">
        <v>309</v>
      </c>
      <c r="V36" s="262" t="s">
        <v>63</v>
      </c>
      <c r="W36" s="287">
        <f>B28</f>
        <v>2.381967648E-9</v>
      </c>
      <c r="X36" s="262" t="s">
        <v>64</v>
      </c>
      <c r="Y36" s="262" t="s">
        <v>63</v>
      </c>
      <c r="Z36" s="287">
        <f>B28</f>
        <v>2.381967648E-9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315</v>
      </c>
      <c r="AJ36" s="289">
        <f>B293</f>
        <v>137</v>
      </c>
      <c r="AK36" s="249" t="s">
        <v>309</v>
      </c>
      <c r="AL36" s="95" t="s">
        <v>315</v>
      </c>
      <c r="AM36" s="289">
        <f>B293</f>
        <v>137</v>
      </c>
      <c r="AN36" s="249" t="s">
        <v>309</v>
      </c>
      <c r="AR36" s="95" t="s">
        <v>315</v>
      </c>
      <c r="AS36" s="289">
        <f>B293</f>
        <v>137</v>
      </c>
      <c r="AT36" s="249" t="s">
        <v>309</v>
      </c>
      <c r="AU36" s="95" t="s">
        <v>315</v>
      </c>
      <c r="AV36" s="289">
        <f>B293</f>
        <v>137</v>
      </c>
      <c r="AW36" s="249" t="s">
        <v>309</v>
      </c>
      <c r="BA36" s="95" t="s">
        <v>315</v>
      </c>
      <c r="BB36" s="289">
        <f>B293</f>
        <v>137</v>
      </c>
      <c r="BC36" s="249" t="s">
        <v>309</v>
      </c>
      <c r="BD36" s="95" t="s">
        <v>315</v>
      </c>
      <c r="BE36" s="289">
        <f>B293</f>
        <v>137</v>
      </c>
      <c r="BJ36" s="95" t="s">
        <v>315</v>
      </c>
      <c r="BK36" s="289">
        <f>B293</f>
        <v>137</v>
      </c>
      <c r="BL36" s="249" t="s">
        <v>309</v>
      </c>
      <c r="BM36" s="95" t="s">
        <v>315</v>
      </c>
      <c r="BN36" s="289">
        <f>B293</f>
        <v>137</v>
      </c>
      <c r="BO36" s="249" t="s">
        <v>309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x14ac:dyDescent="0.2">
      <c r="A37" s="262" t="s">
        <v>278</v>
      </c>
      <c r="B37" s="315">
        <v>4.5999999999999999E-3</v>
      </c>
      <c r="C37" s="263" t="s">
        <v>298</v>
      </c>
      <c r="D37" s="262" t="s">
        <v>80</v>
      </c>
      <c r="E37" s="300">
        <f>(E32/(E34*E33*E35*E36))*E7*E38*E39</f>
        <v>6.3016446759021017E-10</v>
      </c>
      <c r="F37" s="263" t="s">
        <v>311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M37" s="267" t="s">
        <v>310</v>
      </c>
      <c r="N37" s="289">
        <f>B294</f>
        <v>2.8000000000000002E-12</v>
      </c>
      <c r="P37" s="267" t="s">
        <v>310</v>
      </c>
      <c r="Q37" s="289">
        <f>B294</f>
        <v>2.8000000000000002E-12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AI37" s="267" t="s">
        <v>310</v>
      </c>
      <c r="AJ37" s="289">
        <f>B294</f>
        <v>2.8000000000000002E-12</v>
      </c>
      <c r="AL37" s="267" t="s">
        <v>310</v>
      </c>
      <c r="AM37" s="289">
        <f>B294</f>
        <v>2.8000000000000002E-12</v>
      </c>
      <c r="AR37" s="267" t="s">
        <v>310</v>
      </c>
      <c r="AS37" s="289">
        <f>B294</f>
        <v>2.8000000000000002E-12</v>
      </c>
      <c r="AU37" s="267" t="s">
        <v>310</v>
      </c>
      <c r="AV37" s="289">
        <f>B294</f>
        <v>2.8000000000000002E-12</v>
      </c>
      <c r="BA37" s="267" t="s">
        <v>310</v>
      </c>
      <c r="BB37" s="289">
        <f>B294</f>
        <v>2.8000000000000002E-12</v>
      </c>
      <c r="BD37" s="267" t="s">
        <v>310</v>
      </c>
      <c r="BE37" s="289">
        <f>B294</f>
        <v>2.8000000000000002E-12</v>
      </c>
      <c r="BJ37" s="267" t="s">
        <v>310</v>
      </c>
      <c r="BK37" s="289">
        <f>B294</f>
        <v>2.8000000000000002E-12</v>
      </c>
      <c r="BM37" s="267" t="s">
        <v>310</v>
      </c>
      <c r="BN37" s="289">
        <f>B294</f>
        <v>2.8000000000000002E-12</v>
      </c>
      <c r="BY37" s="95" t="s">
        <v>315</v>
      </c>
      <c r="BZ37" s="297">
        <f>B293</f>
        <v>137</v>
      </c>
      <c r="CA37" s="249" t="s">
        <v>309</v>
      </c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2.1999999999999999E-2</v>
      </c>
      <c r="C38" s="263" t="s">
        <v>298</v>
      </c>
      <c r="D38" s="95" t="s">
        <v>315</v>
      </c>
      <c r="E38" s="289">
        <f>B293</f>
        <v>137</v>
      </c>
      <c r="F38" s="249" t="s">
        <v>309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((W27)/((W33/W34)*W30*W31*W32*W35))*W29*W42*W43</f>
        <v>8.2305117780938848E-13</v>
      </c>
      <c r="X38" s="88" t="s">
        <v>15</v>
      </c>
      <c r="Y38" s="88" t="s">
        <v>74</v>
      </c>
      <c r="Z38" s="294">
        <f>((Z27*Z31*Z28)/((1-EXP(-Z28))*Z31*Z32*Z30*Z44*(Z33/Z34)*Z35))*Z29*Z46*Z47</f>
        <v>4.0026007539649664E-11</v>
      </c>
      <c r="AA38" s="88" t="s">
        <v>16</v>
      </c>
      <c r="AB38" s="95" t="s">
        <v>315</v>
      </c>
      <c r="AC38" s="297">
        <f>B293</f>
        <v>137</v>
      </c>
      <c r="AD38" s="297">
        <f>B293</f>
        <v>137</v>
      </c>
      <c r="AE38" s="297">
        <f>B293</f>
        <v>137</v>
      </c>
      <c r="AF38" s="297">
        <f>B293</f>
        <v>137</v>
      </c>
      <c r="AG38" s="297">
        <f>B293</f>
        <v>137</v>
      </c>
      <c r="AH38" s="249" t="s">
        <v>309</v>
      </c>
      <c r="AL38" s="262"/>
      <c r="AM38" s="293"/>
      <c r="AN38" s="262"/>
      <c r="BD38" s="262"/>
      <c r="BE38" s="293"/>
      <c r="BF38" s="262"/>
      <c r="BY38" s="267" t="s">
        <v>310</v>
      </c>
      <c r="BZ38" s="289">
        <f>B294</f>
        <v>2.8000000000000002E-12</v>
      </c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x14ac:dyDescent="0.2">
      <c r="A39" s="262" t="s">
        <v>276</v>
      </c>
      <c r="B39" s="315">
        <v>2.7</v>
      </c>
      <c r="C39" s="263" t="s">
        <v>298</v>
      </c>
      <c r="D39" s="267" t="s">
        <v>310</v>
      </c>
      <c r="E39" s="289">
        <f>B294</f>
        <v>2.8000000000000002E-12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((W27)/((W33/W34)*W30*W31*W36*(1/365)))*W29*W42*W43</f>
        <v>8.5115842971852173E-10</v>
      </c>
      <c r="X39" s="88" t="s">
        <v>15</v>
      </c>
      <c r="Y39" s="88" t="s">
        <v>78</v>
      </c>
      <c r="Z39" s="296">
        <f>((Z27*Z31*Z28)/((1-EXP(-Z28*Z31))*Z36*Z30*Z44*(Z33/Z34)*Z37*(Z44/Z45)))*Z29*Z46*Z47</f>
        <v>4.1392898332307449E-8</v>
      </c>
      <c r="AA39" s="88" t="s">
        <v>16</v>
      </c>
      <c r="AB39" s="267" t="s">
        <v>310</v>
      </c>
      <c r="AC39" s="289">
        <f>B294</f>
        <v>2.8000000000000002E-12</v>
      </c>
      <c r="AD39" s="289">
        <f>B294</f>
        <v>2.8000000000000002E-12</v>
      </c>
      <c r="AE39" s="289">
        <f>B294</f>
        <v>2.8000000000000002E-12</v>
      </c>
      <c r="AF39" s="289">
        <f>B294</f>
        <v>2.8000000000000002E-12</v>
      </c>
      <c r="AG39" s="289">
        <f>B294</f>
        <v>2.8000000000000002E-12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0.4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((W27*W28*W31)/((W33/W34)*(1-EXP(-W28*W31))*W32*W35*W30*W31))*W29*W42*W43</f>
        <v>1.0818890954433601E-12</v>
      </c>
      <c r="X40" s="88" t="s">
        <v>16</v>
      </c>
      <c r="Y40" s="88" t="s">
        <v>74</v>
      </c>
      <c r="Z40" s="294">
        <f>(Z27/((Z32*Z30*Z44*(Z33/Z34)*Z35)))*Z29*Z46*Z47</f>
        <v>3.9569768163912902E-11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0.2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((W27*W28*W31)/((W33/W34)*(1-EXP(-W28*W31))*W36*W30*W31*(1/365)))*W29*W42*W43</f>
        <v>1.1188356792807181E-9</v>
      </c>
      <c r="X41" s="88" t="s">
        <v>16</v>
      </c>
      <c r="Y41" s="88" t="s">
        <v>78</v>
      </c>
      <c r="Z41" s="296">
        <f>(Z27/(Z36*Z30*(1/Z45)*Z44*(Z33/Z34)*Z37))*Z29*Z46*Z47</f>
        <v>4.0921078351851998E-8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1</v>
      </c>
      <c r="HF41" s="249" t="s">
        <v>113</v>
      </c>
    </row>
    <row r="42" spans="1:214" x14ac:dyDescent="0.2">
      <c r="A42" s="249" t="s">
        <v>265</v>
      </c>
      <c r="B42" s="315">
        <f>B38</f>
        <v>2.1999999999999999E-2</v>
      </c>
      <c r="C42" s="263" t="s">
        <v>298</v>
      </c>
      <c r="D42" s="203" t="s">
        <v>510</v>
      </c>
      <c r="E42" s="204">
        <f>E52</f>
        <v>2.5206578703608405E-13</v>
      </c>
      <c r="F42" s="184" t="s">
        <v>313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315</v>
      </c>
      <c r="W42" s="289">
        <f>B293</f>
        <v>137</v>
      </c>
      <c r="X42" s="249" t="s">
        <v>309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2.7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V43" s="267" t="s">
        <v>310</v>
      </c>
      <c r="W43" s="289">
        <f>B295</f>
        <v>2.8000000000000001E-15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2.5229999999999999E-2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2.9000000000000001E-2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10</v>
      </c>
      <c r="C46" s="249" t="s">
        <v>19</v>
      </c>
      <c r="D46" s="262" t="s">
        <v>438</v>
      </c>
      <c r="E46" s="287">
        <f>B30</f>
        <v>3.7370000000000003E-11</v>
      </c>
      <c r="F46" s="262" t="s">
        <v>289</v>
      </c>
      <c r="G46" s="249" t="s">
        <v>20</v>
      </c>
      <c r="H46" s="287">
        <f>H48</f>
        <v>2.5229999999999999E-2</v>
      </c>
      <c r="I46" s="263"/>
      <c r="J46" s="269" t="s">
        <v>107</v>
      </c>
      <c r="K46" s="292">
        <f>K34</f>
        <v>26</v>
      </c>
      <c r="L46" s="269" t="s">
        <v>69</v>
      </c>
      <c r="Y46" s="95" t="s">
        <v>315</v>
      </c>
      <c r="Z46" s="289">
        <f>B293</f>
        <v>137</v>
      </c>
      <c r="AA46" s="249" t="s">
        <v>309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200</v>
      </c>
      <c r="C47" s="262" t="s">
        <v>14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Y47" s="267" t="s">
        <v>310</v>
      </c>
      <c r="Z47" s="289">
        <f>B295</f>
        <v>2.8000000000000001E-15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2.5229999999999999E-2</v>
      </c>
      <c r="K48" s="289">
        <v>1000</v>
      </c>
      <c r="L48" s="249" t="s">
        <v>115</v>
      </c>
      <c r="CT48" s="95" t="s">
        <v>315</v>
      </c>
      <c r="CU48" s="289">
        <f>B293</f>
        <v>137</v>
      </c>
      <c r="CV48" s="249" t="s">
        <v>309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BY49" s="262"/>
      <c r="BZ49" s="293"/>
      <c r="CT49" s="267" t="s">
        <v>310</v>
      </c>
      <c r="CU49" s="289">
        <f>B294</f>
        <v>2.8000000000000002E-12</v>
      </c>
      <c r="DA49" s="292">
        <v>1000</v>
      </c>
      <c r="DB49" s="267" t="s">
        <v>115</v>
      </c>
      <c r="DW49" s="264"/>
      <c r="DX49" s="264"/>
      <c r="DY49" s="328"/>
      <c r="DZ49" s="264"/>
    </row>
    <row r="50" spans="1:130" ht="15" x14ac:dyDescent="0.2">
      <c r="A50" s="516" t="s">
        <v>2</v>
      </c>
      <c r="B50" s="516"/>
      <c r="C50" s="516"/>
      <c r="D50" s="262" t="s">
        <v>122</v>
      </c>
      <c r="E50" s="298">
        <f>B36</f>
        <v>2500</v>
      </c>
      <c r="F50" s="263" t="s">
        <v>19</v>
      </c>
      <c r="G50" s="249" t="s">
        <v>18</v>
      </c>
      <c r="H50" s="288">
        <f>(H53*H54*H48*((1-EXP(-H55*H56))))/(H57*H55)</f>
        <v>0.66252863179360322</v>
      </c>
      <c r="I50" s="249" t="s">
        <v>19</v>
      </c>
      <c r="J50" s="249" t="s">
        <v>20</v>
      </c>
      <c r="K50" s="287">
        <f>K52</f>
        <v>2.5229999999999999E-2</v>
      </c>
      <c r="BY50" s="263"/>
      <c r="BZ50" s="307"/>
      <c r="CT50" s="263"/>
      <c r="CU50" s="307"/>
      <c r="CZ50" s="95" t="s">
        <v>315</v>
      </c>
      <c r="DA50" s="289">
        <f>B293</f>
        <v>137</v>
      </c>
      <c r="DB50" s="249" t="s">
        <v>309</v>
      </c>
      <c r="DW50" s="264"/>
      <c r="DX50" s="264"/>
      <c r="DY50" s="328"/>
      <c r="DZ50" s="264"/>
    </row>
    <row r="51" spans="1:130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6.8274849094862002</v>
      </c>
      <c r="I51" s="249" t="s">
        <v>19</v>
      </c>
      <c r="J51" s="262" t="s">
        <v>28</v>
      </c>
      <c r="K51" s="293">
        <f>K53</f>
        <v>0.26</v>
      </c>
      <c r="BW51" s="287"/>
      <c r="BY51" s="262"/>
      <c r="BZ51" s="293"/>
      <c r="CT51" s="262"/>
      <c r="CU51" s="293"/>
      <c r="CZ51" s="267" t="s">
        <v>310</v>
      </c>
      <c r="DA51" s="289">
        <f>B294</f>
        <v>2.8000000000000002E-12</v>
      </c>
      <c r="DW51" s="264"/>
      <c r="DX51" s="264"/>
      <c r="DY51" s="328"/>
      <c r="DZ51" s="264"/>
    </row>
    <row r="52" spans="1:130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>
        <f>(E44/(E46*E45*E47*E48*E50*E51*(1/E49)))*E7*E53*E54</f>
        <v>2.5206578703608405E-13</v>
      </c>
      <c r="F52" s="249" t="s">
        <v>313</v>
      </c>
      <c r="G52" s="249" t="s">
        <v>36</v>
      </c>
      <c r="H52" s="288">
        <f>(H53*H54*H58*H64*((1-EXP(-H59*H60))))/(H61*H59)</f>
        <v>3.6385326157733249</v>
      </c>
      <c r="I52" s="249" t="s">
        <v>19</v>
      </c>
      <c r="J52" s="263" t="s">
        <v>37</v>
      </c>
      <c r="K52" s="290">
        <f>B44</f>
        <v>2.5229999999999999E-2</v>
      </c>
      <c r="BW52" s="287"/>
      <c r="CZ52" s="267"/>
      <c r="DW52" s="264"/>
      <c r="DX52" s="264"/>
      <c r="DY52" s="328"/>
      <c r="DZ52" s="264"/>
    </row>
    <row r="53" spans="1:130" x14ac:dyDescent="0.2">
      <c r="A53" s="262" t="s">
        <v>320</v>
      </c>
      <c r="B53" s="283">
        <v>200</v>
      </c>
      <c r="C53" s="263" t="s">
        <v>54</v>
      </c>
      <c r="D53" s="95" t="s">
        <v>315</v>
      </c>
      <c r="E53" s="289">
        <f>B293</f>
        <v>137</v>
      </c>
      <c r="F53" s="249" t="s">
        <v>309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BV53" s="262"/>
      <c r="CZ53" s="267"/>
    </row>
    <row r="54" spans="1:130" x14ac:dyDescent="0.2">
      <c r="A54" s="262" t="s">
        <v>321</v>
      </c>
      <c r="B54" s="283">
        <v>100</v>
      </c>
      <c r="C54" s="263" t="s">
        <v>54</v>
      </c>
      <c r="D54" s="267" t="s">
        <v>310</v>
      </c>
      <c r="E54" s="289">
        <f>B295</f>
        <v>2.8000000000000001E-15</v>
      </c>
      <c r="G54" s="262" t="s">
        <v>46</v>
      </c>
      <c r="H54" s="287">
        <f>B86</f>
        <v>0.25</v>
      </c>
      <c r="I54" s="249" t="s">
        <v>47</v>
      </c>
      <c r="J54" s="267" t="s">
        <v>315</v>
      </c>
      <c r="K54" s="289">
        <f>B293</f>
        <v>137</v>
      </c>
      <c r="L54" s="249" t="s">
        <v>309</v>
      </c>
      <c r="BV54" s="262"/>
      <c r="CZ54" s="267"/>
    </row>
    <row r="55" spans="1:130" x14ac:dyDescent="0.2">
      <c r="A55" s="262" t="s">
        <v>322</v>
      </c>
      <c r="B55" s="283">
        <v>0.78</v>
      </c>
      <c r="C55" s="262" t="s">
        <v>30</v>
      </c>
      <c r="G55" s="267" t="s">
        <v>55</v>
      </c>
      <c r="H55" s="303">
        <f>H62+H63</f>
        <v>8.9999999999999992E-5</v>
      </c>
      <c r="J55" s="267" t="s">
        <v>310</v>
      </c>
      <c r="K55" s="289">
        <f>B294</f>
        <v>2.8000000000000002E-12</v>
      </c>
      <c r="BV55" s="267"/>
      <c r="CZ55" s="267"/>
    </row>
    <row r="56" spans="1:130" x14ac:dyDescent="0.2">
      <c r="A56" s="262" t="s">
        <v>323</v>
      </c>
      <c r="B56" s="283">
        <v>2.5</v>
      </c>
      <c r="C56" s="262" t="s">
        <v>30</v>
      </c>
      <c r="G56" s="267" t="s">
        <v>60</v>
      </c>
      <c r="H56" s="289">
        <f>B87</f>
        <v>10950</v>
      </c>
      <c r="I56" s="249" t="s">
        <v>61</v>
      </c>
      <c r="BV56" s="267"/>
      <c r="CZ56" s="267"/>
    </row>
    <row r="57" spans="1:130" x14ac:dyDescent="0.2">
      <c r="A57" s="262" t="s">
        <v>337</v>
      </c>
      <c r="B57" s="283">
        <v>54</v>
      </c>
      <c r="C57" s="249" t="s">
        <v>54</v>
      </c>
      <c r="G57" s="267" t="s">
        <v>65</v>
      </c>
      <c r="H57" s="289">
        <f>B88</f>
        <v>240</v>
      </c>
      <c r="I57" s="249" t="s">
        <v>66</v>
      </c>
      <c r="BV57" s="267"/>
      <c r="CZ57" s="267"/>
      <c r="DA57" s="293"/>
      <c r="DB57" s="262"/>
    </row>
    <row r="58" spans="1:130" x14ac:dyDescent="0.2">
      <c r="A58" s="249" t="s">
        <v>357</v>
      </c>
      <c r="B58" s="283">
        <v>32.799999999999997</v>
      </c>
      <c r="C58" s="249" t="s">
        <v>54</v>
      </c>
      <c r="G58" s="267" t="s">
        <v>76</v>
      </c>
      <c r="H58" s="289">
        <f>B89</f>
        <v>0.42</v>
      </c>
      <c r="I58" s="249" t="s">
        <v>47</v>
      </c>
      <c r="BV58" s="267"/>
      <c r="CZ58" s="267"/>
      <c r="DA58" s="293"/>
      <c r="DB58" s="262"/>
    </row>
    <row r="59" spans="1:130" x14ac:dyDescent="0.2">
      <c r="A59" s="249" t="s">
        <v>336</v>
      </c>
      <c r="B59" s="283">
        <v>157.69999999999999</v>
      </c>
      <c r="C59" s="249" t="s">
        <v>54</v>
      </c>
      <c r="G59" s="267" t="s">
        <v>81</v>
      </c>
      <c r="H59" s="299">
        <f>H63+(0.693/H65)</f>
        <v>4.9562999999999996E-2</v>
      </c>
      <c r="I59" s="262" t="s">
        <v>82</v>
      </c>
      <c r="BV59" s="267"/>
      <c r="CZ59" s="267"/>
      <c r="DA59" s="293"/>
      <c r="DB59" s="262"/>
    </row>
    <row r="60" spans="1:130" x14ac:dyDescent="0.2">
      <c r="A60" s="262" t="s">
        <v>332</v>
      </c>
      <c r="B60" s="283">
        <v>68.099999999999994</v>
      </c>
      <c r="C60" s="267" t="s">
        <v>254</v>
      </c>
      <c r="G60" s="267" t="s">
        <v>85</v>
      </c>
      <c r="H60" s="293">
        <f>B90</f>
        <v>60</v>
      </c>
      <c r="I60" s="262" t="s">
        <v>61</v>
      </c>
      <c r="BV60" s="267"/>
      <c r="CZ60" s="267"/>
    </row>
    <row r="61" spans="1:130" x14ac:dyDescent="0.2">
      <c r="A61" s="262" t="s">
        <v>333</v>
      </c>
      <c r="B61" s="283">
        <v>188.5</v>
      </c>
      <c r="C61" s="267" t="s">
        <v>254</v>
      </c>
      <c r="G61" s="267" t="s">
        <v>87</v>
      </c>
      <c r="H61" s="293">
        <f>B91</f>
        <v>2</v>
      </c>
      <c r="I61" s="262" t="s">
        <v>66</v>
      </c>
      <c r="BV61" s="267"/>
      <c r="BW61" s="293"/>
      <c r="BX61" s="262"/>
      <c r="CZ61" s="267"/>
      <c r="DA61" s="287"/>
    </row>
    <row r="62" spans="1:130" x14ac:dyDescent="0.2">
      <c r="A62" s="262" t="s">
        <v>334</v>
      </c>
      <c r="B62" s="283">
        <v>41.7</v>
      </c>
      <c r="C62" s="267" t="s">
        <v>254</v>
      </c>
      <c r="G62" s="267" t="s">
        <v>89</v>
      </c>
      <c r="H62" s="289">
        <f>B92</f>
        <v>2.6999999999999999E-5</v>
      </c>
      <c r="I62" s="249" t="s">
        <v>82</v>
      </c>
      <c r="BV62" s="267"/>
      <c r="BW62" s="293"/>
      <c r="BX62" s="262"/>
      <c r="CZ62" s="267"/>
    </row>
    <row r="63" spans="1:130" x14ac:dyDescent="0.2">
      <c r="A63" s="262" t="s">
        <v>335</v>
      </c>
      <c r="B63" s="283">
        <v>128.9</v>
      </c>
      <c r="C63" s="267" t="s">
        <v>254</v>
      </c>
      <c r="G63" s="267" t="s">
        <v>90</v>
      </c>
      <c r="H63" s="288">
        <f>0.693/H67</f>
        <v>6.3E-5</v>
      </c>
      <c r="I63" s="249" t="s">
        <v>82</v>
      </c>
      <c r="BV63" s="267"/>
      <c r="BW63" s="293"/>
      <c r="BX63" s="262"/>
      <c r="CZ63" s="267"/>
    </row>
    <row r="64" spans="1:130" x14ac:dyDescent="0.2">
      <c r="A64" s="262" t="s">
        <v>343</v>
      </c>
      <c r="B64" s="283">
        <v>6</v>
      </c>
      <c r="C64" s="264" t="s">
        <v>69</v>
      </c>
      <c r="G64" s="267" t="s">
        <v>91</v>
      </c>
      <c r="H64" s="289">
        <f>B93</f>
        <v>1</v>
      </c>
      <c r="I64" s="249" t="s">
        <v>47</v>
      </c>
      <c r="AI64" s="275"/>
      <c r="AJ64" s="353"/>
      <c r="AK64" s="275"/>
      <c r="BV64" s="267"/>
    </row>
    <row r="65" spans="1:105" x14ac:dyDescent="0.2">
      <c r="A65" s="262" t="s">
        <v>342</v>
      </c>
      <c r="B65" s="283">
        <v>20</v>
      </c>
      <c r="C65" s="264" t="s">
        <v>69</v>
      </c>
      <c r="G65" s="267" t="s">
        <v>92</v>
      </c>
      <c r="H65" s="289">
        <f>B94</f>
        <v>14</v>
      </c>
      <c r="I65" s="249" t="s">
        <v>93</v>
      </c>
      <c r="AI65" s="275"/>
      <c r="AJ65" s="353"/>
      <c r="AK65" s="275"/>
      <c r="BV65" s="267"/>
    </row>
    <row r="66" spans="1:105" x14ac:dyDescent="0.2">
      <c r="A66" s="262" t="s">
        <v>341</v>
      </c>
      <c r="B66" s="283">
        <v>26</v>
      </c>
      <c r="C66" s="264" t="s">
        <v>69</v>
      </c>
      <c r="G66" s="249" t="s">
        <v>38</v>
      </c>
      <c r="H66" s="287">
        <f>B45</f>
        <v>2.9000000000000001E-2</v>
      </c>
      <c r="AI66" s="275"/>
      <c r="AJ66" s="353"/>
      <c r="AK66" s="275"/>
      <c r="BV66" s="267"/>
      <c r="CZ66" s="262"/>
      <c r="DA66" s="287"/>
    </row>
    <row r="67" spans="1:105" x14ac:dyDescent="0.2">
      <c r="A67" s="262" t="s">
        <v>340</v>
      </c>
      <c r="B67" s="283">
        <v>350</v>
      </c>
      <c r="C67" s="264" t="s">
        <v>26</v>
      </c>
      <c r="G67" s="262" t="s">
        <v>273</v>
      </c>
      <c r="H67" s="287">
        <f>B35</f>
        <v>11000</v>
      </c>
      <c r="I67" s="249" t="s">
        <v>257</v>
      </c>
      <c r="AI67" s="275"/>
      <c r="AJ67" s="353"/>
      <c r="AK67" s="275"/>
      <c r="BV67" s="267"/>
    </row>
    <row r="68" spans="1:105" x14ac:dyDescent="0.2">
      <c r="A68" s="262" t="s">
        <v>339</v>
      </c>
      <c r="B68" s="283">
        <v>350</v>
      </c>
      <c r="C68" s="264" t="s">
        <v>26</v>
      </c>
      <c r="G68" s="95" t="s">
        <v>315</v>
      </c>
      <c r="H68" s="297">
        <f>B293</f>
        <v>137</v>
      </c>
      <c r="I68" s="249" t="s">
        <v>309</v>
      </c>
      <c r="AI68" s="275"/>
      <c r="AJ68" s="353"/>
      <c r="AK68" s="275"/>
    </row>
    <row r="69" spans="1:105" x14ac:dyDescent="0.2">
      <c r="A69" s="262" t="s">
        <v>338</v>
      </c>
      <c r="B69" s="283">
        <v>350</v>
      </c>
      <c r="C69" s="264" t="s">
        <v>26</v>
      </c>
      <c r="G69" s="267" t="s">
        <v>310</v>
      </c>
      <c r="H69" s="289">
        <f>B295</f>
        <v>2.8000000000000001E-15</v>
      </c>
      <c r="AI69" s="275"/>
      <c r="AJ69" s="353"/>
      <c r="AK69" s="275"/>
      <c r="BV69" s="262"/>
      <c r="BW69" s="287"/>
    </row>
    <row r="70" spans="1:105" x14ac:dyDescent="0.2">
      <c r="A70" s="249" t="s">
        <v>344</v>
      </c>
      <c r="B70" s="284">
        <v>0.54</v>
      </c>
      <c r="C70" s="92" t="s">
        <v>104</v>
      </c>
      <c r="G70" s="249" t="s">
        <v>270</v>
      </c>
      <c r="H70" s="287">
        <f>B31</f>
        <v>30.167100000000001</v>
      </c>
      <c r="I70" s="249" t="s">
        <v>69</v>
      </c>
      <c r="AI70" s="275"/>
      <c r="AJ70" s="353"/>
      <c r="AK70" s="275"/>
      <c r="BV70" s="262"/>
    </row>
    <row r="71" spans="1:105" x14ac:dyDescent="0.2">
      <c r="A71" s="249" t="s">
        <v>345</v>
      </c>
      <c r="B71" s="284">
        <v>0.71</v>
      </c>
      <c r="C71" s="92" t="s">
        <v>104</v>
      </c>
      <c r="AI71" s="275"/>
      <c r="AJ71" s="353"/>
      <c r="AK71" s="275"/>
      <c r="BV71" s="262"/>
    </row>
    <row r="72" spans="1:105" x14ac:dyDescent="0.2">
      <c r="A72" s="262" t="s">
        <v>347</v>
      </c>
      <c r="B72" s="283">
        <v>24</v>
      </c>
      <c r="C72" s="264" t="s">
        <v>224</v>
      </c>
      <c r="AF72" s="277"/>
      <c r="AG72" s="353"/>
      <c r="AH72" s="275"/>
      <c r="AI72" s="275"/>
      <c r="AJ72" s="353"/>
      <c r="AK72" s="275"/>
    </row>
    <row r="73" spans="1:105" x14ac:dyDescent="0.2">
      <c r="A73" s="262" t="s">
        <v>348</v>
      </c>
      <c r="B73" s="283">
        <v>24</v>
      </c>
      <c r="C73" s="264" t="s">
        <v>224</v>
      </c>
      <c r="AF73" s="277"/>
      <c r="AG73" s="353"/>
      <c r="AH73" s="275"/>
      <c r="AI73" s="275"/>
      <c r="AJ73" s="353"/>
      <c r="AK73" s="275"/>
    </row>
    <row r="74" spans="1:105" x14ac:dyDescent="0.2">
      <c r="A74" s="262" t="s">
        <v>346</v>
      </c>
      <c r="B74" s="283">
        <v>24</v>
      </c>
      <c r="C74" s="264" t="s">
        <v>224</v>
      </c>
      <c r="AF74" s="277"/>
      <c r="AG74" s="353"/>
      <c r="AH74" s="275"/>
      <c r="AI74" s="275"/>
      <c r="AJ74" s="353"/>
      <c r="AK74" s="275"/>
    </row>
    <row r="75" spans="1:105" x14ac:dyDescent="0.2">
      <c r="A75" s="249" t="s">
        <v>349</v>
      </c>
      <c r="B75" s="284">
        <v>1</v>
      </c>
      <c r="C75" s="92" t="s">
        <v>98</v>
      </c>
      <c r="AF75" s="277"/>
      <c r="AG75" s="353"/>
      <c r="AH75" s="275"/>
      <c r="AI75" s="275"/>
      <c r="AJ75" s="353"/>
      <c r="AK75" s="275"/>
    </row>
    <row r="76" spans="1:105" x14ac:dyDescent="0.2">
      <c r="A76" s="249" t="s">
        <v>350</v>
      </c>
      <c r="B76" s="284">
        <v>1</v>
      </c>
      <c r="C76" s="92" t="s">
        <v>98</v>
      </c>
      <c r="AF76" s="277"/>
      <c r="AG76" s="353"/>
      <c r="AH76" s="275"/>
      <c r="AI76" s="275"/>
      <c r="AJ76" s="353"/>
      <c r="AK76" s="275"/>
    </row>
    <row r="77" spans="1:105" x14ac:dyDescent="0.2">
      <c r="A77" s="262" t="s">
        <v>103</v>
      </c>
      <c r="B77" s="283">
        <v>0.4</v>
      </c>
      <c r="AF77" s="277"/>
      <c r="AG77" s="353"/>
      <c r="AH77" s="275"/>
      <c r="AI77" s="275"/>
      <c r="AJ77" s="353"/>
      <c r="AK77" s="275"/>
    </row>
    <row r="78" spans="1:105" x14ac:dyDescent="0.2">
      <c r="A78" s="249" t="s">
        <v>353</v>
      </c>
      <c r="B78" s="284">
        <v>1</v>
      </c>
      <c r="C78" s="247"/>
      <c r="AF78" s="277"/>
      <c r="AG78" s="353"/>
    </row>
    <row r="79" spans="1:105" x14ac:dyDescent="0.2">
      <c r="A79" s="249" t="s">
        <v>158</v>
      </c>
      <c r="B79" s="284">
        <v>0.4</v>
      </c>
      <c r="C79" s="247"/>
      <c r="AF79" s="277"/>
      <c r="AG79" s="353"/>
      <c r="AH79" s="275"/>
      <c r="AI79" s="275"/>
      <c r="AJ79" s="353"/>
      <c r="AK79" s="275"/>
    </row>
    <row r="80" spans="1:105" x14ac:dyDescent="0.2">
      <c r="A80" s="249" t="s">
        <v>159</v>
      </c>
      <c r="B80" s="284">
        <v>1</v>
      </c>
      <c r="C80" s="247"/>
      <c r="AF80" s="277"/>
      <c r="AG80" s="353"/>
      <c r="AH80" s="275"/>
      <c r="AI80" s="275"/>
      <c r="AJ80" s="353"/>
      <c r="AK80" s="275"/>
    </row>
    <row r="81" spans="1:37" x14ac:dyDescent="0.2">
      <c r="A81" s="249" t="s">
        <v>354</v>
      </c>
      <c r="B81" s="284">
        <v>1</v>
      </c>
      <c r="C81" s="247"/>
      <c r="AF81" s="277"/>
      <c r="AG81" s="353"/>
      <c r="AH81" s="275"/>
      <c r="AI81" s="275"/>
      <c r="AJ81" s="353"/>
      <c r="AK81" s="275"/>
    </row>
    <row r="82" spans="1:37" x14ac:dyDescent="0.2">
      <c r="A82" s="262" t="s">
        <v>124</v>
      </c>
      <c r="B82" s="284">
        <v>1</v>
      </c>
      <c r="C82" s="263" t="s">
        <v>125</v>
      </c>
      <c r="AF82" s="277"/>
      <c r="AG82" s="353"/>
      <c r="AH82" s="275"/>
      <c r="AI82" s="275"/>
      <c r="AJ82" s="353"/>
      <c r="AK82" s="275"/>
    </row>
    <row r="83" spans="1:37" x14ac:dyDescent="0.2">
      <c r="A83" s="249" t="s">
        <v>83</v>
      </c>
      <c r="B83" s="284">
        <v>0.5</v>
      </c>
      <c r="C83" s="249" t="s">
        <v>84</v>
      </c>
      <c r="AF83" s="277"/>
      <c r="AG83" s="353"/>
    </row>
    <row r="84" spans="1:37" x14ac:dyDescent="0.2">
      <c r="A84" s="249" t="s">
        <v>355</v>
      </c>
      <c r="B84" s="284">
        <v>0.25</v>
      </c>
      <c r="C84" s="247"/>
      <c r="AF84" s="277"/>
      <c r="AG84" s="353"/>
      <c r="AH84" s="275"/>
      <c r="AI84" s="275"/>
      <c r="AJ84" s="353"/>
      <c r="AK84" s="275"/>
    </row>
    <row r="85" spans="1:37" x14ac:dyDescent="0.2">
      <c r="A85" s="262" t="s">
        <v>41</v>
      </c>
      <c r="B85" s="284">
        <v>3.62</v>
      </c>
      <c r="C85" s="249" t="s">
        <v>42</v>
      </c>
      <c r="AF85" s="277"/>
      <c r="AG85" s="353"/>
    </row>
    <row r="86" spans="1:37" x14ac:dyDescent="0.2">
      <c r="A86" s="262" t="s">
        <v>46</v>
      </c>
      <c r="B86" s="284">
        <v>0.25</v>
      </c>
      <c r="C86" s="249" t="s">
        <v>47</v>
      </c>
      <c r="AH86" s="276"/>
      <c r="AI86" s="276"/>
      <c r="AJ86" s="277"/>
      <c r="AK86" s="276"/>
    </row>
    <row r="87" spans="1:37" x14ac:dyDescent="0.2">
      <c r="A87" s="267" t="s">
        <v>60</v>
      </c>
      <c r="B87" s="284">
        <v>10950</v>
      </c>
      <c r="C87" s="249" t="s">
        <v>61</v>
      </c>
    </row>
    <row r="88" spans="1:37" x14ac:dyDescent="0.2">
      <c r="A88" s="267" t="s">
        <v>65</v>
      </c>
      <c r="B88" s="284">
        <v>240</v>
      </c>
      <c r="C88" s="249" t="s">
        <v>66</v>
      </c>
    </row>
    <row r="89" spans="1:37" x14ac:dyDescent="0.2">
      <c r="A89" s="267" t="s">
        <v>76</v>
      </c>
      <c r="B89" s="284">
        <v>0.42</v>
      </c>
      <c r="C89" s="249" t="s">
        <v>47</v>
      </c>
    </row>
    <row r="90" spans="1:37" x14ac:dyDescent="0.2">
      <c r="A90" s="267" t="s">
        <v>85</v>
      </c>
      <c r="B90" s="284">
        <v>60</v>
      </c>
      <c r="C90" s="262" t="s">
        <v>61</v>
      </c>
    </row>
    <row r="91" spans="1:37" x14ac:dyDescent="0.2">
      <c r="A91" s="267" t="s">
        <v>87</v>
      </c>
      <c r="B91" s="284">
        <v>2</v>
      </c>
      <c r="C91" s="262" t="s">
        <v>66</v>
      </c>
    </row>
    <row r="92" spans="1:37" x14ac:dyDescent="0.2">
      <c r="A92" s="267" t="s">
        <v>89</v>
      </c>
      <c r="B92" s="284">
        <v>2.6999999999999999E-5</v>
      </c>
      <c r="C92" s="249" t="s">
        <v>82</v>
      </c>
    </row>
    <row r="93" spans="1:37" x14ac:dyDescent="0.2">
      <c r="A93" s="267" t="s">
        <v>91</v>
      </c>
      <c r="B93" s="284">
        <v>1</v>
      </c>
      <c r="C93" s="249" t="s">
        <v>47</v>
      </c>
    </row>
    <row r="94" spans="1:37" x14ac:dyDescent="0.2">
      <c r="A94" s="267" t="s">
        <v>92</v>
      </c>
      <c r="B94" s="284">
        <v>14</v>
      </c>
      <c r="C94" s="249" t="s">
        <v>93</v>
      </c>
    </row>
    <row r="95" spans="1:37" x14ac:dyDescent="0.2">
      <c r="A95" s="262" t="s">
        <v>356</v>
      </c>
      <c r="B95" s="283">
        <v>1</v>
      </c>
    </row>
    <row r="96" spans="1:37" x14ac:dyDescent="0.2">
      <c r="A96" s="262" t="s">
        <v>351</v>
      </c>
      <c r="B96" s="283">
        <v>1.752</v>
      </c>
      <c r="C96" s="264" t="s">
        <v>224</v>
      </c>
    </row>
    <row r="97" spans="1:3" x14ac:dyDescent="0.2">
      <c r="A97" s="262" t="s">
        <v>352</v>
      </c>
      <c r="B97" s="283">
        <v>16.416</v>
      </c>
      <c r="C97" s="264" t="s">
        <v>224</v>
      </c>
    </row>
    <row r="98" spans="1:3" ht="15" x14ac:dyDescent="0.2">
      <c r="A98" s="517" t="s">
        <v>5</v>
      </c>
      <c r="B98" s="517"/>
      <c r="C98" s="517"/>
    </row>
    <row r="99" spans="1:3" x14ac:dyDescent="0.2">
      <c r="A99" s="262" t="s">
        <v>358</v>
      </c>
      <c r="B99" s="284">
        <v>10</v>
      </c>
      <c r="C99" s="267" t="s">
        <v>359</v>
      </c>
    </row>
    <row r="100" spans="1:3" x14ac:dyDescent="0.2">
      <c r="A100" s="262" t="s">
        <v>360</v>
      </c>
      <c r="B100" s="284">
        <v>20</v>
      </c>
      <c r="C100" s="267" t="s">
        <v>359</v>
      </c>
    </row>
    <row r="101" spans="1:3" x14ac:dyDescent="0.2">
      <c r="A101" s="262" t="s">
        <v>305</v>
      </c>
      <c r="B101" s="283">
        <v>0.05</v>
      </c>
      <c r="C101" s="262" t="s">
        <v>361</v>
      </c>
    </row>
    <row r="102" spans="1:3" x14ac:dyDescent="0.2">
      <c r="A102" s="262" t="s">
        <v>306</v>
      </c>
      <c r="B102" s="283">
        <v>0.05</v>
      </c>
      <c r="C102" s="262" t="s">
        <v>361</v>
      </c>
    </row>
    <row r="103" spans="1:3" x14ac:dyDescent="0.2">
      <c r="A103" s="262" t="s">
        <v>362</v>
      </c>
      <c r="B103" s="284">
        <v>200</v>
      </c>
      <c r="C103" s="263" t="s">
        <v>54</v>
      </c>
    </row>
    <row r="104" spans="1:3" x14ac:dyDescent="0.2">
      <c r="A104" s="262" t="s">
        <v>363</v>
      </c>
      <c r="B104" s="284">
        <v>100</v>
      </c>
      <c r="C104" s="263" t="s">
        <v>54</v>
      </c>
    </row>
    <row r="105" spans="1:3" x14ac:dyDescent="0.2">
      <c r="A105" s="249" t="s">
        <v>187</v>
      </c>
      <c r="B105" s="284">
        <v>1</v>
      </c>
      <c r="C105" s="249" t="s">
        <v>254</v>
      </c>
    </row>
    <row r="106" spans="1:3" x14ac:dyDescent="0.2">
      <c r="A106" s="249" t="s">
        <v>188</v>
      </c>
      <c r="B106" s="284">
        <v>1</v>
      </c>
      <c r="C106" s="249" t="s">
        <v>254</v>
      </c>
    </row>
    <row r="107" spans="1:3" x14ac:dyDescent="0.2">
      <c r="A107" s="94" t="s">
        <v>373</v>
      </c>
      <c r="B107" s="283">
        <v>6</v>
      </c>
      <c r="C107" s="270" t="s">
        <v>69</v>
      </c>
    </row>
    <row r="108" spans="1:3" x14ac:dyDescent="0.2">
      <c r="A108" s="94" t="s">
        <v>372</v>
      </c>
      <c r="B108" s="283">
        <f>B109-B107</f>
        <v>20</v>
      </c>
      <c r="C108" s="270" t="s">
        <v>69</v>
      </c>
    </row>
    <row r="109" spans="1:3" x14ac:dyDescent="0.2">
      <c r="A109" s="94" t="s">
        <v>59</v>
      </c>
      <c r="B109" s="283">
        <v>26</v>
      </c>
      <c r="C109" s="270" t="s">
        <v>69</v>
      </c>
    </row>
    <row r="110" spans="1:3" x14ac:dyDescent="0.2">
      <c r="A110" s="94" t="s">
        <v>371</v>
      </c>
      <c r="B110" s="107">
        <v>75</v>
      </c>
      <c r="C110" s="94" t="s">
        <v>26</v>
      </c>
    </row>
    <row r="111" spans="1:3" x14ac:dyDescent="0.2">
      <c r="A111" s="94" t="s">
        <v>370</v>
      </c>
      <c r="B111" s="283">
        <v>75</v>
      </c>
      <c r="C111" s="94" t="s">
        <v>26</v>
      </c>
    </row>
    <row r="112" spans="1:3" x14ac:dyDescent="0.2">
      <c r="A112" s="94" t="s">
        <v>157</v>
      </c>
      <c r="B112" s="283">
        <v>75</v>
      </c>
      <c r="C112" s="94" t="s">
        <v>26</v>
      </c>
    </row>
    <row r="113" spans="1:3" x14ac:dyDescent="0.2">
      <c r="A113" s="94" t="s">
        <v>105</v>
      </c>
      <c r="B113" s="283">
        <v>1</v>
      </c>
      <c r="C113" s="92" t="s">
        <v>224</v>
      </c>
    </row>
    <row r="114" spans="1:3" x14ac:dyDescent="0.2">
      <c r="A114" s="92" t="s">
        <v>368</v>
      </c>
      <c r="B114" s="284">
        <v>1</v>
      </c>
      <c r="C114" s="92" t="s">
        <v>224</v>
      </c>
    </row>
    <row r="115" spans="1:3" x14ac:dyDescent="0.2">
      <c r="A115" s="92" t="s">
        <v>369</v>
      </c>
      <c r="B115" s="284">
        <v>1</v>
      </c>
      <c r="C115" s="92" t="s">
        <v>224</v>
      </c>
    </row>
    <row r="116" spans="1:3" x14ac:dyDescent="0.2">
      <c r="A116" s="249" t="s">
        <v>366</v>
      </c>
      <c r="B116" s="284">
        <v>1</v>
      </c>
      <c r="C116" s="249" t="s">
        <v>104</v>
      </c>
    </row>
    <row r="117" spans="1:3" x14ac:dyDescent="0.2">
      <c r="A117" s="249" t="s">
        <v>367</v>
      </c>
      <c r="B117" s="284">
        <v>1</v>
      </c>
      <c r="C117" s="249" t="s">
        <v>104</v>
      </c>
    </row>
    <row r="118" spans="1:3" x14ac:dyDescent="0.2">
      <c r="A118" s="94" t="s">
        <v>364</v>
      </c>
      <c r="B118" s="284">
        <v>1</v>
      </c>
      <c r="C118" s="92" t="s">
        <v>98</v>
      </c>
    </row>
    <row r="119" spans="1:3" x14ac:dyDescent="0.2">
      <c r="A119" s="94" t="s">
        <v>365</v>
      </c>
      <c r="B119" s="284">
        <v>1</v>
      </c>
      <c r="C119" s="92" t="s">
        <v>98</v>
      </c>
    </row>
    <row r="120" spans="1:3" x14ac:dyDescent="0.2">
      <c r="A120" s="263" t="s">
        <v>192</v>
      </c>
      <c r="B120" s="283">
        <v>1</v>
      </c>
      <c r="C120" s="249" t="s">
        <v>283</v>
      </c>
    </row>
    <row r="121" spans="1:3" x14ac:dyDescent="0.2">
      <c r="A121" s="263" t="s">
        <v>189</v>
      </c>
      <c r="B121" s="283">
        <v>1</v>
      </c>
      <c r="C121" s="249" t="s">
        <v>283</v>
      </c>
    </row>
    <row r="122" spans="1:3" x14ac:dyDescent="0.2">
      <c r="A122" s="263" t="s">
        <v>190</v>
      </c>
      <c r="B122" s="283">
        <v>1</v>
      </c>
      <c r="C122" s="249" t="s">
        <v>47</v>
      </c>
    </row>
    <row r="123" spans="1:3" x14ac:dyDescent="0.2">
      <c r="A123" s="263" t="s">
        <v>191</v>
      </c>
      <c r="B123" s="283">
        <v>1</v>
      </c>
      <c r="C123" s="249" t="s">
        <v>47</v>
      </c>
    </row>
    <row r="124" spans="1:3" x14ac:dyDescent="0.2">
      <c r="A124" s="263" t="s">
        <v>199</v>
      </c>
      <c r="B124" s="283">
        <v>1</v>
      </c>
      <c r="C124" s="249" t="s">
        <v>30</v>
      </c>
    </row>
    <row r="125" spans="1:3" x14ac:dyDescent="0.2">
      <c r="A125" s="249" t="s">
        <v>193</v>
      </c>
      <c r="B125" s="283">
        <v>1</v>
      </c>
      <c r="C125" s="249" t="s">
        <v>283</v>
      </c>
    </row>
    <row r="126" spans="1:3" x14ac:dyDescent="0.2">
      <c r="A126" s="249" t="s">
        <v>196</v>
      </c>
      <c r="B126" s="283">
        <v>1</v>
      </c>
      <c r="C126" s="249" t="s">
        <v>283</v>
      </c>
    </row>
    <row r="127" spans="1:3" x14ac:dyDescent="0.2">
      <c r="A127" s="268" t="s">
        <v>197</v>
      </c>
      <c r="B127" s="283">
        <v>1</v>
      </c>
      <c r="C127" s="249" t="s">
        <v>47</v>
      </c>
    </row>
    <row r="128" spans="1:3" x14ac:dyDescent="0.2">
      <c r="A128" s="262" t="s">
        <v>198</v>
      </c>
      <c r="B128" s="283">
        <v>1</v>
      </c>
      <c r="C128" s="249" t="s">
        <v>47</v>
      </c>
    </row>
    <row r="129" spans="1:3" x14ac:dyDescent="0.2">
      <c r="A129" s="263" t="s">
        <v>200</v>
      </c>
      <c r="B129" s="283">
        <v>1</v>
      </c>
      <c r="C129" s="249" t="s">
        <v>30</v>
      </c>
    </row>
    <row r="130" spans="1:3" x14ac:dyDescent="0.2">
      <c r="A130" s="262" t="s">
        <v>255</v>
      </c>
      <c r="B130" s="284">
        <v>1</v>
      </c>
    </row>
    <row r="131" spans="1:3" x14ac:dyDescent="0.2">
      <c r="A131" s="249" t="s">
        <v>83</v>
      </c>
      <c r="B131" s="284">
        <v>0.5</v>
      </c>
    </row>
    <row r="132" spans="1:3" ht="15" x14ac:dyDescent="0.2">
      <c r="A132" s="518" t="s">
        <v>180</v>
      </c>
      <c r="B132" s="518"/>
      <c r="C132" s="518"/>
    </row>
    <row r="133" spans="1:3" x14ac:dyDescent="0.2">
      <c r="A133" s="262" t="s">
        <v>374</v>
      </c>
      <c r="B133" s="283">
        <v>200</v>
      </c>
      <c r="C133" s="263" t="s">
        <v>54</v>
      </c>
    </row>
    <row r="134" spans="1:3" x14ac:dyDescent="0.2">
      <c r="A134" s="262" t="s">
        <v>375</v>
      </c>
      <c r="B134" s="283">
        <v>100</v>
      </c>
      <c r="C134" s="263" t="s">
        <v>54</v>
      </c>
    </row>
    <row r="135" spans="1:3" x14ac:dyDescent="0.2">
      <c r="A135" s="262" t="s">
        <v>376</v>
      </c>
      <c r="B135" s="283">
        <v>10</v>
      </c>
      <c r="C135" s="267" t="s">
        <v>359</v>
      </c>
    </row>
    <row r="136" spans="1:3" x14ac:dyDescent="0.2">
      <c r="A136" s="262" t="s">
        <v>377</v>
      </c>
      <c r="B136" s="283">
        <v>20</v>
      </c>
      <c r="C136" s="267" t="s">
        <v>359</v>
      </c>
    </row>
    <row r="137" spans="1:3" x14ac:dyDescent="0.2">
      <c r="A137" s="267" t="s">
        <v>378</v>
      </c>
      <c r="B137" s="284">
        <v>0.78</v>
      </c>
      <c r="C137" s="262" t="s">
        <v>30</v>
      </c>
    </row>
    <row r="138" spans="1:3" x14ac:dyDescent="0.2">
      <c r="A138" s="267" t="s">
        <v>379</v>
      </c>
      <c r="B138" s="284">
        <v>2.5</v>
      </c>
      <c r="C138" s="262" t="s">
        <v>30</v>
      </c>
    </row>
    <row r="139" spans="1:3" x14ac:dyDescent="0.2">
      <c r="A139" s="262" t="s">
        <v>380</v>
      </c>
      <c r="B139" s="283">
        <v>68.099999999999994</v>
      </c>
      <c r="C139" s="267" t="s">
        <v>254</v>
      </c>
    </row>
    <row r="140" spans="1:3" x14ac:dyDescent="0.2">
      <c r="A140" s="262" t="s">
        <v>381</v>
      </c>
      <c r="B140" s="283">
        <v>176.8</v>
      </c>
      <c r="C140" s="267" t="s">
        <v>254</v>
      </c>
    </row>
    <row r="141" spans="1:3" x14ac:dyDescent="0.2">
      <c r="A141" s="262" t="s">
        <v>382</v>
      </c>
      <c r="B141" s="283">
        <v>41.7</v>
      </c>
      <c r="C141" s="267" t="s">
        <v>254</v>
      </c>
    </row>
    <row r="142" spans="1:3" x14ac:dyDescent="0.2">
      <c r="A142" s="262" t="s">
        <v>383</v>
      </c>
      <c r="B142" s="283">
        <v>125.7</v>
      </c>
      <c r="C142" s="267" t="s">
        <v>254</v>
      </c>
    </row>
    <row r="143" spans="1:3" x14ac:dyDescent="0.2">
      <c r="A143" s="262" t="s">
        <v>479</v>
      </c>
      <c r="B143" s="283">
        <v>349.5</v>
      </c>
      <c r="C143" s="267" t="s">
        <v>254</v>
      </c>
    </row>
    <row r="144" spans="1:3" x14ac:dyDescent="0.2">
      <c r="A144" s="262" t="s">
        <v>480</v>
      </c>
      <c r="B144" s="283">
        <v>445.6</v>
      </c>
      <c r="C144" s="267" t="s">
        <v>254</v>
      </c>
    </row>
    <row r="145" spans="1:3" x14ac:dyDescent="0.2">
      <c r="A145" s="262" t="s">
        <v>481</v>
      </c>
      <c r="B145" s="283">
        <v>40.1</v>
      </c>
      <c r="C145" s="267" t="s">
        <v>254</v>
      </c>
    </row>
    <row r="146" spans="1:3" x14ac:dyDescent="0.2">
      <c r="A146" s="262" t="s">
        <v>482</v>
      </c>
      <c r="B146" s="283">
        <v>178</v>
      </c>
      <c r="C146" s="267" t="s">
        <v>254</v>
      </c>
    </row>
    <row r="147" spans="1:3" x14ac:dyDescent="0.2">
      <c r="A147" s="262" t="s">
        <v>326</v>
      </c>
      <c r="B147" s="283">
        <v>10.95</v>
      </c>
      <c r="C147" s="262" t="s">
        <v>254</v>
      </c>
    </row>
    <row r="148" spans="1:3" x14ac:dyDescent="0.2">
      <c r="A148" s="262" t="s">
        <v>327</v>
      </c>
      <c r="B148" s="283">
        <v>53.4</v>
      </c>
      <c r="C148" s="262" t="s">
        <v>254</v>
      </c>
    </row>
    <row r="149" spans="1:3" x14ac:dyDescent="0.2">
      <c r="A149" s="262" t="s">
        <v>483</v>
      </c>
      <c r="B149" s="283">
        <v>32.799999999999997</v>
      </c>
      <c r="C149" s="267" t="s">
        <v>254</v>
      </c>
    </row>
    <row r="150" spans="1:3" x14ac:dyDescent="0.2">
      <c r="A150" s="262" t="s">
        <v>484</v>
      </c>
      <c r="B150" s="283">
        <v>155.4</v>
      </c>
      <c r="C150" s="267" t="s">
        <v>254</v>
      </c>
    </row>
    <row r="151" spans="1:3" x14ac:dyDescent="0.2">
      <c r="A151" s="262" t="s">
        <v>324</v>
      </c>
      <c r="B151" s="283">
        <v>23.6</v>
      </c>
      <c r="C151" s="262" t="s">
        <v>254</v>
      </c>
    </row>
    <row r="152" spans="1:3" x14ac:dyDescent="0.2">
      <c r="A152" s="262" t="s">
        <v>325</v>
      </c>
      <c r="B152" s="283">
        <v>106.6</v>
      </c>
      <c r="C152" s="262" t="s">
        <v>254</v>
      </c>
    </row>
    <row r="153" spans="1:3" x14ac:dyDescent="0.2">
      <c r="A153" s="262" t="s">
        <v>328</v>
      </c>
      <c r="B153" s="283">
        <v>18.5</v>
      </c>
      <c r="C153" s="262" t="s">
        <v>254</v>
      </c>
    </row>
    <row r="154" spans="1:3" x14ac:dyDescent="0.2">
      <c r="A154" s="262" t="s">
        <v>329</v>
      </c>
      <c r="B154" s="283">
        <v>97.9</v>
      </c>
      <c r="C154" s="262" t="s">
        <v>254</v>
      </c>
    </row>
    <row r="155" spans="1:3" x14ac:dyDescent="0.2">
      <c r="A155" s="262" t="s">
        <v>384</v>
      </c>
      <c r="B155" s="284">
        <v>6</v>
      </c>
      <c r="C155" s="93" t="s">
        <v>69</v>
      </c>
    </row>
    <row r="156" spans="1:3" x14ac:dyDescent="0.2">
      <c r="A156" s="262" t="s">
        <v>385</v>
      </c>
      <c r="B156" s="284">
        <v>34</v>
      </c>
      <c r="C156" s="93" t="s">
        <v>69</v>
      </c>
    </row>
    <row r="157" spans="1:3" x14ac:dyDescent="0.2">
      <c r="A157" s="262" t="s">
        <v>386</v>
      </c>
      <c r="B157" s="284">
        <v>40</v>
      </c>
      <c r="C157" s="93" t="s">
        <v>69</v>
      </c>
    </row>
    <row r="158" spans="1:3" x14ac:dyDescent="0.2">
      <c r="A158" s="262" t="s">
        <v>387</v>
      </c>
      <c r="B158" s="284">
        <v>350</v>
      </c>
      <c r="C158" s="262" t="s">
        <v>26</v>
      </c>
    </row>
    <row r="159" spans="1:3" x14ac:dyDescent="0.2">
      <c r="A159" s="262" t="s">
        <v>388</v>
      </c>
      <c r="B159" s="284">
        <v>350</v>
      </c>
      <c r="C159" s="262" t="s">
        <v>26</v>
      </c>
    </row>
    <row r="160" spans="1:3" x14ac:dyDescent="0.2">
      <c r="A160" s="262" t="s">
        <v>389</v>
      </c>
      <c r="B160" s="283">
        <v>24</v>
      </c>
      <c r="C160" s="263" t="s">
        <v>224</v>
      </c>
    </row>
    <row r="161" spans="1:3" x14ac:dyDescent="0.2">
      <c r="A161" s="262" t="s">
        <v>390</v>
      </c>
      <c r="B161" s="283">
        <v>24</v>
      </c>
      <c r="C161" s="263" t="s">
        <v>224</v>
      </c>
    </row>
    <row r="162" spans="1:3" x14ac:dyDescent="0.2">
      <c r="A162" s="262" t="s">
        <v>396</v>
      </c>
      <c r="B162" s="283">
        <v>24</v>
      </c>
      <c r="C162" s="263" t="s">
        <v>224</v>
      </c>
    </row>
    <row r="163" spans="1:3" x14ac:dyDescent="0.2">
      <c r="A163" s="249" t="s">
        <v>393</v>
      </c>
      <c r="B163" s="283">
        <v>0.54</v>
      </c>
      <c r="C163" s="267" t="s">
        <v>395</v>
      </c>
    </row>
    <row r="164" spans="1:3" x14ac:dyDescent="0.2">
      <c r="A164" s="249" t="s">
        <v>394</v>
      </c>
      <c r="B164" s="283">
        <v>0.71</v>
      </c>
      <c r="C164" s="267" t="s">
        <v>395</v>
      </c>
    </row>
    <row r="165" spans="1:3" x14ac:dyDescent="0.2">
      <c r="A165" s="262" t="s">
        <v>391</v>
      </c>
      <c r="B165" s="283">
        <v>12.167999999999999</v>
      </c>
      <c r="C165" s="263" t="s">
        <v>224</v>
      </c>
    </row>
    <row r="166" spans="1:3" x14ac:dyDescent="0.2">
      <c r="A166" s="262" t="s">
        <v>392</v>
      </c>
      <c r="B166" s="283">
        <v>10.007999999999999</v>
      </c>
      <c r="C166" s="263" t="s">
        <v>224</v>
      </c>
    </row>
    <row r="167" spans="1:3" x14ac:dyDescent="0.2">
      <c r="A167" s="262" t="s">
        <v>397</v>
      </c>
      <c r="B167" s="283">
        <v>1</v>
      </c>
      <c r="C167" s="267" t="s">
        <v>166</v>
      </c>
    </row>
    <row r="168" spans="1:3" x14ac:dyDescent="0.2">
      <c r="A168" s="262" t="s">
        <v>398</v>
      </c>
      <c r="B168" s="283">
        <v>1</v>
      </c>
      <c r="C168" s="267" t="s">
        <v>166</v>
      </c>
    </row>
    <row r="169" spans="1:3" x14ac:dyDescent="0.2">
      <c r="A169" s="262" t="s">
        <v>103</v>
      </c>
      <c r="B169" s="283">
        <v>0.4</v>
      </c>
      <c r="C169" s="247"/>
    </row>
    <row r="170" spans="1:3" x14ac:dyDescent="0.2">
      <c r="A170" s="262" t="s">
        <v>158</v>
      </c>
      <c r="B170" s="283">
        <v>0.4</v>
      </c>
      <c r="C170" s="247"/>
    </row>
    <row r="171" spans="1:3" x14ac:dyDescent="0.2">
      <c r="A171" s="262" t="s">
        <v>159</v>
      </c>
      <c r="B171" s="283">
        <v>1</v>
      </c>
      <c r="C171" s="247"/>
    </row>
    <row r="172" spans="1:3" x14ac:dyDescent="0.2">
      <c r="A172" s="262" t="s">
        <v>62</v>
      </c>
      <c r="B172" s="283">
        <v>1</v>
      </c>
      <c r="C172" s="247"/>
    </row>
    <row r="173" spans="1:3" x14ac:dyDescent="0.2">
      <c r="A173" s="262" t="s">
        <v>255</v>
      </c>
      <c r="B173" s="284">
        <v>1</v>
      </c>
      <c r="C173" s="247"/>
    </row>
    <row r="174" spans="1:3" x14ac:dyDescent="0.2">
      <c r="A174" s="267" t="s">
        <v>399</v>
      </c>
      <c r="B174" s="283">
        <v>1</v>
      </c>
      <c r="C174" s="247"/>
    </row>
    <row r="175" spans="1:3" x14ac:dyDescent="0.2">
      <c r="A175" s="267" t="s">
        <v>400</v>
      </c>
      <c r="B175" s="283">
        <v>1</v>
      </c>
      <c r="C175" s="247"/>
    </row>
    <row r="176" spans="1:3" x14ac:dyDescent="0.2">
      <c r="A176" s="267" t="s">
        <v>401</v>
      </c>
      <c r="B176" s="283">
        <v>1</v>
      </c>
      <c r="C176" s="247"/>
    </row>
    <row r="177" spans="1:3" x14ac:dyDescent="0.2">
      <c r="A177" s="267" t="s">
        <v>402</v>
      </c>
      <c r="B177" s="283">
        <v>1</v>
      </c>
      <c r="C177" s="247"/>
    </row>
    <row r="178" spans="1:3" x14ac:dyDescent="0.2">
      <c r="A178" s="267" t="s">
        <v>403</v>
      </c>
      <c r="B178" s="283">
        <v>1</v>
      </c>
      <c r="C178" s="247"/>
    </row>
    <row r="179" spans="1:3" x14ac:dyDescent="0.2">
      <c r="A179" s="267" t="s">
        <v>404</v>
      </c>
      <c r="B179" s="283">
        <v>1</v>
      </c>
      <c r="C179" s="247"/>
    </row>
    <row r="180" spans="1:3" x14ac:dyDescent="0.2">
      <c r="A180" s="267" t="s">
        <v>405</v>
      </c>
      <c r="B180" s="284">
        <v>1</v>
      </c>
      <c r="C180" s="247"/>
    </row>
    <row r="181" spans="1:3" x14ac:dyDescent="0.2">
      <c r="A181" s="262" t="s">
        <v>41</v>
      </c>
      <c r="B181" s="284">
        <v>3.62</v>
      </c>
      <c r="C181" s="249" t="s">
        <v>42</v>
      </c>
    </row>
    <row r="182" spans="1:3" x14ac:dyDescent="0.2">
      <c r="A182" s="262" t="s">
        <v>46</v>
      </c>
      <c r="B182" s="284">
        <v>0.25</v>
      </c>
      <c r="C182" s="249" t="s">
        <v>47</v>
      </c>
    </row>
    <row r="183" spans="1:3" x14ac:dyDescent="0.2">
      <c r="A183" s="267" t="s">
        <v>60</v>
      </c>
      <c r="B183" s="284">
        <v>10950</v>
      </c>
      <c r="C183" s="249" t="s">
        <v>61</v>
      </c>
    </row>
    <row r="184" spans="1:3" x14ac:dyDescent="0.2">
      <c r="A184" s="267" t="s">
        <v>65</v>
      </c>
      <c r="B184" s="284">
        <v>240</v>
      </c>
      <c r="C184" s="249" t="s">
        <v>66</v>
      </c>
    </row>
    <row r="185" spans="1:3" x14ac:dyDescent="0.2">
      <c r="A185" s="267" t="s">
        <v>76</v>
      </c>
      <c r="B185" s="284">
        <v>0.42</v>
      </c>
      <c r="C185" s="249" t="s">
        <v>47</v>
      </c>
    </row>
    <row r="186" spans="1:3" x14ac:dyDescent="0.2">
      <c r="A186" s="267" t="s">
        <v>85</v>
      </c>
      <c r="B186" s="284">
        <v>60</v>
      </c>
      <c r="C186" s="262" t="s">
        <v>61</v>
      </c>
    </row>
    <row r="187" spans="1:3" x14ac:dyDescent="0.2">
      <c r="A187" s="267" t="s">
        <v>87</v>
      </c>
      <c r="B187" s="284">
        <v>2</v>
      </c>
      <c r="C187" s="262" t="s">
        <v>66</v>
      </c>
    </row>
    <row r="188" spans="1:3" x14ac:dyDescent="0.2">
      <c r="A188" s="267" t="s">
        <v>89</v>
      </c>
      <c r="B188" s="284">
        <v>2.6999999999999999E-5</v>
      </c>
      <c r="C188" s="249" t="s">
        <v>82</v>
      </c>
    </row>
    <row r="189" spans="1:3" x14ac:dyDescent="0.2">
      <c r="A189" s="267" t="s">
        <v>91</v>
      </c>
      <c r="B189" s="284">
        <v>1</v>
      </c>
      <c r="C189" s="249" t="s">
        <v>47</v>
      </c>
    </row>
    <row r="190" spans="1:3" x14ac:dyDescent="0.2">
      <c r="A190" s="267" t="s">
        <v>92</v>
      </c>
      <c r="B190" s="284">
        <v>14</v>
      </c>
      <c r="C190" s="249" t="s">
        <v>93</v>
      </c>
    </row>
    <row r="191" spans="1:3" x14ac:dyDescent="0.2">
      <c r="A191" s="262" t="s">
        <v>29</v>
      </c>
      <c r="B191" s="284">
        <v>92</v>
      </c>
      <c r="C191" s="262" t="s">
        <v>30</v>
      </c>
    </row>
    <row r="192" spans="1:3" x14ac:dyDescent="0.2">
      <c r="A192" s="249" t="s">
        <v>287</v>
      </c>
      <c r="B192" s="283">
        <v>1.03</v>
      </c>
      <c r="C192" s="249" t="s">
        <v>288</v>
      </c>
    </row>
    <row r="193" spans="1:3" x14ac:dyDescent="0.2">
      <c r="A193" s="262" t="s">
        <v>406</v>
      </c>
      <c r="B193" s="284">
        <v>20.3</v>
      </c>
      <c r="C193" s="249" t="s">
        <v>283</v>
      </c>
    </row>
    <row r="194" spans="1:3" x14ac:dyDescent="0.2">
      <c r="A194" s="262" t="s">
        <v>407</v>
      </c>
      <c r="B194" s="284">
        <v>0.4</v>
      </c>
      <c r="C194" s="249" t="s">
        <v>283</v>
      </c>
    </row>
    <row r="195" spans="1:3" x14ac:dyDescent="0.2">
      <c r="A195" s="262" t="s">
        <v>408</v>
      </c>
      <c r="B195" s="284">
        <v>1</v>
      </c>
      <c r="C195" s="247"/>
    </row>
    <row r="196" spans="1:3" x14ac:dyDescent="0.2">
      <c r="A196" s="262" t="s">
        <v>409</v>
      </c>
      <c r="B196" s="284">
        <v>1</v>
      </c>
      <c r="C196" s="247"/>
    </row>
    <row r="197" spans="1:3" x14ac:dyDescent="0.2">
      <c r="A197" s="262" t="s">
        <v>31</v>
      </c>
      <c r="B197" s="284">
        <v>53</v>
      </c>
      <c r="C197" s="262" t="s">
        <v>30</v>
      </c>
    </row>
    <row r="198" spans="1:3" x14ac:dyDescent="0.2">
      <c r="A198" s="262" t="s">
        <v>410</v>
      </c>
      <c r="B198" s="284">
        <v>11.77</v>
      </c>
      <c r="C198" s="249" t="s">
        <v>283</v>
      </c>
    </row>
    <row r="199" spans="1:3" x14ac:dyDescent="0.2">
      <c r="A199" s="262" t="s">
        <v>411</v>
      </c>
      <c r="B199" s="284">
        <v>0.5</v>
      </c>
      <c r="C199" s="249" t="s">
        <v>283</v>
      </c>
    </row>
    <row r="200" spans="1:3" x14ac:dyDescent="0.2">
      <c r="A200" s="262" t="s">
        <v>412</v>
      </c>
      <c r="B200" s="284">
        <v>1</v>
      </c>
      <c r="C200" s="247"/>
    </row>
    <row r="201" spans="1:3" x14ac:dyDescent="0.2">
      <c r="A201" s="262" t="s">
        <v>413</v>
      </c>
      <c r="B201" s="284">
        <v>1</v>
      </c>
      <c r="C201" s="247"/>
    </row>
    <row r="202" spans="1:3" x14ac:dyDescent="0.2">
      <c r="A202" s="262" t="s">
        <v>173</v>
      </c>
      <c r="B202" s="283">
        <v>0.4</v>
      </c>
      <c r="C202" s="262" t="s">
        <v>30</v>
      </c>
    </row>
    <row r="203" spans="1:3" x14ac:dyDescent="0.2">
      <c r="A203" s="262" t="s">
        <v>177</v>
      </c>
      <c r="B203" s="284">
        <v>0.2</v>
      </c>
      <c r="C203" s="249" t="s">
        <v>283</v>
      </c>
    </row>
    <row r="204" spans="1:3" x14ac:dyDescent="0.2">
      <c r="A204" s="262" t="s">
        <v>176</v>
      </c>
      <c r="B204" s="284">
        <v>2.1999999999999999E-2</v>
      </c>
      <c r="C204" s="249" t="s">
        <v>283</v>
      </c>
    </row>
    <row r="205" spans="1:3" x14ac:dyDescent="0.2">
      <c r="A205" s="262" t="s">
        <v>178</v>
      </c>
      <c r="B205" s="283">
        <v>1</v>
      </c>
      <c r="C205" s="247"/>
    </row>
    <row r="206" spans="1:3" x14ac:dyDescent="0.2">
      <c r="A206" s="262" t="s">
        <v>179</v>
      </c>
      <c r="B206" s="283">
        <v>1</v>
      </c>
      <c r="C206" s="247"/>
    </row>
    <row r="207" spans="1:3" x14ac:dyDescent="0.2">
      <c r="A207" s="262" t="s">
        <v>414</v>
      </c>
      <c r="B207" s="283">
        <v>0.4</v>
      </c>
      <c r="C207" s="262" t="s">
        <v>30</v>
      </c>
    </row>
    <row r="208" spans="1:3" x14ac:dyDescent="0.2">
      <c r="A208" s="262" t="s">
        <v>415</v>
      </c>
      <c r="B208" s="284">
        <v>0.2</v>
      </c>
      <c r="C208" s="249" t="s">
        <v>283</v>
      </c>
    </row>
    <row r="209" spans="1:3" x14ac:dyDescent="0.2">
      <c r="A209" s="262" t="s">
        <v>416</v>
      </c>
      <c r="B209" s="284">
        <v>2.1999999999999999E-2</v>
      </c>
      <c r="C209" s="249" t="s">
        <v>283</v>
      </c>
    </row>
    <row r="210" spans="1:3" x14ac:dyDescent="0.2">
      <c r="A210" s="262" t="s">
        <v>417</v>
      </c>
      <c r="B210" s="284">
        <v>1</v>
      </c>
      <c r="C210" s="247"/>
    </row>
    <row r="211" spans="1:3" x14ac:dyDescent="0.2">
      <c r="A211" s="262" t="s">
        <v>418</v>
      </c>
      <c r="B211" s="284">
        <v>1</v>
      </c>
      <c r="C211" s="247"/>
    </row>
    <row r="212" spans="1:3" x14ac:dyDescent="0.2">
      <c r="A212" s="262" t="s">
        <v>174</v>
      </c>
      <c r="B212" s="284">
        <v>11.4</v>
      </c>
      <c r="C212" s="262" t="s">
        <v>30</v>
      </c>
    </row>
    <row r="213" spans="1:3" x14ac:dyDescent="0.2">
      <c r="A213" s="262" t="s">
        <v>419</v>
      </c>
      <c r="B213" s="284">
        <v>4.7</v>
      </c>
      <c r="C213" s="249" t="s">
        <v>283</v>
      </c>
    </row>
    <row r="214" spans="1:3" x14ac:dyDescent="0.2">
      <c r="A214" s="262" t="s">
        <v>420</v>
      </c>
      <c r="B214" s="284">
        <v>0.37</v>
      </c>
      <c r="C214" s="249" t="s">
        <v>283</v>
      </c>
    </row>
    <row r="215" spans="1:3" x14ac:dyDescent="0.2">
      <c r="A215" s="262" t="s">
        <v>421</v>
      </c>
      <c r="B215" s="284">
        <v>1</v>
      </c>
      <c r="C215" s="247"/>
    </row>
    <row r="216" spans="1:3" x14ac:dyDescent="0.2">
      <c r="A216" s="262" t="s">
        <v>422</v>
      </c>
      <c r="B216" s="284">
        <v>1</v>
      </c>
      <c r="C216" s="247"/>
    </row>
    <row r="217" spans="1:3" x14ac:dyDescent="0.2">
      <c r="A217" s="249" t="s">
        <v>83</v>
      </c>
      <c r="B217" s="284">
        <v>0.5</v>
      </c>
    </row>
    <row r="218" spans="1:3" x14ac:dyDescent="0.2">
      <c r="A218" s="558" t="s">
        <v>423</v>
      </c>
      <c r="B218" s="558"/>
      <c r="C218" s="558"/>
    </row>
    <row r="219" spans="1:3" x14ac:dyDescent="0.2">
      <c r="A219" s="249" t="s">
        <v>424</v>
      </c>
      <c r="B219" s="283">
        <v>60</v>
      </c>
      <c r="C219" s="263" t="s">
        <v>359</v>
      </c>
    </row>
    <row r="220" spans="1:3" x14ac:dyDescent="0.2">
      <c r="A220" s="262" t="s">
        <v>425</v>
      </c>
      <c r="B220" s="283">
        <v>250</v>
      </c>
      <c r="C220" s="249" t="s">
        <v>26</v>
      </c>
    </row>
    <row r="221" spans="1:3" x14ac:dyDescent="0.2">
      <c r="A221" s="262" t="s">
        <v>75</v>
      </c>
      <c r="B221" s="284">
        <v>25</v>
      </c>
      <c r="C221" s="249" t="s">
        <v>69</v>
      </c>
    </row>
    <row r="222" spans="1:3" x14ac:dyDescent="0.2">
      <c r="A222" s="262" t="s">
        <v>426</v>
      </c>
      <c r="B222" s="283">
        <v>100</v>
      </c>
      <c r="C222" s="263" t="s">
        <v>54</v>
      </c>
    </row>
    <row r="223" spans="1:3" x14ac:dyDescent="0.2">
      <c r="A223" s="249" t="s">
        <v>353</v>
      </c>
      <c r="B223" s="284">
        <v>1</v>
      </c>
      <c r="C223" s="247"/>
    </row>
    <row r="224" spans="1:3" x14ac:dyDescent="0.2">
      <c r="A224" s="262" t="s">
        <v>56</v>
      </c>
      <c r="B224" s="284">
        <v>1</v>
      </c>
      <c r="C224" s="247"/>
    </row>
    <row r="225" spans="1:3" x14ac:dyDescent="0.2">
      <c r="A225" s="262" t="s">
        <v>52</v>
      </c>
      <c r="B225" s="284">
        <v>0.4</v>
      </c>
      <c r="C225" s="247"/>
    </row>
    <row r="226" spans="1:3" x14ac:dyDescent="0.2">
      <c r="A226" s="262" t="s">
        <v>62</v>
      </c>
      <c r="B226" s="284">
        <v>1</v>
      </c>
      <c r="C226" s="247"/>
    </row>
    <row r="227" spans="1:3" x14ac:dyDescent="0.2">
      <c r="A227" s="262" t="s">
        <v>467</v>
      </c>
      <c r="B227" s="283">
        <v>4</v>
      </c>
      <c r="C227" s="249" t="s">
        <v>224</v>
      </c>
    </row>
    <row r="228" spans="1:3" x14ac:dyDescent="0.2">
      <c r="A228" s="262" t="s">
        <v>468</v>
      </c>
      <c r="B228" s="283">
        <v>4</v>
      </c>
      <c r="C228" s="249" t="s">
        <v>224</v>
      </c>
    </row>
    <row r="229" spans="1:3" x14ac:dyDescent="0.2">
      <c r="A229" s="262" t="s">
        <v>103</v>
      </c>
      <c r="B229" s="283">
        <v>0.4</v>
      </c>
      <c r="C229" s="247"/>
    </row>
    <row r="230" spans="1:3" x14ac:dyDescent="0.2">
      <c r="A230" s="558" t="s">
        <v>427</v>
      </c>
      <c r="B230" s="558"/>
      <c r="C230" s="558"/>
    </row>
    <row r="231" spans="1:3" x14ac:dyDescent="0.2">
      <c r="A231" s="249" t="s">
        <v>428</v>
      </c>
      <c r="B231" s="283">
        <v>60</v>
      </c>
      <c r="C231" s="263" t="s">
        <v>359</v>
      </c>
    </row>
    <row r="232" spans="1:3" x14ac:dyDescent="0.2">
      <c r="A232" s="262" t="s">
        <v>40</v>
      </c>
      <c r="B232" s="283">
        <v>250</v>
      </c>
      <c r="C232" s="249" t="s">
        <v>26</v>
      </c>
    </row>
    <row r="233" spans="1:3" x14ac:dyDescent="0.2">
      <c r="A233" s="262" t="s">
        <v>429</v>
      </c>
      <c r="B233" s="284">
        <v>25</v>
      </c>
      <c r="C233" s="249" t="s">
        <v>69</v>
      </c>
    </row>
    <row r="234" spans="1:3" x14ac:dyDescent="0.2">
      <c r="A234" s="262" t="s">
        <v>79</v>
      </c>
      <c r="B234" s="283">
        <v>50</v>
      </c>
      <c r="C234" s="263" t="s">
        <v>54</v>
      </c>
    </row>
    <row r="235" spans="1:3" x14ac:dyDescent="0.2">
      <c r="A235" s="249" t="s">
        <v>353</v>
      </c>
      <c r="B235" s="284">
        <v>1</v>
      </c>
      <c r="C235" s="247"/>
    </row>
    <row r="236" spans="1:3" x14ac:dyDescent="0.2">
      <c r="A236" s="262" t="s">
        <v>56</v>
      </c>
      <c r="B236" s="284">
        <v>1</v>
      </c>
      <c r="C236" s="247"/>
    </row>
    <row r="237" spans="1:3" x14ac:dyDescent="0.2">
      <c r="A237" s="262" t="s">
        <v>52</v>
      </c>
      <c r="B237" s="284">
        <v>0.4</v>
      </c>
      <c r="C237" s="247"/>
    </row>
    <row r="238" spans="1:3" x14ac:dyDescent="0.2">
      <c r="A238" s="262" t="s">
        <v>62</v>
      </c>
      <c r="B238" s="284">
        <v>1</v>
      </c>
      <c r="C238" s="247"/>
    </row>
    <row r="239" spans="1:3" x14ac:dyDescent="0.2">
      <c r="A239" s="262" t="s">
        <v>469</v>
      </c>
      <c r="B239" s="283">
        <v>0</v>
      </c>
      <c r="C239" s="249" t="s">
        <v>224</v>
      </c>
    </row>
    <row r="240" spans="1:3" x14ac:dyDescent="0.2">
      <c r="A240" s="262" t="s">
        <v>470</v>
      </c>
      <c r="B240" s="283">
        <v>8</v>
      </c>
      <c r="C240" s="249" t="s">
        <v>224</v>
      </c>
    </row>
    <row r="241" spans="1:3" x14ac:dyDescent="0.2">
      <c r="A241" s="262" t="s">
        <v>103</v>
      </c>
      <c r="B241" s="283">
        <v>0.4</v>
      </c>
      <c r="C241" s="247"/>
    </row>
    <row r="242" spans="1:3" x14ac:dyDescent="0.2">
      <c r="A242" s="558" t="s">
        <v>430</v>
      </c>
      <c r="B242" s="558"/>
      <c r="C242" s="558"/>
    </row>
    <row r="243" spans="1:3" x14ac:dyDescent="0.2">
      <c r="A243" s="249" t="s">
        <v>58</v>
      </c>
      <c r="B243" s="283">
        <v>60</v>
      </c>
      <c r="C243" s="263" t="s">
        <v>359</v>
      </c>
    </row>
    <row r="244" spans="1:3" x14ac:dyDescent="0.2">
      <c r="A244" s="262" t="s">
        <v>431</v>
      </c>
      <c r="B244" s="283">
        <v>225</v>
      </c>
      <c r="C244" s="249" t="s">
        <v>26</v>
      </c>
    </row>
    <row r="245" spans="1:3" x14ac:dyDescent="0.2">
      <c r="A245" s="262" t="s">
        <v>432</v>
      </c>
      <c r="B245" s="284">
        <v>25</v>
      </c>
      <c r="C245" s="249" t="s">
        <v>69</v>
      </c>
    </row>
    <row r="246" spans="1:3" x14ac:dyDescent="0.2">
      <c r="A246" s="262" t="s">
        <v>433</v>
      </c>
      <c r="B246" s="283">
        <v>100</v>
      </c>
      <c r="C246" s="263" t="s">
        <v>54</v>
      </c>
    </row>
    <row r="247" spans="1:3" x14ac:dyDescent="0.2">
      <c r="A247" s="249" t="s">
        <v>353</v>
      </c>
      <c r="B247" s="284">
        <v>1</v>
      </c>
      <c r="C247" s="247"/>
    </row>
    <row r="248" spans="1:3" x14ac:dyDescent="0.2">
      <c r="A248" s="262" t="s">
        <v>56</v>
      </c>
      <c r="B248" s="284">
        <v>1</v>
      </c>
      <c r="C248" s="247"/>
    </row>
    <row r="249" spans="1:3" x14ac:dyDescent="0.2">
      <c r="A249" s="262" t="s">
        <v>52</v>
      </c>
      <c r="B249" s="284">
        <v>0.4</v>
      </c>
      <c r="C249" s="247"/>
    </row>
    <row r="250" spans="1:3" x14ac:dyDescent="0.2">
      <c r="A250" s="262" t="s">
        <v>62</v>
      </c>
      <c r="B250" s="284">
        <v>1</v>
      </c>
      <c r="C250" s="247"/>
    </row>
    <row r="251" spans="1:3" x14ac:dyDescent="0.2">
      <c r="A251" s="262" t="s">
        <v>466</v>
      </c>
      <c r="B251" s="283">
        <v>8</v>
      </c>
      <c r="C251" s="249" t="s">
        <v>224</v>
      </c>
    </row>
    <row r="252" spans="1:3" x14ac:dyDescent="0.2">
      <c r="A252" s="262" t="s">
        <v>465</v>
      </c>
      <c r="B252" s="283">
        <v>0</v>
      </c>
      <c r="C252" s="249" t="s">
        <v>224</v>
      </c>
    </row>
    <row r="253" spans="1:3" x14ac:dyDescent="0.2">
      <c r="A253" s="262" t="s">
        <v>103</v>
      </c>
      <c r="B253" s="283">
        <v>0.4</v>
      </c>
      <c r="C253" s="247"/>
    </row>
    <row r="254" spans="1:3" x14ac:dyDescent="0.2">
      <c r="A254" s="558" t="s">
        <v>434</v>
      </c>
      <c r="B254" s="558"/>
      <c r="C254" s="558"/>
    </row>
    <row r="255" spans="1:3" x14ac:dyDescent="0.2">
      <c r="A255" s="249" t="s">
        <v>435</v>
      </c>
      <c r="B255" s="283">
        <v>60</v>
      </c>
      <c r="C255" s="263" t="s">
        <v>359</v>
      </c>
    </row>
    <row r="256" spans="1:3" x14ac:dyDescent="0.2">
      <c r="A256" s="262" t="s">
        <v>221</v>
      </c>
      <c r="B256" s="283">
        <v>130</v>
      </c>
      <c r="C256" s="249" t="s">
        <v>26</v>
      </c>
    </row>
    <row r="257" spans="1:3" x14ac:dyDescent="0.2">
      <c r="A257" s="262" t="s">
        <v>186</v>
      </c>
      <c r="B257" s="284">
        <v>1</v>
      </c>
      <c r="C257" s="249" t="s">
        <v>69</v>
      </c>
    </row>
    <row r="258" spans="1:3" x14ac:dyDescent="0.2">
      <c r="A258" s="262" t="s">
        <v>436</v>
      </c>
      <c r="B258" s="283">
        <v>330</v>
      </c>
      <c r="C258" s="263" t="s">
        <v>54</v>
      </c>
    </row>
    <row r="259" spans="1:3" x14ac:dyDescent="0.2">
      <c r="A259" s="249" t="s">
        <v>353</v>
      </c>
      <c r="B259" s="284">
        <v>1</v>
      </c>
      <c r="C259" s="247"/>
    </row>
    <row r="260" spans="1:3" x14ac:dyDescent="0.2">
      <c r="A260" s="262" t="s">
        <v>56</v>
      </c>
      <c r="B260" s="284">
        <v>1</v>
      </c>
      <c r="C260" s="247"/>
    </row>
    <row r="261" spans="1:3" x14ac:dyDescent="0.2">
      <c r="A261" s="262" t="s">
        <v>52</v>
      </c>
      <c r="B261" s="284">
        <v>0.4</v>
      </c>
      <c r="C261" s="247"/>
    </row>
    <row r="262" spans="1:3" x14ac:dyDescent="0.2">
      <c r="A262" s="262" t="s">
        <v>62</v>
      </c>
      <c r="B262" s="284">
        <v>1</v>
      </c>
      <c r="C262" s="247"/>
    </row>
    <row r="263" spans="1:3" x14ac:dyDescent="0.2">
      <c r="A263" s="262" t="s">
        <v>471</v>
      </c>
      <c r="B263" s="283">
        <v>8</v>
      </c>
      <c r="C263" s="249" t="s">
        <v>224</v>
      </c>
    </row>
    <row r="264" spans="1:3" x14ac:dyDescent="0.2">
      <c r="A264" s="262" t="s">
        <v>472</v>
      </c>
      <c r="B264" s="283">
        <v>0</v>
      </c>
      <c r="C264" s="249" t="s">
        <v>224</v>
      </c>
    </row>
    <row r="265" spans="1:3" x14ac:dyDescent="0.2">
      <c r="A265" s="262" t="s">
        <v>103</v>
      </c>
      <c r="B265" s="283">
        <v>0.4</v>
      </c>
      <c r="C265" s="247"/>
    </row>
    <row r="266" spans="1:3" x14ac:dyDescent="0.2">
      <c r="A266" s="262" t="s">
        <v>220</v>
      </c>
      <c r="B266" s="283">
        <v>5</v>
      </c>
      <c r="C266" s="249" t="s">
        <v>129</v>
      </c>
    </row>
    <row r="267" spans="1:3" x14ac:dyDescent="0.2">
      <c r="A267" s="262" t="s">
        <v>219</v>
      </c>
      <c r="B267" s="283">
        <v>26</v>
      </c>
      <c r="C267" s="249" t="s">
        <v>130</v>
      </c>
    </row>
    <row r="268" spans="1:3" x14ac:dyDescent="0.2">
      <c r="A268" s="558" t="s">
        <v>437</v>
      </c>
      <c r="B268" s="558"/>
      <c r="C268" s="558"/>
    </row>
    <row r="269" spans="1:3" x14ac:dyDescent="0.2">
      <c r="A269" s="249" t="s">
        <v>435</v>
      </c>
      <c r="B269" s="283">
        <v>60</v>
      </c>
      <c r="C269" s="263" t="s">
        <v>359</v>
      </c>
    </row>
    <row r="270" spans="1:3" x14ac:dyDescent="0.2">
      <c r="A270" s="262" t="s">
        <v>221</v>
      </c>
      <c r="B270" s="283">
        <v>130</v>
      </c>
      <c r="C270" s="249" t="s">
        <v>26</v>
      </c>
    </row>
    <row r="271" spans="1:3" x14ac:dyDescent="0.2">
      <c r="A271" s="262" t="s">
        <v>186</v>
      </c>
      <c r="B271" s="284">
        <v>1</v>
      </c>
      <c r="C271" s="249" t="s">
        <v>69</v>
      </c>
    </row>
    <row r="272" spans="1:3" x14ac:dyDescent="0.2">
      <c r="A272" s="262" t="s">
        <v>436</v>
      </c>
      <c r="B272" s="283">
        <v>330</v>
      </c>
      <c r="C272" s="263" t="s">
        <v>54</v>
      </c>
    </row>
    <row r="273" spans="1:3" x14ac:dyDescent="0.2">
      <c r="A273" s="262" t="s">
        <v>56</v>
      </c>
      <c r="B273" s="284">
        <v>1</v>
      </c>
      <c r="C273" s="247"/>
    </row>
    <row r="274" spans="1:3" x14ac:dyDescent="0.2">
      <c r="A274" s="262" t="s">
        <v>52</v>
      </c>
      <c r="B274" s="284">
        <v>0.4</v>
      </c>
      <c r="C274" s="247"/>
    </row>
    <row r="275" spans="1:3" x14ac:dyDescent="0.2">
      <c r="A275" s="262" t="s">
        <v>62</v>
      </c>
      <c r="B275" s="284">
        <v>1</v>
      </c>
      <c r="C275" s="247"/>
    </row>
    <row r="276" spans="1:3" x14ac:dyDescent="0.2">
      <c r="A276" s="262" t="s">
        <v>471</v>
      </c>
      <c r="B276" s="283">
        <v>8</v>
      </c>
      <c r="C276" s="249" t="s">
        <v>224</v>
      </c>
    </row>
    <row r="277" spans="1:3" x14ac:dyDescent="0.2">
      <c r="A277" s="262" t="s">
        <v>472</v>
      </c>
      <c r="B277" s="283">
        <v>0</v>
      </c>
      <c r="C277" s="249" t="s">
        <v>224</v>
      </c>
    </row>
    <row r="278" spans="1:3" x14ac:dyDescent="0.2">
      <c r="A278" s="262" t="s">
        <v>103</v>
      </c>
      <c r="B278" s="283">
        <v>0.4</v>
      </c>
      <c r="C278" s="247"/>
    </row>
    <row r="279" spans="1:3" x14ac:dyDescent="0.2">
      <c r="A279" s="262" t="s">
        <v>220</v>
      </c>
      <c r="B279" s="283">
        <v>5</v>
      </c>
      <c r="C279" s="249" t="s">
        <v>129</v>
      </c>
    </row>
    <row r="280" spans="1:3" x14ac:dyDescent="0.2">
      <c r="A280" s="262" t="s">
        <v>219</v>
      </c>
      <c r="B280" s="283">
        <v>26</v>
      </c>
      <c r="C280" s="249" t="s">
        <v>130</v>
      </c>
    </row>
    <row r="281" spans="1:3" x14ac:dyDescent="0.2">
      <c r="A281" s="663" t="s">
        <v>576</v>
      </c>
      <c r="B281" s="663"/>
      <c r="C281" s="663"/>
    </row>
    <row r="282" spans="1:3" x14ac:dyDescent="0.2">
      <c r="A282" s="263" t="s">
        <v>577</v>
      </c>
      <c r="B282" s="283">
        <v>1.5</v>
      </c>
    </row>
    <row r="283" spans="1:3" x14ac:dyDescent="0.2">
      <c r="A283" s="249" t="s">
        <v>100</v>
      </c>
      <c r="B283" s="283">
        <v>0.3</v>
      </c>
    </row>
    <row r="284" spans="1:3" x14ac:dyDescent="0.2">
      <c r="A284" s="249" t="s">
        <v>107</v>
      </c>
      <c r="B284" s="283">
        <v>26</v>
      </c>
      <c r="C284" s="249" t="s">
        <v>69</v>
      </c>
    </row>
    <row r="285" spans="1:3" x14ac:dyDescent="0.2">
      <c r="A285" s="263" t="s">
        <v>39</v>
      </c>
      <c r="B285" s="283">
        <v>70</v>
      </c>
      <c r="C285" s="249" t="s">
        <v>69</v>
      </c>
    </row>
    <row r="286" spans="1:3" x14ac:dyDescent="0.2">
      <c r="A286" s="263" t="s">
        <v>83</v>
      </c>
      <c r="B286" s="283">
        <v>1</v>
      </c>
      <c r="C286" s="249" t="s">
        <v>108</v>
      </c>
    </row>
    <row r="287" spans="1:3" x14ac:dyDescent="0.2">
      <c r="A287" s="249" t="s">
        <v>109</v>
      </c>
      <c r="B287" s="283">
        <v>1</v>
      </c>
      <c r="C287" s="249" t="s">
        <v>110</v>
      </c>
    </row>
    <row r="288" spans="1:3" x14ac:dyDescent="0.2">
      <c r="A288" s="249" t="s">
        <v>114</v>
      </c>
      <c r="B288" s="283">
        <v>0.18</v>
      </c>
      <c r="C288" s="249" t="s">
        <v>108</v>
      </c>
    </row>
    <row r="289" spans="1:3" x14ac:dyDescent="0.2">
      <c r="A289" s="249" t="s">
        <v>116</v>
      </c>
      <c r="B289" s="283">
        <v>1</v>
      </c>
      <c r="C289" s="249" t="s">
        <v>113</v>
      </c>
    </row>
    <row r="290" spans="1:3" x14ac:dyDescent="0.2">
      <c r="A290" s="249" t="s">
        <v>118</v>
      </c>
      <c r="B290" s="283">
        <v>1</v>
      </c>
      <c r="C290" s="249" t="s">
        <v>113</v>
      </c>
    </row>
    <row r="291" spans="1:3" x14ac:dyDescent="0.2">
      <c r="A291" s="249" t="s">
        <v>119</v>
      </c>
      <c r="B291" s="283">
        <v>1</v>
      </c>
      <c r="C291" s="249" t="s">
        <v>113</v>
      </c>
    </row>
    <row r="293" spans="1:3" x14ac:dyDescent="0.2">
      <c r="A293" s="77" t="s">
        <v>308</v>
      </c>
      <c r="B293" s="284">
        <v>137</v>
      </c>
      <c r="C293" s="77" t="s">
        <v>309</v>
      </c>
    </row>
    <row r="294" spans="1:3" x14ac:dyDescent="0.2">
      <c r="A294" s="266" t="s">
        <v>310</v>
      </c>
      <c r="B294" s="284">
        <v>2.8000000000000002E-12</v>
      </c>
      <c r="C294" s="77"/>
    </row>
    <row r="295" spans="1:3" x14ac:dyDescent="0.2">
      <c r="A295" s="266" t="s">
        <v>310</v>
      </c>
      <c r="B295" s="284">
        <v>2.8000000000000001E-15</v>
      </c>
      <c r="C295" s="77"/>
    </row>
  </sheetData>
  <mergeCells count="335">
    <mergeCell ref="HC2:HC4"/>
    <mergeCell ref="HD1:HF1"/>
    <mergeCell ref="HD21:HF21"/>
    <mergeCell ref="GX2:GX4"/>
    <mergeCell ref="GY2:GY4"/>
    <mergeCell ref="GZ2:GZ4"/>
    <mergeCell ref="HA2:HA4"/>
    <mergeCell ref="HB2:HB4"/>
    <mergeCell ref="GS2:GS4"/>
    <mergeCell ref="GT2:GT4"/>
    <mergeCell ref="GU2:GU4"/>
    <mergeCell ref="GV2:GV4"/>
    <mergeCell ref="GW2:GW4"/>
    <mergeCell ref="GX1:GZ1"/>
    <mergeCell ref="HA1:HC1"/>
    <mergeCell ref="GU1:GW1"/>
    <mergeCell ref="GN2:GN4"/>
    <mergeCell ref="GO2:GO4"/>
    <mergeCell ref="GP2:GP4"/>
    <mergeCell ref="GQ2:GQ4"/>
    <mergeCell ref="GR2:GR4"/>
    <mergeCell ref="GI2:GI4"/>
    <mergeCell ref="GJ2:GJ4"/>
    <mergeCell ref="GK2:GK4"/>
    <mergeCell ref="GL2:GL4"/>
    <mergeCell ref="GM2:GM4"/>
    <mergeCell ref="GD2:GD4"/>
    <mergeCell ref="GE2:GE4"/>
    <mergeCell ref="GF2:GF4"/>
    <mergeCell ref="GG2:GG4"/>
    <mergeCell ref="GH2:GH4"/>
    <mergeCell ref="FY2:FY4"/>
    <mergeCell ref="FZ2:FZ4"/>
    <mergeCell ref="GA2:GA4"/>
    <mergeCell ref="GB2:GB4"/>
    <mergeCell ref="GC2:GC4"/>
    <mergeCell ref="FT2:FT4"/>
    <mergeCell ref="FU2:FU4"/>
    <mergeCell ref="FV2:FV4"/>
    <mergeCell ref="FW2:FW4"/>
    <mergeCell ref="FX2:FX4"/>
    <mergeCell ref="FO2:FO4"/>
    <mergeCell ref="FP2:FP4"/>
    <mergeCell ref="FQ2:FQ4"/>
    <mergeCell ref="FR2:FR4"/>
    <mergeCell ref="FS2:FS4"/>
    <mergeCell ref="FJ2:FJ4"/>
    <mergeCell ref="FK2:FK4"/>
    <mergeCell ref="FL2:FL4"/>
    <mergeCell ref="FM2:FM4"/>
    <mergeCell ref="FN2:FN4"/>
    <mergeCell ref="FE2:FE4"/>
    <mergeCell ref="FF2:FF4"/>
    <mergeCell ref="FG2:FG4"/>
    <mergeCell ref="FH2:FH4"/>
    <mergeCell ref="FI2:FI4"/>
    <mergeCell ref="EZ2:EZ4"/>
    <mergeCell ref="FA2:FA4"/>
    <mergeCell ref="FB2:FB4"/>
    <mergeCell ref="FC2:FC4"/>
    <mergeCell ref="FD2:FD4"/>
    <mergeCell ref="EU2:EU4"/>
    <mergeCell ref="EV2:EV4"/>
    <mergeCell ref="EW2:EW4"/>
    <mergeCell ref="EX2:EX4"/>
    <mergeCell ref="EY2:EY4"/>
    <mergeCell ref="EP2:EP4"/>
    <mergeCell ref="EQ2:EQ4"/>
    <mergeCell ref="ER2:ER4"/>
    <mergeCell ref="ES2:ES4"/>
    <mergeCell ref="ET2:ET4"/>
    <mergeCell ref="EK2:EK4"/>
    <mergeCell ref="EL2:EL4"/>
    <mergeCell ref="EM2:EM4"/>
    <mergeCell ref="EN2:EN4"/>
    <mergeCell ref="EO2:EO4"/>
    <mergeCell ref="EF2:EF4"/>
    <mergeCell ref="EG2:EG4"/>
    <mergeCell ref="EH2:EH4"/>
    <mergeCell ref="EI2:EI4"/>
    <mergeCell ref="EJ2:EJ4"/>
    <mergeCell ref="EA2:EA4"/>
    <mergeCell ref="EB2:EB4"/>
    <mergeCell ref="EC2:EC4"/>
    <mergeCell ref="ED2:ED4"/>
    <mergeCell ref="EE2:EE4"/>
    <mergeCell ref="DV2:DV4"/>
    <mergeCell ref="DW2:DW4"/>
    <mergeCell ref="DX2:DX4"/>
    <mergeCell ref="DY2:DY4"/>
    <mergeCell ref="DZ2:DZ4"/>
    <mergeCell ref="DQ2:DQ4"/>
    <mergeCell ref="DR2:DR4"/>
    <mergeCell ref="DS2:DS4"/>
    <mergeCell ref="DT2:DT4"/>
    <mergeCell ref="DU2:DU4"/>
    <mergeCell ref="DL2:DL4"/>
    <mergeCell ref="DM2:DM4"/>
    <mergeCell ref="DN2:DN4"/>
    <mergeCell ref="DO2:DO4"/>
    <mergeCell ref="DP2:DP4"/>
    <mergeCell ref="GI1:GK1"/>
    <mergeCell ref="GL1:GN1"/>
    <mergeCell ref="GO1:GQ1"/>
    <mergeCell ref="GR1:GT1"/>
    <mergeCell ref="FT1:FV1"/>
    <mergeCell ref="FW1:FY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P19:CP21"/>
    <mergeCell ref="CQ19:CQ21"/>
    <mergeCell ref="CR19:CR21"/>
    <mergeCell ref="CS19:CS21"/>
    <mergeCell ref="CT1:CV1"/>
    <mergeCell ref="DC2:DC4"/>
    <mergeCell ref="DD2:DD4"/>
    <mergeCell ref="DE2:DE4"/>
    <mergeCell ref="DF2:DF4"/>
    <mergeCell ref="DG2:DG4"/>
    <mergeCell ref="DH2:DH4"/>
    <mergeCell ref="DI2:DI4"/>
    <mergeCell ref="DJ2:DJ4"/>
    <mergeCell ref="DK2:DK4"/>
    <mergeCell ref="CK19:CK21"/>
    <mergeCell ref="CL19:CL21"/>
    <mergeCell ref="CM19:CM21"/>
    <mergeCell ref="CN19:CN21"/>
    <mergeCell ref="CO19:CO21"/>
    <mergeCell ref="CC35:CG38"/>
    <mergeCell ref="CK1:CM1"/>
    <mergeCell ref="CN1:CP1"/>
    <mergeCell ref="CQ1:CS1"/>
    <mergeCell ref="CK2:CK4"/>
    <mergeCell ref="CL2:CL4"/>
    <mergeCell ref="CM2:CM4"/>
    <mergeCell ref="CN2:CN4"/>
    <mergeCell ref="CO2:CO4"/>
    <mergeCell ref="CP2:CP4"/>
    <mergeCell ref="CQ2:CQ4"/>
    <mergeCell ref="CR2:CR4"/>
    <mergeCell ref="CS2:CS4"/>
    <mergeCell ref="CK18:CM18"/>
    <mergeCell ref="CN18:CP18"/>
    <mergeCell ref="CQ18:CS18"/>
    <mergeCell ref="CI2:CI4"/>
    <mergeCell ref="CJ2:CJ4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CB1:CD1"/>
    <mergeCell ref="CE1:CG1"/>
    <mergeCell ref="CH1:CJ1"/>
    <mergeCell ref="BV2:BV4"/>
    <mergeCell ref="BW2:BW4"/>
    <mergeCell ref="BX2:BX4"/>
    <mergeCell ref="BY2:BY4"/>
    <mergeCell ref="BZ2:BZ4"/>
    <mergeCell ref="CA2:CA4"/>
    <mergeCell ref="CB2:CB4"/>
    <mergeCell ref="CC2:CC4"/>
    <mergeCell ref="CD2:CD4"/>
    <mergeCell ref="CE2:CE4"/>
    <mergeCell ref="CF2:CF4"/>
    <mergeCell ref="CG2:CG4"/>
    <mergeCell ref="CH2:CH4"/>
    <mergeCell ref="BK40:BO43"/>
    <mergeCell ref="AF42:AH44"/>
    <mergeCell ref="BS1:BU1"/>
    <mergeCell ref="BV1:BX1"/>
    <mergeCell ref="BY1:CA1"/>
    <mergeCell ref="BL21:BL23"/>
    <mergeCell ref="BM21:BM23"/>
    <mergeCell ref="BN21:BN23"/>
    <mergeCell ref="BO21:BO23"/>
    <mergeCell ref="BR2:BR4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BM2:BM4"/>
    <mergeCell ref="BN2:BN4"/>
    <mergeCell ref="BO2:BO4"/>
    <mergeCell ref="BP2:BP4"/>
    <mergeCell ref="BQ2:BQ4"/>
    <mergeCell ref="BH2:BH4"/>
    <mergeCell ref="BF2:BF4"/>
    <mergeCell ref="BG2:BG4"/>
    <mergeCell ref="V23:X23"/>
    <mergeCell ref="Y23:AA23"/>
    <mergeCell ref="BD21:BD23"/>
    <mergeCell ref="BE21:BE23"/>
    <mergeCell ref="BF21:BF23"/>
    <mergeCell ref="BJ21:BJ23"/>
    <mergeCell ref="BK21:BK23"/>
    <mergeCell ref="AV21:AV23"/>
    <mergeCell ref="AW21:AW23"/>
    <mergeCell ref="BA21:BA23"/>
    <mergeCell ref="BB21:BB23"/>
    <mergeCell ref="BC21:BC23"/>
    <mergeCell ref="AN21:AN23"/>
    <mergeCell ref="AR21:AR23"/>
    <mergeCell ref="AS21:AS23"/>
    <mergeCell ref="AT21:AT23"/>
    <mergeCell ref="AU21:AU23"/>
    <mergeCell ref="AI21:AI23"/>
    <mergeCell ref="AJ21:AJ23"/>
    <mergeCell ref="AK21:AK23"/>
    <mergeCell ref="AL21:AL23"/>
    <mergeCell ref="AM21:AM23"/>
    <mergeCell ref="AP2:AP4"/>
    <mergeCell ref="AQ2:AQ4"/>
    <mergeCell ref="AR2:AR4"/>
    <mergeCell ref="BD1:BF1"/>
    <mergeCell ref="BG1:BI1"/>
    <mergeCell ref="BJ1:BL1"/>
    <mergeCell ref="BM1:BO1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BI2:BI4"/>
    <mergeCell ref="BJ2:BJ4"/>
    <mergeCell ref="BK2:BK4"/>
    <mergeCell ref="BL2:BL4"/>
    <mergeCell ref="BC2:BC4"/>
    <mergeCell ref="BD2:BD4"/>
    <mergeCell ref="BE2:BE4"/>
    <mergeCell ref="BP1:BR1"/>
    <mergeCell ref="AO1:AQ1"/>
    <mergeCell ref="AR1:AT1"/>
    <mergeCell ref="AU1:AW1"/>
    <mergeCell ref="AX1:AZ1"/>
    <mergeCell ref="BA1:BC1"/>
    <mergeCell ref="V1:X1"/>
    <mergeCell ref="Y1:AA1"/>
    <mergeCell ref="AB1:AB4"/>
    <mergeCell ref="AI1:AK1"/>
    <mergeCell ref="AL1:AN1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N2:AN4"/>
    <mergeCell ref="AO2:AO4"/>
    <mergeCell ref="A242:C242"/>
    <mergeCell ref="A254:C254"/>
    <mergeCell ref="A268:C268"/>
    <mergeCell ref="A281:C281"/>
    <mergeCell ref="U2:U4"/>
    <mergeCell ref="M20:O20"/>
    <mergeCell ref="P20:R20"/>
    <mergeCell ref="M21:M23"/>
    <mergeCell ref="N21:N23"/>
    <mergeCell ref="O21:O23"/>
    <mergeCell ref="P21:P23"/>
    <mergeCell ref="Q21:Q23"/>
    <mergeCell ref="R21:R23"/>
    <mergeCell ref="P2:P4"/>
    <mergeCell ref="Q2:Q4"/>
    <mergeCell ref="R2:R4"/>
    <mergeCell ref="S2:S4"/>
    <mergeCell ref="T2:T4"/>
    <mergeCell ref="D1:F1"/>
    <mergeCell ref="D29:F29"/>
    <mergeCell ref="D41:F41"/>
    <mergeCell ref="A50:C50"/>
    <mergeCell ref="A98:C98"/>
    <mergeCell ref="A132:C132"/>
    <mergeCell ref="A218:C218"/>
    <mergeCell ref="A230:C230"/>
    <mergeCell ref="A1:C1"/>
    <mergeCell ref="A14:C17"/>
    <mergeCell ref="A2:C2"/>
    <mergeCell ref="G1:I1"/>
    <mergeCell ref="J1:L1"/>
    <mergeCell ref="M1:O1"/>
    <mergeCell ref="P1:R1"/>
    <mergeCell ref="S1:U1"/>
    <mergeCell ref="G2:G4"/>
    <mergeCell ref="H2:H4"/>
    <mergeCell ref="I2:I4"/>
    <mergeCell ref="J2:J4"/>
    <mergeCell ref="K2:K4"/>
    <mergeCell ref="L2:L4"/>
    <mergeCell ref="M2:M4"/>
    <mergeCell ref="N2:N4"/>
    <mergeCell ref="O2:O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5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28515625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9.28515625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8.85546875" style="289" bestFit="1" customWidth="1"/>
    <col min="127" max="127" width="6.28515625" style="249" bestFit="1" customWidth="1"/>
    <col min="128" max="128" width="12" style="249" bestFit="1" customWidth="1"/>
    <col min="129" max="129" width="8.85546875" style="289" bestFit="1" customWidth="1"/>
    <col min="130" max="130" width="6.285156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8.85546875" style="289" bestFit="1" customWidth="1"/>
    <col min="142" max="142" width="6.28515625" style="249" bestFit="1" customWidth="1"/>
    <col min="143" max="143" width="12" style="249" bestFit="1" customWidth="1"/>
    <col min="144" max="144" width="8.85546875" style="289" bestFit="1" customWidth="1"/>
    <col min="145" max="145" width="7.42578125" style="249" bestFit="1" customWidth="1"/>
    <col min="146" max="146" width="12" style="249" bestFit="1" customWidth="1"/>
    <col min="147" max="147" width="8.8554687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7.42578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7.42578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7.42578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7.425781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thickTop="1" thickBot="1" x14ac:dyDescent="0.25">
      <c r="A1" s="691" t="s">
        <v>279</v>
      </c>
      <c r="B1" s="692"/>
      <c r="C1" s="693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1/((1/H10)+(1/H11)+(1/H12)+(1/H13))</f>
        <v>4.4325627371123791E-13</v>
      </c>
      <c r="I2" s="625" t="s">
        <v>313</v>
      </c>
      <c r="J2" s="619" t="s">
        <v>507</v>
      </c>
      <c r="K2" s="623">
        <f>1/((1/K14)+(1/K15)+(1/K16)+(1/K17))</f>
        <v>6.3736187737935655E-9</v>
      </c>
      <c r="L2" s="621" t="s">
        <v>311</v>
      </c>
      <c r="M2" s="617" t="s">
        <v>516</v>
      </c>
      <c r="N2" s="647">
        <f>((N5*N6*N7)/((1-EXP(-N7*N6))*N10*N15*(N9/365)*N13*(((N14/24)*N12)+((N16/24)*N11))))*N8*N17*N18</f>
        <v>1.4074324975460906E-8</v>
      </c>
      <c r="O2" s="615" t="s">
        <v>311</v>
      </c>
      <c r="P2" s="639" t="s">
        <v>516</v>
      </c>
      <c r="Q2" s="647">
        <f>((Q5*Q6*Q7)/((1-EXP(-Q7*Q6))*Q10*Q15*(Q9/365)*Q13*(((Q14/24)*Q12)+((Q16/24)*Q11))))*Q8*Q17*Q18</f>
        <v>7.5533615324891239E-8</v>
      </c>
      <c r="R2" s="637" t="s">
        <v>311</v>
      </c>
      <c r="S2" s="641" t="s">
        <v>516</v>
      </c>
      <c r="T2" s="647">
        <f>((T5*T6*T7)/((1-EXP(-T7*T6))*T10*T15*(T9/365)*T13*(((T14/24)*T12)+((T16/24)*T11))))*T8*T17*T18</f>
        <v>1.6597518104285309E-8</v>
      </c>
      <c r="U2" s="643" t="s">
        <v>311</v>
      </c>
      <c r="V2" s="55"/>
      <c r="W2" s="357"/>
      <c r="X2" s="56"/>
      <c r="Y2" s="57"/>
      <c r="Z2" s="357"/>
      <c r="AA2" s="58"/>
      <c r="AB2" s="650"/>
      <c r="AC2" s="660">
        <f>1/((1/AC32)+(1/AC33)+(1/AC34))</f>
        <v>2.1220202834836248E-8</v>
      </c>
      <c r="AD2" s="657">
        <f>1/((1/AD32)+(1/AD33)+(1/AD34))</f>
        <v>5.2995303705004388E-8</v>
      </c>
      <c r="AE2" s="657">
        <f>1/((1/AE32)+(1/AE33)+(1/AE34))</f>
        <v>2.3578003149818051E-8</v>
      </c>
      <c r="AF2" s="657">
        <f>1/((1/AF32)+(1/AF33)+(1/AF34))</f>
        <v>4.9367668580181872E-6</v>
      </c>
      <c r="AG2" s="654">
        <f>1/((1/AG32)+(1/AG33)+(1/AG34))</f>
        <v>9.0179621380657844E-6</v>
      </c>
      <c r="AH2" s="652" t="s">
        <v>311</v>
      </c>
      <c r="AI2" s="381" t="s">
        <v>516</v>
      </c>
      <c r="AJ2" s="387">
        <f>((AJ5*AJ6*AJ7)/((1-EXP(-AJ7*AJ6))*AJ15*(AJ9/365)*AJ10*(AJ16/24)*AJ11*AJ13))*AJ8*AJ17*AJ18</f>
        <v>5.3258004818427044E-8</v>
      </c>
      <c r="AK2" s="629" t="s">
        <v>311</v>
      </c>
      <c r="AL2" s="383" t="s">
        <v>516</v>
      </c>
      <c r="AM2" s="387">
        <f>((AM5*AM6*AM7)/((1-EXP(-AM7*AM6))*AM15*(AM9/365)*AM10*(AM16/24)*AM11*AM13))*AM8*AM17*AM18</f>
        <v>2.858232743623667E-7</v>
      </c>
      <c r="AN2" s="629" t="s">
        <v>311</v>
      </c>
      <c r="AO2" s="383" t="s">
        <v>516</v>
      </c>
      <c r="AP2" s="387">
        <f>((AP5*AP6*AP7)/((1-EXP(-AP7*AP6))*AP15*(AP9/365)*AP10*(AP16/24)*AP11*AP13))*AP8*AP17*AP18</f>
        <v>6.2805903708572686E-8</v>
      </c>
      <c r="AQ2" s="635" t="s">
        <v>311</v>
      </c>
      <c r="AR2" s="381" t="s">
        <v>516</v>
      </c>
      <c r="AS2" s="387">
        <f>((AS5*AS6*AS7)/((1-EXP(-AS7*AS6))*AS15*(AS9/365)*AS10*(AS14/24)*AS12*AS13))*AS8*AS17*AS18</f>
        <v>2.367022436374535E-8</v>
      </c>
      <c r="AT2" s="391" t="s">
        <v>311</v>
      </c>
      <c r="AU2" s="383" t="s">
        <v>516</v>
      </c>
      <c r="AV2" s="387">
        <f>((AV5*AV6*AV7)/((1-EXP(-AV7*AV6))*AV15*(AV9/365)*AV10*(AV14/24)*AV12*AV13))*AV8*AV17*AV18</f>
        <v>1.2703256638327405E-7</v>
      </c>
      <c r="AW2" s="391" t="s">
        <v>311</v>
      </c>
      <c r="AX2" s="383" t="s">
        <v>516</v>
      </c>
      <c r="AY2" s="387">
        <f>((AY5*AY6*AY7)/((1-EXP(-AY7*AY6))*AY15*(AY9/365)*AY10*(AY14/24)*AY12*AY13))*AY8*AY17*AY18</f>
        <v>2.7913734981587855E-8</v>
      </c>
      <c r="AZ2" s="385" t="s">
        <v>311</v>
      </c>
      <c r="BA2" s="381" t="s">
        <v>516</v>
      </c>
      <c r="BB2" s="387">
        <f>((BB5*BB6*BB7)/((1-EXP(-BB7*BB6))*BB15*(BB9/365)*BB10*((BB14+BB16)/24)*BB12*BB13))*BB8*BB17*BB18</f>
        <v>2.1303201927370823E-8</v>
      </c>
      <c r="BC2" s="391" t="s">
        <v>311</v>
      </c>
      <c r="BD2" s="383" t="s">
        <v>516</v>
      </c>
      <c r="BE2" s="387">
        <f>((BE5*BE6*BE7)/((1-EXP(-BE7*BE6))*BE15*(BE9/365)*BE10*((BE14+BE16)/24)*BE12*BE13))*BE8*BE17*BE18</f>
        <v>1.1432930974494668E-7</v>
      </c>
      <c r="BF2" s="391" t="s">
        <v>311</v>
      </c>
      <c r="BG2" s="383" t="s">
        <v>516</v>
      </c>
      <c r="BH2" s="387">
        <f>((BH5*BH6*BH7)/((1-EXP(-BH7*BH6))*BH15*(BH9/365)*BH10*((BH14+BH16)/24)*BH12*BH13))*BH8*BH17*BH18</f>
        <v>2.5122361483429074E-8</v>
      </c>
      <c r="BI2" s="385" t="s">
        <v>311</v>
      </c>
      <c r="BJ2" s="381" t="s">
        <v>558</v>
      </c>
      <c r="BK2" s="389">
        <f>((BK5*BK6*BK7)/((1-EXP(-BK7*BK6))*BK12*BK16*(BK9/365)*BK14*(BK15/24)*BK13))*BK8*BK17*BK18</f>
        <v>1.0374795737882629E-5</v>
      </c>
      <c r="BL2" s="391" t="s">
        <v>311</v>
      </c>
      <c r="BM2" s="383" t="s">
        <v>559</v>
      </c>
      <c r="BN2" s="389">
        <f>((BN5*BN6*BN7)/((1-EXP(-BN7*BN6))*BN12*BN16*(BN9/365)*BN14*(BN15/24)*BN13))*BN8*BN17*BN18</f>
        <v>1.5082675838397222E-4</v>
      </c>
      <c r="BO2" s="391" t="s">
        <v>311</v>
      </c>
      <c r="BP2" s="383" t="s">
        <v>560</v>
      </c>
      <c r="BQ2" s="389">
        <f>((BQ5*BQ6*BQ7)/((1-EXP(-BQ7*BQ6))*BQ12*BQ16*(BQ9/365)*BQ14*(BQ15/24)*BQ13))*BQ8*BQ17*BQ18</f>
        <v>1.5840930454183933E-5</v>
      </c>
      <c r="BR2" s="385" t="s">
        <v>311</v>
      </c>
      <c r="BS2" s="59"/>
      <c r="BT2" s="110"/>
      <c r="BU2" s="250"/>
      <c r="BV2" s="402" t="s">
        <v>563</v>
      </c>
      <c r="BW2" s="400">
        <f>1/((1/BW10)+(1/BW11))</f>
        <v>2.6983821218431531E-8</v>
      </c>
      <c r="BX2" s="404" t="s">
        <v>313</v>
      </c>
      <c r="BY2" s="402" t="s">
        <v>563</v>
      </c>
      <c r="BZ2" s="400">
        <f>1/((1/BZ13)+(1/BZ14)+(1/BZ15))</f>
        <v>2.9465364905553971E-6</v>
      </c>
      <c r="CA2" s="398" t="s">
        <v>311</v>
      </c>
      <c r="CB2" s="410" t="s">
        <v>558</v>
      </c>
      <c r="CC2" s="400">
        <f>((CC5*CC6*CC7)/((1-EXP(-CC7*CC6))*CC10*CC14*(CC9/365)*CC12*(CC13/24)*CC11))*CC8*CC15*CC16</f>
        <v>5.5632335052888978E-6</v>
      </c>
      <c r="CD2" s="404" t="s">
        <v>311</v>
      </c>
      <c r="CE2" s="402" t="s">
        <v>559</v>
      </c>
      <c r="CF2" s="400">
        <f>((CF5*CF6*CF7)/((1-EXP(-CF7*CF6))*CF10*CF14*(CF9/365)*CF12*(CF13/24)*CF11))*CF8*CF15*CF16</f>
        <v>8.0877204422636105E-5</v>
      </c>
      <c r="CG2" s="404" t="s">
        <v>311</v>
      </c>
      <c r="CH2" s="402" t="s">
        <v>560</v>
      </c>
      <c r="CI2" s="400">
        <f>((CI5*CI6*CI7)/((1-EXP(-CI7*CI6))*CI10*CI14*(CI9/365)*CI12*(CI13/24)*CI11))*CI8*CI15*CI16</f>
        <v>8.4943161565948025E-6</v>
      </c>
      <c r="CJ2" s="398" t="s">
        <v>311</v>
      </c>
      <c r="CK2" s="410" t="s">
        <v>510</v>
      </c>
      <c r="CL2" s="400">
        <f>(CL5/(CL6*CL7*CL8*CL9))*CL11*CL10*CL15</f>
        <v>1.0095673980566067E-6</v>
      </c>
      <c r="CM2" s="404" t="s">
        <v>311</v>
      </c>
      <c r="CN2" s="402" t="s">
        <v>7</v>
      </c>
      <c r="CO2" s="400" t="e">
        <f>(CL2/(CO5*((CO10*CO12*CO13*(CO6+CO7))+(CO11*CO12))))*CL13</f>
        <v>#DIV/0!</v>
      </c>
      <c r="CP2" s="412" t="s">
        <v>311</v>
      </c>
      <c r="CQ2" s="402" t="s">
        <v>6</v>
      </c>
      <c r="CR2" s="400" t="e">
        <f>CL2/(CR5*CR6*(1/CR7))</f>
        <v>#DIV/0!</v>
      </c>
      <c r="CS2" s="415" t="s">
        <v>313</v>
      </c>
      <c r="CT2" s="208"/>
      <c r="CU2" s="61"/>
      <c r="CV2" s="62"/>
      <c r="CW2" s="63"/>
      <c r="CX2" s="151"/>
      <c r="CY2" s="64"/>
      <c r="CZ2" s="65"/>
      <c r="DA2" s="66"/>
      <c r="DB2" s="67"/>
      <c r="DC2" s="704" t="s">
        <v>510</v>
      </c>
      <c r="DD2" s="674">
        <f>((DD5)/(DD6*(DD7+DD10)*DD20))*DD22*DD23*DD24</f>
        <v>5.1396522654977061E-10</v>
      </c>
      <c r="DE2" s="706" t="s">
        <v>311</v>
      </c>
      <c r="DF2" s="670" t="s">
        <v>510</v>
      </c>
      <c r="DG2" s="668">
        <f>(DD2/((1/DG24)*(DG5+DG6+DG7)))</f>
        <v>3.8342218652024843E-8</v>
      </c>
      <c r="DH2" s="666" t="s">
        <v>313</v>
      </c>
      <c r="DI2" s="680" t="s">
        <v>510</v>
      </c>
      <c r="DJ2" s="668">
        <f>(DD2/(DJ5+DJ6))*CU11</f>
        <v>1.8866418212329295E-9</v>
      </c>
      <c r="DK2" s="666" t="s">
        <v>313</v>
      </c>
      <c r="DL2" s="680" t="s">
        <v>554</v>
      </c>
      <c r="DM2" s="668">
        <f>(DD2/(DM5+DM6))*((DM9*DD21)/(1-EXP(-DD21*DM9)))</f>
        <v>1.8866418212329295E-9</v>
      </c>
      <c r="DN2" s="666" t="s">
        <v>313</v>
      </c>
      <c r="DO2" s="680" t="s">
        <v>553</v>
      </c>
      <c r="DP2" s="668">
        <f>-(DP5+DP6+DP7)/(DP23+DP24)</f>
        <v>-48.781547491595369</v>
      </c>
      <c r="DQ2" s="678" t="s">
        <v>19</v>
      </c>
      <c r="DR2" s="556" t="s">
        <v>510</v>
      </c>
      <c r="DS2" s="460">
        <f>(DS5/(DS6*DS7*DS16))*DS19*DS20*DS21</f>
        <v>3.2612061216852282E-10</v>
      </c>
      <c r="DT2" s="466" t="s">
        <v>311</v>
      </c>
      <c r="DU2" s="464" t="s">
        <v>510</v>
      </c>
      <c r="DV2" s="462">
        <f>DS2/(DV5*(1/DV8)*DV6*(1/DV7))</f>
        <v>9.6082445804799349E-6</v>
      </c>
      <c r="DW2" s="480" t="s">
        <v>313</v>
      </c>
      <c r="DX2" s="478" t="s">
        <v>510</v>
      </c>
      <c r="DY2" s="462">
        <f>(DS2/(DY9*(1/DY14)*((DY10*DY12*DY13*(DY5+DY6))+(DY11*DY12))))*CU11</f>
        <v>1.5319975640252423E-7</v>
      </c>
      <c r="DZ2" s="480" t="s">
        <v>313</v>
      </c>
      <c r="EA2" s="478" t="s">
        <v>554</v>
      </c>
      <c r="EB2" s="462">
        <f>(DS2/(EB9*(1/EB14)*((EB10*EB12*EB13*(EB5+EB6))+(EB11*EB12))))*((EB15*DS18)/(1-EXP(-DS18*EB15)))</f>
        <v>1.5319975640252423E-7</v>
      </c>
      <c r="EC2" s="480" t="s">
        <v>313</v>
      </c>
      <c r="ED2" s="478" t="s">
        <v>553</v>
      </c>
      <c r="EE2" s="462">
        <f>-EE15/((EE10*EE12*EE13*(EE5+EE6))+(EE11*EE12))</f>
        <v>-15.807288534561259</v>
      </c>
      <c r="EF2" s="476" t="s">
        <v>19</v>
      </c>
      <c r="EG2" s="474" t="s">
        <v>510</v>
      </c>
      <c r="EH2" s="472">
        <f>(EH5/(EH6*EH7*EH16))*EH19*EH20*EH21</f>
        <v>8.9386464201051722E-10</v>
      </c>
      <c r="EI2" s="470" t="s">
        <v>311</v>
      </c>
      <c r="EJ2" s="468" t="s">
        <v>510</v>
      </c>
      <c r="EK2" s="502">
        <f>EH2/(EK5*EK6*(1/EK7))</f>
        <v>9.9208062376306004E-6</v>
      </c>
      <c r="EL2" s="500" t="s">
        <v>313</v>
      </c>
      <c r="EM2" s="504" t="s">
        <v>510</v>
      </c>
      <c r="EN2" s="502">
        <f>(EH2/(EN9*((EN10*EN12*EN13*(EN5+EN6))+(EN11*EN12))))*CU11</f>
        <v>1.456026202701024E-7</v>
      </c>
      <c r="EO2" s="500" t="s">
        <v>311</v>
      </c>
      <c r="EP2" s="504" t="s">
        <v>554</v>
      </c>
      <c r="EQ2" s="502">
        <f>(EH2/(EQ9*((EQ10*EQ12*EQ13*(EQ5+EQ6))+(EQ11*EQ12))))*((EQ14*EH18)/(1-EXP(-EH18*EQ14)))</f>
        <v>1.456026202701024E-7</v>
      </c>
      <c r="ER2" s="500" t="s">
        <v>313</v>
      </c>
      <c r="ES2" s="504" t="s">
        <v>553</v>
      </c>
      <c r="ET2" s="502">
        <f>-ET15/((ET10*ET12*ET13*(ET5+ET6))+(ET11*ET12))</f>
        <v>-14.550086614194845</v>
      </c>
      <c r="EU2" s="514" t="s">
        <v>19</v>
      </c>
      <c r="EV2" s="512" t="s">
        <v>510</v>
      </c>
      <c r="EW2" s="510">
        <f>(EW5/(EW6*EW7*EW16))*EW19*EW20*EW21</f>
        <v>2.9898116442435448E-9</v>
      </c>
      <c r="EX2" s="508" t="s">
        <v>311</v>
      </c>
      <c r="EY2" s="506" t="s">
        <v>510</v>
      </c>
      <c r="EZ2" s="494" t="e">
        <f>EW2/(EZ5*EZ6*(1/EZ7))</f>
        <v>#DIV/0!</v>
      </c>
      <c r="FA2" s="498" t="s">
        <v>313</v>
      </c>
      <c r="FB2" s="496" t="s">
        <v>510</v>
      </c>
      <c r="FC2" s="494" t="e">
        <f>(EW2/(FC9*((FC10*FC12*FC13*(FC5+FC6))+(FC11*FC12))))*CU11</f>
        <v>#DIV/0!</v>
      </c>
      <c r="FD2" s="498" t="s">
        <v>311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313</v>
      </c>
      <c r="FH2" s="496" t="s">
        <v>553</v>
      </c>
      <c r="FI2" s="494">
        <f>-FI15/((FI10*FI12*FI13*(FI5+FI6))+(FI11*FI12))</f>
        <v>-5.3050397877984095</v>
      </c>
      <c r="FJ2" s="492" t="s">
        <v>19</v>
      </c>
      <c r="FK2" s="490" t="s">
        <v>510</v>
      </c>
      <c r="FL2" s="488">
        <f>(FL5/(FL6*FL7*FL16))*FL19*FL20*FL21</f>
        <v>1.0263361517982958E-9</v>
      </c>
      <c r="FM2" s="486" t="s">
        <v>311</v>
      </c>
      <c r="FN2" s="484" t="s">
        <v>510</v>
      </c>
      <c r="FO2" s="430">
        <f>FL2/(FO5*(1/FO6))</f>
        <v>2.5658403794957393E-7</v>
      </c>
      <c r="FP2" s="428" t="s">
        <v>313</v>
      </c>
      <c r="FQ2" s="482" t="s">
        <v>510</v>
      </c>
      <c r="FR2" s="430">
        <f>((FL2*FR6)/FR5)*CU11</f>
        <v>2.5881311507472923E-10</v>
      </c>
      <c r="FS2" s="428" t="s">
        <v>311</v>
      </c>
      <c r="FT2" s="426" t="s">
        <v>554</v>
      </c>
      <c r="FU2" s="430">
        <f>((FL2*FU6)/FU5)*((FU7*FL18)/(1-EXP(-FL18*FU7)))</f>
        <v>2.5881311507472923E-10</v>
      </c>
      <c r="FV2" s="428" t="s">
        <v>313</v>
      </c>
      <c r="FW2" s="426" t="s">
        <v>553</v>
      </c>
      <c r="FX2" s="430">
        <f>-FX5/FX6</f>
        <v>-1E-3</v>
      </c>
      <c r="FY2" s="438" t="s">
        <v>19</v>
      </c>
      <c r="FZ2" s="436" t="s">
        <v>510</v>
      </c>
      <c r="GA2" s="434">
        <f>(GA5/(GA6*GA7*GA16))*GA19*GA20*GA21</f>
        <v>1.4935561992340363E-9</v>
      </c>
      <c r="GB2" s="432" t="s">
        <v>311</v>
      </c>
      <c r="GC2" s="458" t="s">
        <v>510</v>
      </c>
      <c r="GD2" s="417" t="e">
        <f>(GA2/(GD5*GD6*(1/GD7)))</f>
        <v>#DIV/0!</v>
      </c>
      <c r="GE2" s="421" t="s">
        <v>313</v>
      </c>
      <c r="GF2" s="419" t="s">
        <v>510</v>
      </c>
      <c r="GG2" s="417" t="e">
        <f>(GA2/((GG9)*((GG10*GG12*GG13*(GG5+GG6))+(GG11*GG12))))*CU11</f>
        <v>#DIV/0!</v>
      </c>
      <c r="GH2" s="421" t="s">
        <v>311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313</v>
      </c>
      <c r="GL2" s="419" t="s">
        <v>553</v>
      </c>
      <c r="GM2" s="417">
        <f>-GM15/((GM10*GM12*GM13*(GM5+GM6))+(GM11*GM12))</f>
        <v>-5.3050397877984095</v>
      </c>
      <c r="GN2" s="456" t="s">
        <v>19</v>
      </c>
      <c r="GO2" s="454" t="s">
        <v>510</v>
      </c>
      <c r="GP2" s="452">
        <f>(GP5/(GP6*GP7*GP15))*GP18*GP19*GP20</f>
        <v>1.6352868491439062E-9</v>
      </c>
      <c r="GQ2" s="450" t="s">
        <v>311</v>
      </c>
      <c r="GR2" s="448" t="s">
        <v>510</v>
      </c>
      <c r="GS2" s="442" t="e">
        <f>GP2/(GS5*GS6*(1/GS7))</f>
        <v>#DIV/0!</v>
      </c>
      <c r="GT2" s="446" t="s">
        <v>313</v>
      </c>
      <c r="GU2" s="444" t="s">
        <v>510</v>
      </c>
      <c r="GV2" s="442" t="e">
        <f>(GP2/((GV9)*((GV10*GV12*GV13*(GV5+GV6))+(GV11*GV12))))*CU11</f>
        <v>#DIV/0!</v>
      </c>
      <c r="GW2" s="446" t="s">
        <v>311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313</v>
      </c>
      <c r="HA2" s="444" t="s">
        <v>553</v>
      </c>
      <c r="HB2" s="442">
        <f>-HB15/((HB10*HB12*HB13*(HB5+HB6))+(HB11*HB12))</f>
        <v>-7.0158163579297179</v>
      </c>
      <c r="HC2" s="440" t="s">
        <v>19</v>
      </c>
      <c r="HD2" s="251"/>
      <c r="HE2" s="350"/>
      <c r="HF2" s="252"/>
    </row>
    <row r="3" spans="1:214" ht="13.5" thickTop="1" x14ac:dyDescent="0.2">
      <c r="A3" s="278" t="s">
        <v>456</v>
      </c>
      <c r="B3" s="54">
        <v>0.124</v>
      </c>
      <c r="C3" s="240"/>
      <c r="D3" s="317" t="s">
        <v>15</v>
      </c>
      <c r="E3" s="285">
        <f>1/((1/E20)+(1/E21))</f>
        <v>2.2274905683803499E-13</v>
      </c>
      <c r="F3" s="253" t="s">
        <v>312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3.2051724903185412E-13</v>
      </c>
      <c r="X3" s="254" t="s">
        <v>312</v>
      </c>
      <c r="Y3" s="321" t="s">
        <v>16</v>
      </c>
      <c r="Z3" s="358">
        <f>1/((1/Z18)+(1/Z19))</f>
        <v>2.884655241286687E-13</v>
      </c>
      <c r="AA3" s="255" t="s">
        <v>312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2.4947894365859918E-11</v>
      </c>
      <c r="BU3" s="250" t="s">
        <v>312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1/((1/CU14)+(1/CU15)+(1/CU16)+(1/CU17)+(1/CU20)+(1/CU21)+(1/CU23))</f>
        <v>2.1644263809180168E-10</v>
      </c>
      <c r="CV3" s="71" t="s">
        <v>311</v>
      </c>
      <c r="CW3" s="326" t="s">
        <v>15</v>
      </c>
      <c r="CX3" s="117">
        <f>1/((1/CX20)+(1/CX21))</f>
        <v>1.3846588661943573E-13</v>
      </c>
      <c r="CY3" s="256" t="s">
        <v>312</v>
      </c>
      <c r="CZ3" s="338" t="s">
        <v>285</v>
      </c>
      <c r="DA3" s="336">
        <f>1/((1/DA13)+(1/DA15)+(1/DA16)+(1/DA19)+(1/DA20)+(1/DA22))</f>
        <v>2.3745981175135107E-8</v>
      </c>
      <c r="DB3" s="72" t="s">
        <v>313</v>
      </c>
      <c r="DC3" s="704"/>
      <c r="DD3" s="674"/>
      <c r="DE3" s="706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(HE5*HE13*10^-3*(HE14+(HE9/HE10))*((HE11*HE7)/(1-EXP(-HE7*HE11))))*HE8*HE15*HE16</f>
        <v>6.1091495702703927E-12</v>
      </c>
      <c r="HF3" s="252" t="s">
        <v>311</v>
      </c>
    </row>
    <row r="4" spans="1:214" ht="13.5" thickBot="1" x14ac:dyDescent="0.25">
      <c r="A4" s="279" t="s">
        <v>457</v>
      </c>
      <c r="B4" s="70">
        <v>0.79200000000000004</v>
      </c>
      <c r="C4" s="241"/>
      <c r="D4" s="318" t="s">
        <v>16</v>
      </c>
      <c r="E4" s="286">
        <f>1/((1/E22)+(1/E23))</f>
        <v>2.2400562724863978E-13</v>
      </c>
      <c r="F4" s="257" t="s">
        <v>312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3.1878819504478365E-13</v>
      </c>
      <c r="X4" s="258" t="s">
        <v>312</v>
      </c>
      <c r="Y4" s="322" t="s">
        <v>15</v>
      </c>
      <c r="Z4" s="359">
        <f>1/((1/Z16)+(1/Z17))</f>
        <v>2.8690937554030533E-13</v>
      </c>
      <c r="AA4" s="259" t="s">
        <v>312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2.508863025184766E-11</v>
      </c>
      <c r="BU4" s="260" t="s">
        <v>312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1.3459412214038629E-9</v>
      </c>
      <c r="CV4" s="73" t="s">
        <v>311</v>
      </c>
      <c r="CW4" s="327" t="s">
        <v>16</v>
      </c>
      <c r="CX4" s="106">
        <f>1/((1/CX22)+(1/CX23))</f>
        <v>1.3966881078784556E-13</v>
      </c>
      <c r="CY4" s="261" t="s">
        <v>312</v>
      </c>
      <c r="CZ4" s="339" t="s">
        <v>11</v>
      </c>
      <c r="DA4" s="337">
        <f>1/((1/DA15)+(1/DA16)+(1/DA13))</f>
        <v>2.6308758780653328E-8</v>
      </c>
      <c r="DB4" s="74" t="s">
        <v>313</v>
      </c>
      <c r="DC4" s="705"/>
      <c r="DD4" s="675"/>
      <c r="DE4" s="707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5.3490812145675265E-16</v>
      </c>
      <c r="HF4" s="75" t="s">
        <v>311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0.52543733718458041</v>
      </c>
      <c r="DH5" s="249" t="s">
        <v>19</v>
      </c>
      <c r="DI5" s="262" t="s">
        <v>20</v>
      </c>
      <c r="DJ5" s="305">
        <f>DJ7</f>
        <v>1.4789999999999999E-2</v>
      </c>
      <c r="DK5" s="262"/>
      <c r="DL5" s="262" t="s">
        <v>20</v>
      </c>
      <c r="DM5" s="305">
        <f>DM7</f>
        <v>1.4789999999999999E-2</v>
      </c>
      <c r="DO5" s="249" t="s">
        <v>18</v>
      </c>
      <c r="DP5" s="118">
        <f>(DP8*DP9*DP10*((1-EXP(-DP11*DP12))))/(DP13*DP11)</f>
        <v>0.52543733718458041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3.8000000000000002E-4</v>
      </c>
      <c r="DW5" s="262"/>
      <c r="DX5" s="262" t="s">
        <v>21</v>
      </c>
      <c r="DY5" s="305">
        <f>DY7</f>
        <v>1.7000000000000001E-2</v>
      </c>
      <c r="DZ5" s="262"/>
      <c r="EA5" s="262" t="s">
        <v>21</v>
      </c>
      <c r="EB5" s="305">
        <f>EB7</f>
        <v>1.7000000000000001E-2</v>
      </c>
      <c r="EC5" s="263"/>
      <c r="ED5" s="262" t="s">
        <v>21</v>
      </c>
      <c r="EE5" s="305">
        <f>EE7</f>
        <v>1.7000000000000001E-2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1.6999999999999999E-3</v>
      </c>
      <c r="EL5" s="262"/>
      <c r="EM5" s="262" t="s">
        <v>21</v>
      </c>
      <c r="EN5" s="305">
        <f>EN7</f>
        <v>1.7000000000000001E-2</v>
      </c>
      <c r="EO5" s="262"/>
      <c r="EP5" s="262" t="s">
        <v>21</v>
      </c>
      <c r="EQ5" s="305">
        <f>EQ7</f>
        <v>1.7000000000000001E-2</v>
      </c>
      <c r="ER5" s="263"/>
      <c r="ES5" s="262" t="s">
        <v>21</v>
      </c>
      <c r="ET5" s="305">
        <f>ET7</f>
        <v>1.7000000000000001E-2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1.7000000000000001E-2</v>
      </c>
      <c r="FD5" s="262"/>
      <c r="FE5" s="262" t="s">
        <v>21</v>
      </c>
      <c r="FF5" s="305">
        <f>FF7</f>
        <v>1.7000000000000001E-2</v>
      </c>
      <c r="FG5" s="263"/>
      <c r="FH5" s="263" t="s">
        <v>21</v>
      </c>
      <c r="FI5" s="290">
        <f>FI7</f>
        <v>1.7000000000000001E-2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4</v>
      </c>
      <c r="FP5" s="263"/>
      <c r="FQ5" s="263" t="s">
        <v>122</v>
      </c>
      <c r="FR5" s="298">
        <f>B36</f>
        <v>4</v>
      </c>
      <c r="FS5" s="263"/>
      <c r="FT5" s="263" t="s">
        <v>122</v>
      </c>
      <c r="FU5" s="298">
        <f>B36</f>
        <v>4</v>
      </c>
      <c r="FV5" s="263"/>
      <c r="FW5" s="262" t="s">
        <v>181</v>
      </c>
      <c r="FX5" s="305">
        <f>B46</f>
        <v>1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1.7000000000000001E-2</v>
      </c>
      <c r="GH5" s="262"/>
      <c r="GI5" s="262" t="s">
        <v>21</v>
      </c>
      <c r="GJ5" s="305">
        <f>GJ7</f>
        <v>1.7000000000000001E-2</v>
      </c>
      <c r="GK5" s="262"/>
      <c r="GL5" s="262" t="s">
        <v>21</v>
      </c>
      <c r="GM5" s="305">
        <f>GM7</f>
        <v>1.7000000000000001E-2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1.7000000000000001E-2</v>
      </c>
      <c r="GW5" s="262"/>
      <c r="GX5" s="262" t="s">
        <v>21</v>
      </c>
      <c r="GY5" s="305">
        <f>GY7</f>
        <v>1.7000000000000001E-2</v>
      </c>
      <c r="GZ5" s="262"/>
      <c r="HA5" s="262" t="s">
        <v>21</v>
      </c>
      <c r="HB5" s="305">
        <f>HB7</f>
        <v>1.7000000000000001E-2</v>
      </c>
      <c r="HC5" s="263"/>
      <c r="HD5" s="265" t="s">
        <v>22</v>
      </c>
      <c r="HE5" s="292">
        <f>B47</f>
        <v>5</v>
      </c>
      <c r="HF5" s="262" t="s">
        <v>580</v>
      </c>
    </row>
    <row r="6" spans="1:214" ht="13.5" thickTop="1" x14ac:dyDescent="0.2">
      <c r="A6" s="278" t="s">
        <v>454</v>
      </c>
      <c r="B6" s="54">
        <v>5.8099999999999999E-2</v>
      </c>
      <c r="C6" s="240"/>
      <c r="D6" s="262" t="s">
        <v>23</v>
      </c>
      <c r="E6" s="288">
        <f>0.693/E7</f>
        <v>4.3312499999999997E-4</v>
      </c>
      <c r="G6" s="262" t="s">
        <v>439</v>
      </c>
      <c r="H6" s="287">
        <f>B20</f>
        <v>3.8480000000000001E-10</v>
      </c>
      <c r="I6" s="262" t="s">
        <v>35</v>
      </c>
      <c r="J6" s="262" t="s">
        <v>316</v>
      </c>
      <c r="K6" s="287">
        <f>B21</f>
        <v>6.7709999999999997E-10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4.3312499999999997E-4</v>
      </c>
      <c r="Y6" s="262" t="s">
        <v>23</v>
      </c>
      <c r="Z6" s="288">
        <f>0.693/Z7</f>
        <v>4.3312499999999997E-4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BQ12</f>
        <v>1</v>
      </c>
      <c r="BR6" s="249" t="s">
        <v>69</v>
      </c>
      <c r="BS6" s="262" t="s">
        <v>23</v>
      </c>
      <c r="BT6" s="288">
        <f>0.693/BT7</f>
        <v>4.3312499999999997E-4</v>
      </c>
      <c r="BV6" s="262" t="s">
        <v>163</v>
      </c>
      <c r="BW6" s="287">
        <f>B20</f>
        <v>3.8480000000000001E-10</v>
      </c>
      <c r="BX6" s="262" t="s">
        <v>35</v>
      </c>
      <c r="BY6" s="262" t="s">
        <v>45</v>
      </c>
      <c r="BZ6" s="287">
        <f>B21</f>
        <v>6.7709999999999997E-10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5.1429999999999997E-10</v>
      </c>
      <c r="CM6" s="266" t="s">
        <v>13</v>
      </c>
      <c r="CN6" s="263" t="s">
        <v>21</v>
      </c>
      <c r="CO6" s="290">
        <f>CO8</f>
        <v>1.7000000000000001E-2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6.7709999999999997E-10</v>
      </c>
      <c r="CV6" s="262" t="s">
        <v>35</v>
      </c>
      <c r="CW6" s="262" t="s">
        <v>23</v>
      </c>
      <c r="CX6" s="288">
        <f>0.693/CX7</f>
        <v>4.3312499999999997E-4</v>
      </c>
      <c r="CZ6" s="262" t="s">
        <v>163</v>
      </c>
      <c r="DA6" s="287">
        <f>B20</f>
        <v>3.8480000000000001E-10</v>
      </c>
      <c r="DB6" s="262" t="s">
        <v>35</v>
      </c>
      <c r="DC6" s="262" t="s">
        <v>438</v>
      </c>
      <c r="DD6" s="287">
        <f>B30</f>
        <v>5.1429999999999997E-10</v>
      </c>
      <c r="DE6" s="267" t="s">
        <v>35</v>
      </c>
      <c r="DF6" s="249" t="s">
        <v>27</v>
      </c>
      <c r="DG6" s="118">
        <f>(DG8*DG9*DG14*((1-EXP(-DG11*DG12))))/(DG13*DG11)</f>
        <v>9.2368970701819411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9.2368970701819411</v>
      </c>
      <c r="DQ6" s="249" t="s">
        <v>19</v>
      </c>
      <c r="DR6" s="262" t="s">
        <v>438</v>
      </c>
      <c r="DS6" s="287">
        <f>B30</f>
        <v>5.1429999999999997E-10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5.1429999999999997E-10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5.1429999999999997E-10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5.1429999999999997E-10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</v>
      </c>
      <c r="FS6" s="249" t="s">
        <v>19</v>
      </c>
      <c r="FT6" s="262" t="s">
        <v>181</v>
      </c>
      <c r="FU6" s="305">
        <f>B46</f>
        <v>1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5.1429999999999997E-10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5.1429999999999997E-10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4.4325627371123791E-13</v>
      </c>
      <c r="HF6" s="262" t="s">
        <v>313</v>
      </c>
    </row>
    <row r="7" spans="1:214" x14ac:dyDescent="0.2">
      <c r="A7" s="279" t="s">
        <v>455</v>
      </c>
      <c r="B7" s="70">
        <v>0.624</v>
      </c>
      <c r="C7" s="241"/>
      <c r="D7" s="266" t="s">
        <v>270</v>
      </c>
      <c r="E7" s="287">
        <f>B31</f>
        <v>1600</v>
      </c>
      <c r="F7" s="249" t="s">
        <v>69</v>
      </c>
      <c r="G7" s="262" t="s">
        <v>43</v>
      </c>
      <c r="H7" s="290">
        <f>B19</f>
        <v>2.8231E-8</v>
      </c>
      <c r="I7" s="263" t="s">
        <v>35</v>
      </c>
      <c r="J7" s="262" t="s">
        <v>43</v>
      </c>
      <c r="K7" s="290">
        <f>B19</f>
        <v>2.8231E-8</v>
      </c>
      <c r="L7" s="263" t="s">
        <v>35</v>
      </c>
      <c r="M7" s="262" t="s">
        <v>23</v>
      </c>
      <c r="N7" s="288">
        <f>0.693/N8</f>
        <v>4.3312499999999997E-4</v>
      </c>
      <c r="P7" s="262" t="s">
        <v>23</v>
      </c>
      <c r="Q7" s="288">
        <f>0.693/Q8</f>
        <v>4.3312499999999997E-4</v>
      </c>
      <c r="S7" s="262" t="s">
        <v>23</v>
      </c>
      <c r="T7" s="288">
        <f>0.693/T8</f>
        <v>4.3312499999999997E-4</v>
      </c>
      <c r="V7" s="266" t="s">
        <v>270</v>
      </c>
      <c r="W7" s="287">
        <f>B31</f>
        <v>1600</v>
      </c>
      <c r="X7" s="249" t="s">
        <v>69</v>
      </c>
      <c r="Y7" s="266" t="s">
        <v>270</v>
      </c>
      <c r="Z7" s="287">
        <f>B31</f>
        <v>1600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4.3312499999999997E-4</v>
      </c>
      <c r="AL7" s="262" t="s">
        <v>23</v>
      </c>
      <c r="AM7" s="288">
        <f>0.693/AM8</f>
        <v>4.3312499999999997E-4</v>
      </c>
      <c r="AO7" s="262" t="s">
        <v>23</v>
      </c>
      <c r="AP7" s="288">
        <f>0.693/AP8</f>
        <v>4.3312499999999997E-4</v>
      </c>
      <c r="AR7" s="262" t="s">
        <v>23</v>
      </c>
      <c r="AS7" s="288">
        <f>0.693/AS8</f>
        <v>4.3312499999999997E-4</v>
      </c>
      <c r="AU7" s="262" t="s">
        <v>23</v>
      </c>
      <c r="AV7" s="288">
        <f>0.693/AV8</f>
        <v>4.3312499999999997E-4</v>
      </c>
      <c r="AX7" s="262" t="s">
        <v>23</v>
      </c>
      <c r="AY7" s="288">
        <f>0.693/AY8</f>
        <v>4.3312499999999997E-4</v>
      </c>
      <c r="BA7" s="262" t="s">
        <v>23</v>
      </c>
      <c r="BB7" s="288">
        <f>0.693/BB8</f>
        <v>4.3312499999999997E-4</v>
      </c>
      <c r="BD7" s="262" t="s">
        <v>23</v>
      </c>
      <c r="BE7" s="288">
        <f>0.693/BE8</f>
        <v>4.3312499999999997E-4</v>
      </c>
      <c r="BG7" s="262" t="s">
        <v>23</v>
      </c>
      <c r="BH7" s="288">
        <f>0.693/BH8</f>
        <v>4.3312499999999997E-4</v>
      </c>
      <c r="BJ7" s="262" t="s">
        <v>23</v>
      </c>
      <c r="BK7" s="288">
        <f>0.693/BK8</f>
        <v>4.3312499999999997E-4</v>
      </c>
      <c r="BM7" s="262" t="s">
        <v>23</v>
      </c>
      <c r="BN7" s="288">
        <f>0.693/BN8</f>
        <v>4.3312499999999997E-4</v>
      </c>
      <c r="BP7" s="262" t="s">
        <v>23</v>
      </c>
      <c r="BQ7" s="288">
        <f>0.693/BQ8</f>
        <v>4.3312499999999997E-4</v>
      </c>
      <c r="BS7" s="266" t="s">
        <v>270</v>
      </c>
      <c r="BT7" s="287">
        <f>B31</f>
        <v>1600</v>
      </c>
      <c r="BU7" s="249" t="s">
        <v>69</v>
      </c>
      <c r="BV7" s="262" t="s">
        <v>43</v>
      </c>
      <c r="BW7" s="290">
        <f>E10</f>
        <v>2.8231E-8</v>
      </c>
      <c r="BX7" s="263" t="s">
        <v>35</v>
      </c>
      <c r="BY7" s="262" t="s">
        <v>43</v>
      </c>
      <c r="BZ7" s="290">
        <f>B19</f>
        <v>2.8231E-8</v>
      </c>
      <c r="CA7" s="263" t="s">
        <v>35</v>
      </c>
      <c r="CB7" s="262" t="s">
        <v>23</v>
      </c>
      <c r="CC7" s="288">
        <f>0.693/CC8</f>
        <v>4.3312499999999997E-4</v>
      </c>
      <c r="CE7" s="262" t="s">
        <v>23</v>
      </c>
      <c r="CF7" s="288">
        <f>0.693/CF8</f>
        <v>4.3312499999999997E-4</v>
      </c>
      <c r="CH7" s="262" t="s">
        <v>23</v>
      </c>
      <c r="CI7" s="288">
        <f>0.693/CI8</f>
        <v>4.3312499999999997E-4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2.8231E-8</v>
      </c>
      <c r="CV7" s="263" t="s">
        <v>35</v>
      </c>
      <c r="CW7" s="266" t="s">
        <v>270</v>
      </c>
      <c r="CX7" s="287">
        <f>B31</f>
        <v>1600</v>
      </c>
      <c r="CY7" s="249" t="s">
        <v>69</v>
      </c>
      <c r="CZ7" s="263" t="s">
        <v>43</v>
      </c>
      <c r="DA7" s="290">
        <f>B19</f>
        <v>2.8231E-8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3.6423470278489711</v>
      </c>
      <c r="DH7" s="249" t="s">
        <v>19</v>
      </c>
      <c r="DI7" s="262" t="s">
        <v>37</v>
      </c>
      <c r="DJ7" s="287">
        <f>B44</f>
        <v>1.4789999999999999E-2</v>
      </c>
      <c r="DL7" s="262" t="s">
        <v>37</v>
      </c>
      <c r="DM7" s="287">
        <f>B44</f>
        <v>1.4789999999999999E-2</v>
      </c>
      <c r="DO7" s="249" t="s">
        <v>36</v>
      </c>
      <c r="DP7" s="118">
        <f>(DP8*DP9*DP15*DP21*((1-EXP(-DP16*DP17))))/(DP18*DP16)</f>
        <v>3.6423470278489711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1.7000000000000001E-2</v>
      </c>
      <c r="EA7" s="262" t="s">
        <v>38</v>
      </c>
      <c r="EB7" s="287">
        <f>B45</f>
        <v>1.7000000000000001E-2</v>
      </c>
      <c r="EC7" s="263"/>
      <c r="ED7" s="262" t="s">
        <v>38</v>
      </c>
      <c r="EE7" s="287">
        <f>B45</f>
        <v>1.7000000000000001E-2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1.7000000000000001E-2</v>
      </c>
      <c r="EP7" s="262" t="s">
        <v>38</v>
      </c>
      <c r="EQ7" s="287">
        <f>B45</f>
        <v>1.7000000000000001E-2</v>
      </c>
      <c r="ER7" s="263"/>
      <c r="ES7" s="262" t="s">
        <v>38</v>
      </c>
      <c r="ET7" s="287">
        <f>B45</f>
        <v>1.7000000000000001E-2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1.7000000000000001E-2</v>
      </c>
      <c r="FD7" s="262"/>
      <c r="FE7" s="262" t="s">
        <v>38</v>
      </c>
      <c r="FF7" s="305">
        <f>B45</f>
        <v>1.7000000000000001E-2</v>
      </c>
      <c r="FG7" s="263"/>
      <c r="FH7" s="263" t="s">
        <v>38</v>
      </c>
      <c r="FI7" s="290">
        <f>B45</f>
        <v>1.7000000000000001E-2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1.7000000000000001E-2</v>
      </c>
      <c r="GH7" s="262"/>
      <c r="GI7" s="262" t="s">
        <v>38</v>
      </c>
      <c r="GJ7" s="305">
        <f>B45</f>
        <v>1.7000000000000001E-2</v>
      </c>
      <c r="GK7" s="262"/>
      <c r="GL7" s="262" t="s">
        <v>38</v>
      </c>
      <c r="GM7" s="305">
        <f>B45</f>
        <v>1.7000000000000001E-2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1.7000000000000001E-2</v>
      </c>
      <c r="GW7" s="262"/>
      <c r="GX7" s="262" t="s">
        <v>38</v>
      </c>
      <c r="GY7" s="305">
        <f>B45</f>
        <v>1.7000000000000001E-2</v>
      </c>
      <c r="GZ7" s="262"/>
      <c r="HA7" s="262" t="s">
        <v>38</v>
      </c>
      <c r="HB7" s="305">
        <f>B45</f>
        <v>1.7000000000000001E-2</v>
      </c>
      <c r="HC7" s="263"/>
      <c r="HD7" s="262" t="s">
        <v>23</v>
      </c>
      <c r="HE7" s="288">
        <f>0.693/HE8</f>
        <v>4.3312499999999997E-4</v>
      </c>
    </row>
    <row r="8" spans="1:214" x14ac:dyDescent="0.2">
      <c r="A8" s="279" t="s">
        <v>458</v>
      </c>
      <c r="B8" s="70">
        <v>6.8599999999999994E-2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1.6813889280000001E-11</v>
      </c>
      <c r="I8" s="263" t="s">
        <v>35</v>
      </c>
      <c r="J8" s="262" t="s">
        <v>71</v>
      </c>
      <c r="K8" s="287">
        <f>B23</f>
        <v>8.3719157040000005E-6</v>
      </c>
      <c r="L8" s="262" t="s">
        <v>445</v>
      </c>
      <c r="M8" s="266" t="s">
        <v>270</v>
      </c>
      <c r="N8" s="287">
        <f>B31</f>
        <v>1600</v>
      </c>
      <c r="O8" s="249" t="s">
        <v>69</v>
      </c>
      <c r="P8" s="266" t="s">
        <v>270</v>
      </c>
      <c r="Q8" s="287">
        <f>B31</f>
        <v>1600</v>
      </c>
      <c r="R8" s="249" t="s">
        <v>69</v>
      </c>
      <c r="S8" s="266" t="s">
        <v>270</v>
      </c>
      <c r="T8" s="287">
        <f>B31</f>
        <v>1600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1600</v>
      </c>
      <c r="AK8" s="249" t="s">
        <v>69</v>
      </c>
      <c r="AL8" s="266" t="s">
        <v>270</v>
      </c>
      <c r="AM8" s="287">
        <f>B31</f>
        <v>1600</v>
      </c>
      <c r="AN8" s="249" t="s">
        <v>69</v>
      </c>
      <c r="AO8" s="266" t="s">
        <v>270</v>
      </c>
      <c r="AP8" s="287">
        <f>B31</f>
        <v>1600</v>
      </c>
      <c r="AQ8" s="249" t="s">
        <v>69</v>
      </c>
      <c r="AR8" s="266" t="s">
        <v>270</v>
      </c>
      <c r="AS8" s="287">
        <f>B31</f>
        <v>1600</v>
      </c>
      <c r="AT8" s="249" t="s">
        <v>69</v>
      </c>
      <c r="AU8" s="266" t="s">
        <v>270</v>
      </c>
      <c r="AV8" s="287">
        <f>B31</f>
        <v>1600</v>
      </c>
      <c r="AW8" s="249" t="s">
        <v>69</v>
      </c>
      <c r="AX8" s="266" t="s">
        <v>270</v>
      </c>
      <c r="AY8" s="287">
        <f>B31</f>
        <v>1600</v>
      </c>
      <c r="AZ8" s="249" t="s">
        <v>69</v>
      </c>
      <c r="BA8" s="266" t="s">
        <v>270</v>
      </c>
      <c r="BB8" s="287">
        <f>B31</f>
        <v>1600</v>
      </c>
      <c r="BC8" s="249" t="s">
        <v>69</v>
      </c>
      <c r="BD8" s="266" t="s">
        <v>270</v>
      </c>
      <c r="BE8" s="287">
        <f>B31</f>
        <v>1600</v>
      </c>
      <c r="BF8" s="249" t="s">
        <v>69</v>
      </c>
      <c r="BG8" s="266" t="s">
        <v>270</v>
      </c>
      <c r="BH8" s="287">
        <f>B31</f>
        <v>1600</v>
      </c>
      <c r="BI8" s="249" t="s">
        <v>69</v>
      </c>
      <c r="BJ8" s="266" t="s">
        <v>270</v>
      </c>
      <c r="BK8" s="287">
        <f>B31</f>
        <v>1600</v>
      </c>
      <c r="BL8" s="249" t="s">
        <v>69</v>
      </c>
      <c r="BM8" s="266" t="s">
        <v>270</v>
      </c>
      <c r="BN8" s="287">
        <f>B31</f>
        <v>1600</v>
      </c>
      <c r="BO8" s="249" t="s">
        <v>69</v>
      </c>
      <c r="BP8" s="266" t="s">
        <v>270</v>
      </c>
      <c r="BQ8" s="287">
        <f>B31</f>
        <v>1600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1.6813889280000001E-11</v>
      </c>
      <c r="BX8" s="263" t="s">
        <v>35</v>
      </c>
      <c r="BY8" s="262" t="s">
        <v>71</v>
      </c>
      <c r="BZ8" s="287">
        <f>B23</f>
        <v>8.3719157040000005E-6</v>
      </c>
      <c r="CA8" s="262" t="s">
        <v>95</v>
      </c>
      <c r="CB8" s="266" t="s">
        <v>270</v>
      </c>
      <c r="CC8" s="287">
        <f>B31</f>
        <v>1600</v>
      </c>
      <c r="CD8" s="249" t="s">
        <v>69</v>
      </c>
      <c r="CE8" s="266" t="s">
        <v>270</v>
      </c>
      <c r="CF8" s="287">
        <f>B31</f>
        <v>1600</v>
      </c>
      <c r="CG8" s="249" t="s">
        <v>69</v>
      </c>
      <c r="CH8" s="266" t="s">
        <v>270</v>
      </c>
      <c r="CI8" s="287">
        <f>B31</f>
        <v>1600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1.7000000000000001E-2</v>
      </c>
      <c r="CT8" s="262" t="s">
        <v>71</v>
      </c>
      <c r="CU8" s="287">
        <f>B23</f>
        <v>8.3719157040000005E-6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1.6813889280000001E-11</v>
      </c>
      <c r="DB8" s="262" t="s">
        <v>35</v>
      </c>
      <c r="DC8" s="262" t="s">
        <v>380</v>
      </c>
      <c r="DD8" s="297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1600</v>
      </c>
      <c r="HF8" s="249" t="s">
        <v>69</v>
      </c>
    </row>
    <row r="9" spans="1:214" x14ac:dyDescent="0.2">
      <c r="A9" s="279" t="s">
        <v>459</v>
      </c>
      <c r="B9" s="70">
        <v>0.73699999999999999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5.1429999999999997E-10</v>
      </c>
      <c r="I9" s="267" t="s">
        <v>35</v>
      </c>
      <c r="J9" s="262" t="s">
        <v>438</v>
      </c>
      <c r="K9" s="287">
        <f>B30</f>
        <v>5.1429999999999997E-10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2.9489E-10</v>
      </c>
      <c r="AD9" s="287">
        <f>B22</f>
        <v>2.9489E-10</v>
      </c>
      <c r="AE9" s="287">
        <f>B22</f>
        <v>2.9489E-10</v>
      </c>
      <c r="AF9" s="287">
        <f>B22</f>
        <v>2.9489E-10</v>
      </c>
      <c r="AG9" s="287">
        <f>B22</f>
        <v>2.9489E-10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5.1429999999999997E-10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5.1429999999999997E-10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5.1429999999999997E-10</v>
      </c>
      <c r="DB9" s="263" t="s">
        <v>35</v>
      </c>
      <c r="DC9" s="262" t="s">
        <v>381</v>
      </c>
      <c r="DD9" s="297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3.8000000000000002E-4</v>
      </c>
      <c r="EA9" s="262" t="s">
        <v>278</v>
      </c>
      <c r="EB9" s="287">
        <f>B37</f>
        <v>3.8000000000000002E-4</v>
      </c>
      <c r="EC9" s="263"/>
      <c r="ED9" s="262" t="s">
        <v>278</v>
      </c>
      <c r="EE9" s="287">
        <f>B37</f>
        <v>3.8000000000000002E-4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1.6999999999999999E-3</v>
      </c>
      <c r="EP9" s="262" t="s">
        <v>275</v>
      </c>
      <c r="EQ9" s="310">
        <f>B38</f>
        <v>1.6999999999999999E-3</v>
      </c>
      <c r="ER9" s="263"/>
      <c r="ES9" s="262" t="s">
        <v>275</v>
      </c>
      <c r="ET9" s="310">
        <f>B38</f>
        <v>1.6999999999999999E-3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0.10100000000000001</v>
      </c>
      <c r="C10" s="241"/>
      <c r="D10" s="88" t="s">
        <v>43</v>
      </c>
      <c r="E10" s="187">
        <f>B19</f>
        <v>2.8231E-8</v>
      </c>
      <c r="F10" s="188" t="s">
        <v>35</v>
      </c>
      <c r="G10" s="266" t="s">
        <v>80</v>
      </c>
      <c r="H10" s="294">
        <f>(H5/(H6*H15))*H70*H68*H69</f>
        <v>1.3748484853093485E-10</v>
      </c>
      <c r="I10" s="271" t="s">
        <v>313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2.8231E-8</v>
      </c>
      <c r="X10" s="263" t="s">
        <v>44</v>
      </c>
      <c r="Y10" s="249" t="s">
        <v>43</v>
      </c>
      <c r="Z10" s="290">
        <f>B19</f>
        <v>2.8231E-8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2.8231E-8</v>
      </c>
      <c r="BU10" s="263" t="s">
        <v>35</v>
      </c>
      <c r="BV10" s="266" t="s">
        <v>80</v>
      </c>
      <c r="BW10" s="294">
        <f>(BW5/(BW6*BW12))*BW34*BW32*BW33</f>
        <v>2.6986513140359294E-8</v>
      </c>
      <c r="BX10" s="271" t="s">
        <v>313</v>
      </c>
      <c r="BY10" s="188" t="s">
        <v>16</v>
      </c>
      <c r="BZ10" s="109">
        <f>(BZ33*BZ11)/(1-EXP(-BZ11*BZ33))</f>
        <v>1.0056411929569626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315</v>
      </c>
      <c r="CL10" s="289">
        <f>B293</f>
        <v>226</v>
      </c>
      <c r="CM10" s="249" t="s">
        <v>309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2.8231E-8</v>
      </c>
      <c r="CY10" s="263" t="s">
        <v>35</v>
      </c>
      <c r="CZ10" s="263" t="s">
        <v>16</v>
      </c>
      <c r="DA10" s="288">
        <f>(DA38*DA11)/(1-EXP(-DA11*DA38))</f>
        <v>1.0086875128436219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1.4789999999999999E-2</v>
      </c>
      <c r="DL10" s="267"/>
      <c r="DO10" s="267" t="s">
        <v>37</v>
      </c>
      <c r="DP10" s="287">
        <f>B44</f>
        <v>1.4789999999999999E-2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0.751</v>
      </c>
      <c r="C11" s="241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(H5/(H7*H16*H28))*H70*H68*H69</f>
        <v>4.4551703107746197E-13</v>
      </c>
      <c r="I11" s="271" t="s">
        <v>313</v>
      </c>
      <c r="J11" s="188" t="s">
        <v>16</v>
      </c>
      <c r="K11" s="109">
        <f>(K46*K12)/(1-EXP(-K12*K46))</f>
        <v>1.0056411929569626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(BW5/(BW8*(1/BW31)*BW15))*BW34*BW32*BW33</f>
        <v>2.7051276575955254E-4</v>
      </c>
      <c r="BX11" s="271" t="s">
        <v>313</v>
      </c>
      <c r="BY11" s="266" t="s">
        <v>23</v>
      </c>
      <c r="BZ11" s="109">
        <f>0.693/BZ12</f>
        <v>4.3312499999999997E-4</v>
      </c>
      <c r="CA11" s="88"/>
      <c r="CB11" s="249" t="s">
        <v>456</v>
      </c>
      <c r="CC11" s="287">
        <f>B3</f>
        <v>0.124</v>
      </c>
      <c r="CE11" s="249" t="s">
        <v>454</v>
      </c>
      <c r="CF11" s="287">
        <f>B6</f>
        <v>5.8099999999999999E-2</v>
      </c>
      <c r="CH11" s="249" t="s">
        <v>460</v>
      </c>
      <c r="CI11" s="287">
        <f>B10</f>
        <v>0.10100000000000001</v>
      </c>
      <c r="CK11" s="266" t="s">
        <v>270</v>
      </c>
      <c r="CL11" s="287">
        <f>B31</f>
        <v>1600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1.0086875128436219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4.3312499999999997E-4</v>
      </c>
      <c r="DC11" s="262" t="s">
        <v>382</v>
      </c>
      <c r="DD11" s="297">
        <f>B141</f>
        <v>41.7</v>
      </c>
      <c r="DE11" s="267" t="s">
        <v>254</v>
      </c>
      <c r="DF11" s="267" t="s">
        <v>55</v>
      </c>
      <c r="DG11" s="288">
        <f>DG19+DG20</f>
        <v>2.8186643835616437E-5</v>
      </c>
      <c r="DL11" s="267"/>
      <c r="DO11" s="267" t="s">
        <v>55</v>
      </c>
      <c r="DP11" s="288">
        <f>DP19+DP20</f>
        <v>2.8186643835616437E-5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3.44E-2</v>
      </c>
      <c r="C12" s="241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(H5/(H8*(1/H45)*H21))*H70*H68*H69</f>
        <v>8.6418724317026128E-5</v>
      </c>
      <c r="I12" s="271" t="s">
        <v>313</v>
      </c>
      <c r="J12" s="266" t="s">
        <v>23</v>
      </c>
      <c r="K12" s="109">
        <f>0.693/K13</f>
        <v>4.3312499999999997E-4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1600</v>
      </c>
      <c r="CA12" s="88" t="s">
        <v>69</v>
      </c>
      <c r="CB12" s="249" t="s">
        <v>457</v>
      </c>
      <c r="CC12" s="287">
        <f>B4</f>
        <v>0.79200000000000004</v>
      </c>
      <c r="CE12" s="249" t="s">
        <v>455</v>
      </c>
      <c r="CF12" s="287">
        <f>B7</f>
        <v>0.624</v>
      </c>
      <c r="CH12" s="249" t="s">
        <v>461</v>
      </c>
      <c r="CI12" s="287">
        <f>B11</f>
        <v>0.751</v>
      </c>
      <c r="CK12" s="249" t="s">
        <v>23</v>
      </c>
      <c r="CL12" s="288">
        <f>693/CL11</f>
        <v>0.43312499999999998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4.3312499999999997E-4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1600</v>
      </c>
      <c r="DB12" s="249" t="s">
        <v>69</v>
      </c>
      <c r="DC12" s="262" t="s">
        <v>383</v>
      </c>
      <c r="DD12" s="297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0.45600000000000002</v>
      </c>
      <c r="C13" s="242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>
        <f>(H14/((1/H42)*(H50+H51+H52)))</f>
        <v>2.3954419848377543E-10</v>
      </c>
      <c r="I13" s="271" t="s">
        <v>313</v>
      </c>
      <c r="J13" s="266" t="s">
        <v>270</v>
      </c>
      <c r="K13" s="189">
        <f>B31</f>
        <v>1600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0.124</v>
      </c>
      <c r="BM13" s="249" t="s">
        <v>454</v>
      </c>
      <c r="BN13" s="287">
        <f>B6</f>
        <v>5.8099999999999999E-2</v>
      </c>
      <c r="BP13" s="249" t="s">
        <v>460</v>
      </c>
      <c r="BQ13" s="287">
        <f>B10</f>
        <v>0.10100000000000001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>
        <f>((BZ5/(BZ6*BZ16*(1/BZ36)))*BZ10)*BZ12*BZ37*BZ38</f>
        <v>6.2656401999031747E-6</v>
      </c>
      <c r="CA13" s="271" t="s">
        <v>311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11.261394841645959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1600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>
        <f>(DA5/(DA6*DA23))*DA12*DA50*DA51</f>
        <v>8.3827737708201561E-8</v>
      </c>
      <c r="DB13" s="266" t="s">
        <v>313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>
        <f>(H5/(H9*(H22+H25)*H43))*H70*H68*H69</f>
        <v>3.2110136703290401E-12</v>
      </c>
      <c r="I14" s="271" t="s">
        <v>311</v>
      </c>
      <c r="J14" s="266" t="s">
        <v>80</v>
      </c>
      <c r="K14" s="294">
        <f>((K5/(K6*K19*(1/K49)))*K11)*K13*K54*K55</f>
        <v>1.3426371856935374E-6</v>
      </c>
      <c r="L14" s="271" t="s">
        <v>311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7.7413948559999998E-9</v>
      </c>
      <c r="X14" s="262" t="s">
        <v>64</v>
      </c>
      <c r="Y14" s="262" t="s">
        <v>63</v>
      </c>
      <c r="Z14" s="287">
        <f>B28</f>
        <v>7.7413948559999998E-9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0.79200000000000004</v>
      </c>
      <c r="BM14" s="249" t="s">
        <v>455</v>
      </c>
      <c r="BN14" s="287">
        <f>B7</f>
        <v>0.624</v>
      </c>
      <c r="BP14" s="249" t="s">
        <v>461</v>
      </c>
      <c r="BQ14" s="287">
        <f>B11</f>
        <v>0.751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((BZ5/(BZ7*BZ17*(1/BZ9)*BZ35))*BZ10)*BZ12*BZ37*BZ38</f>
        <v>3.410553906104636E-2</v>
      </c>
      <c r="CA14" s="271" t="s">
        <v>311</v>
      </c>
      <c r="CB14" s="249" t="s">
        <v>71</v>
      </c>
      <c r="CC14" s="290">
        <f>B23</f>
        <v>8.3719157040000005E-6</v>
      </c>
      <c r="CD14" s="263" t="s">
        <v>72</v>
      </c>
      <c r="CE14" s="249" t="s">
        <v>71</v>
      </c>
      <c r="CF14" s="290">
        <f>B25</f>
        <v>1.5599552831999999E-6</v>
      </c>
      <c r="CG14" s="263" t="s">
        <v>72</v>
      </c>
      <c r="CH14" s="249" t="s">
        <v>71</v>
      </c>
      <c r="CI14" s="290">
        <f>B27</f>
        <v>7.0991976959999998E-6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((CU5/(CU6*CU24*(1/CU47)))*CU11)*CU13*CU48*CU49</f>
        <v>9.3683780481787065E-7</v>
      </c>
      <c r="CV14" s="271" t="s">
        <v>311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(DA5/(DA7*DA24*DA46))*DA12*DA50*DA51</f>
        <v>2.7694301931842224E-10</v>
      </c>
      <c r="DB14" s="266" t="s">
        <v>313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((K5/(K7*K20*(1/K10)*K48))*K11)*K13*K54*K55</f>
        <v>3.0451374161648542E-4</v>
      </c>
      <c r="L15" s="271" t="s">
        <v>311</v>
      </c>
      <c r="M15" s="249" t="s">
        <v>448</v>
      </c>
      <c r="N15" s="290">
        <f>B23</f>
        <v>8.3719157040000005E-6</v>
      </c>
      <c r="O15" s="263" t="s">
        <v>446</v>
      </c>
      <c r="P15" s="249" t="s">
        <v>449</v>
      </c>
      <c r="Q15" s="290">
        <f>B25</f>
        <v>1.5599552831999999E-6</v>
      </c>
      <c r="R15" s="263" t="s">
        <v>446</v>
      </c>
      <c r="S15" s="249" t="s">
        <v>453</v>
      </c>
      <c r="T15" s="290">
        <f>B27</f>
        <v>7.0991976959999998E-6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8.3719157040000005E-6</v>
      </c>
      <c r="AK15" s="263" t="s">
        <v>72</v>
      </c>
      <c r="AL15" s="262" t="s">
        <v>449</v>
      </c>
      <c r="AM15" s="290">
        <f>B25</f>
        <v>1.5599552831999999E-6</v>
      </c>
      <c r="AN15" s="263" t="s">
        <v>72</v>
      </c>
      <c r="AO15" s="262" t="s">
        <v>452</v>
      </c>
      <c r="AP15" s="290">
        <f>B27</f>
        <v>7.0991976959999998E-6</v>
      </c>
      <c r="AQ15" s="263" t="s">
        <v>72</v>
      </c>
      <c r="AR15" s="249" t="s">
        <v>448</v>
      </c>
      <c r="AS15" s="290">
        <f>B23</f>
        <v>8.3719157040000005E-6</v>
      </c>
      <c r="AT15" s="263" t="s">
        <v>72</v>
      </c>
      <c r="AU15" s="262" t="s">
        <v>449</v>
      </c>
      <c r="AV15" s="290">
        <f>B25</f>
        <v>1.5599552831999999E-6</v>
      </c>
      <c r="AW15" s="263" t="s">
        <v>72</v>
      </c>
      <c r="AX15" s="262" t="s">
        <v>452</v>
      </c>
      <c r="AY15" s="290">
        <f>B27</f>
        <v>7.0991976959999998E-6</v>
      </c>
      <c r="AZ15" s="263" t="s">
        <v>72</v>
      </c>
      <c r="BA15" s="249" t="s">
        <v>448</v>
      </c>
      <c r="BB15" s="290">
        <f>B23</f>
        <v>8.3719157040000005E-6</v>
      </c>
      <c r="BC15" s="263" t="s">
        <v>72</v>
      </c>
      <c r="BD15" s="262" t="s">
        <v>449</v>
      </c>
      <c r="BE15" s="290">
        <f>B25</f>
        <v>1.5599552831999999E-6</v>
      </c>
      <c r="BF15" s="263" t="s">
        <v>72</v>
      </c>
      <c r="BG15" s="262" t="s">
        <v>452</v>
      </c>
      <c r="BH15" s="290">
        <f>B27</f>
        <v>7.0991976959999998E-6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(((BZ5)/(BZ8*BZ22*(1/BZ34)*BZ25*BZ28*(1/24)*BZ31*BZ32))*BZ10)*BZ12*BZ37*BZ38</f>
        <v>5.5632335052888969E-6</v>
      </c>
      <c r="CA15" s="271" t="s">
        <v>311</v>
      </c>
      <c r="CB15" s="95" t="s">
        <v>315</v>
      </c>
      <c r="CC15" s="289">
        <f>B293</f>
        <v>226</v>
      </c>
      <c r="CD15" s="249" t="s">
        <v>309</v>
      </c>
      <c r="CE15" s="95" t="s">
        <v>315</v>
      </c>
      <c r="CF15" s="289">
        <f>B293</f>
        <v>226</v>
      </c>
      <c r="CG15" s="249" t="s">
        <v>309</v>
      </c>
      <c r="CH15" s="95" t="s">
        <v>315</v>
      </c>
      <c r="CI15" s="289">
        <f>B293</f>
        <v>226</v>
      </c>
      <c r="CJ15" s="249" t="s">
        <v>309</v>
      </c>
      <c r="CK15" s="267" t="s">
        <v>310</v>
      </c>
      <c r="CL15" s="289">
        <f>B294</f>
        <v>2.8000000000000002E-12</v>
      </c>
      <c r="CT15" s="266" t="s">
        <v>74</v>
      </c>
      <c r="CU15" s="295">
        <f>((CU5/(CU7*CU25*(1/CU10)*CU46))*CU11)*CU13*CU48*CU49</f>
        <v>1.8986573612848282E-4</v>
      </c>
      <c r="CV15" s="271" t="s">
        <v>311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(DA5/(DA8*DA25*(DA47/DA48)))*DA12*DA50*DA51</f>
        <v>5.5045381741743463E-2</v>
      </c>
      <c r="DB15" s="266" t="s">
        <v>313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95" t="s">
        <v>315</v>
      </c>
      <c r="HE15" s="292">
        <f>B293</f>
        <v>226</v>
      </c>
      <c r="HF15" s="249" t="s">
        <v>309</v>
      </c>
    </row>
    <row r="16" spans="1:214" x14ac:dyDescent="0.2">
      <c r="A16" s="585"/>
      <c r="B16" s="586"/>
      <c r="C16" s="6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((K5/(K8*K45*((K40*K44*(1/24))+(K41*K43*(1/24)))*K32*(1/K47)*K34))*K11)*K13*K54*K55</f>
        <v>1.4074324975460903E-8</v>
      </c>
      <c r="L16" s="271" t="s">
        <v>311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((W5)/((W11/W12)*W8*W9*W10*W13))*W7*W20*W21</f>
        <v>3.1879218668209493E-13</v>
      </c>
      <c r="X16" s="88" t="s">
        <v>15</v>
      </c>
      <c r="Y16" s="88" t="s">
        <v>74</v>
      </c>
      <c r="Z16" s="294">
        <f>((Z5)/((Z11/Z12)*Z8*Z9*Z10*Z13))*Z7*Z20*Z21</f>
        <v>2.8691296801388547E-13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0.124</v>
      </c>
      <c r="AG16" s="305">
        <f>B3</f>
        <v>0.124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8.3719157040000005E-6</v>
      </c>
      <c r="BL16" s="263" t="s">
        <v>72</v>
      </c>
      <c r="BM16" s="262" t="s">
        <v>449</v>
      </c>
      <c r="BN16" s="290">
        <f>B25</f>
        <v>1.5599552831999999E-6</v>
      </c>
      <c r="BO16" s="263" t="s">
        <v>72</v>
      </c>
      <c r="BP16" s="262" t="s">
        <v>452</v>
      </c>
      <c r="BQ16" s="290">
        <f>B27</f>
        <v>7.0991976959999998E-6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7" t="s">
        <v>310</v>
      </c>
      <c r="CC16" s="293">
        <f>B294</f>
        <v>2.8000000000000002E-12</v>
      </c>
      <c r="CD16" s="262"/>
      <c r="CE16" s="267" t="s">
        <v>310</v>
      </c>
      <c r="CF16" s="293">
        <f>B294</f>
        <v>2.8000000000000002E-12</v>
      </c>
      <c r="CG16" s="262"/>
      <c r="CH16" s="267" t="s">
        <v>310</v>
      </c>
      <c r="CI16" s="289">
        <f>B294</f>
        <v>2.8000000000000002E-12</v>
      </c>
      <c r="CK16" s="267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((CU5*CU44*CU12)/((1-EXP(-CU12*CU44))*CU8*CU31*(1/365)*CU32*((CU38*(1/24)*CU42)+(CU39*(1/24)*CU41))*CU43))*CU13*CU48*CU49</f>
        <v>4.7201094906903382E-9</v>
      </c>
      <c r="CV16" s="271" t="s">
        <v>311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>
        <f>DG2</f>
        <v>3.8342218652024843E-8</v>
      </c>
      <c r="DB16" s="266" t="s">
        <v>313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4.9501186643835612E-2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4.9501186643835612E-2</v>
      </c>
      <c r="DQ16" s="262" t="s">
        <v>82</v>
      </c>
      <c r="DR16" s="267" t="s">
        <v>400</v>
      </c>
      <c r="DS16" s="297">
        <f>B175</f>
        <v>1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4.9501186643835612E-2</v>
      </c>
      <c r="EF16" s="262" t="s">
        <v>82</v>
      </c>
      <c r="EG16" s="267" t="s">
        <v>401</v>
      </c>
      <c r="EH16" s="297">
        <f>B176</f>
        <v>1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4.9501186643835612E-2</v>
      </c>
      <c r="EU16" s="262" t="s">
        <v>82</v>
      </c>
      <c r="EV16" s="267" t="s">
        <v>402</v>
      </c>
      <c r="EW16" s="297">
        <f>B177</f>
        <v>1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4.9501186643835612E-2</v>
      </c>
      <c r="FJ16" s="262" t="s">
        <v>82</v>
      </c>
      <c r="FK16" s="267" t="s">
        <v>403</v>
      </c>
      <c r="FL16" s="297">
        <f>B178</f>
        <v>1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4.9501186643835612E-2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4.9501186643835612E-2</v>
      </c>
      <c r="HC16" s="262" t="s">
        <v>82</v>
      </c>
      <c r="HD16" s="267" t="s">
        <v>310</v>
      </c>
      <c r="HE16" s="292">
        <f>B295</f>
        <v>2.8000000000000001E-15</v>
      </c>
      <c r="HF16" s="267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>
        <f>(K18/(K50+K51))*K11</f>
        <v>1.1751255933734162E-8</v>
      </c>
      <c r="L17" s="271" t="s">
        <v>311</v>
      </c>
      <c r="M17" s="95" t="s">
        <v>315</v>
      </c>
      <c r="N17" s="293">
        <f>B293</f>
        <v>226</v>
      </c>
      <c r="O17" s="249" t="s">
        <v>309</v>
      </c>
      <c r="P17" s="95" t="s">
        <v>315</v>
      </c>
      <c r="Q17" s="293">
        <f>B293</f>
        <v>226</v>
      </c>
      <c r="R17" s="249" t="s">
        <v>309</v>
      </c>
      <c r="S17" s="95" t="s">
        <v>315</v>
      </c>
      <c r="T17" s="293">
        <f>B293</f>
        <v>226</v>
      </c>
      <c r="U17" s="249" t="s">
        <v>309</v>
      </c>
      <c r="V17" s="88" t="s">
        <v>78</v>
      </c>
      <c r="W17" s="296">
        <f>((W5)/((W11/W12)*W8*W9*W14*(1/365)))*W7*W20*W21</f>
        <v>2.5460025012663774E-8</v>
      </c>
      <c r="X17" s="88" t="s">
        <v>15</v>
      </c>
      <c r="Y17" s="88" t="s">
        <v>78</v>
      </c>
      <c r="Z17" s="296">
        <f>((Z5)/((Z11/Z12)*Z8*Z9*Z14*(1/365)))*Z7*Z20*Z21</f>
        <v>2.2914022511397402E-8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95" t="s">
        <v>315</v>
      </c>
      <c r="AJ17" s="293">
        <f>B293</f>
        <v>226</v>
      </c>
      <c r="AK17" s="249" t="s">
        <v>309</v>
      </c>
      <c r="AL17" s="95" t="s">
        <v>315</v>
      </c>
      <c r="AM17" s="293">
        <f>B293</f>
        <v>226</v>
      </c>
      <c r="AN17" s="249" t="s">
        <v>309</v>
      </c>
      <c r="AO17" s="95" t="s">
        <v>315</v>
      </c>
      <c r="AP17" s="293">
        <f>B293</f>
        <v>226</v>
      </c>
      <c r="AQ17" s="249" t="s">
        <v>309</v>
      </c>
      <c r="AR17" s="95" t="s">
        <v>315</v>
      </c>
      <c r="AS17" s="293">
        <f>B293</f>
        <v>226</v>
      </c>
      <c r="AT17" s="249" t="s">
        <v>309</v>
      </c>
      <c r="AU17" s="95" t="s">
        <v>315</v>
      </c>
      <c r="AV17" s="293">
        <f>B293</f>
        <v>226</v>
      </c>
      <c r="AW17" s="249" t="s">
        <v>309</v>
      </c>
      <c r="AX17" s="95" t="s">
        <v>315</v>
      </c>
      <c r="AY17" s="293">
        <f>B293</f>
        <v>226</v>
      </c>
      <c r="AZ17" s="249" t="s">
        <v>309</v>
      </c>
      <c r="BA17" s="95" t="s">
        <v>315</v>
      </c>
      <c r="BB17" s="293">
        <f>B293</f>
        <v>226</v>
      </c>
      <c r="BC17" s="249" t="s">
        <v>309</v>
      </c>
      <c r="BD17" s="95" t="s">
        <v>315</v>
      </c>
      <c r="BE17" s="293">
        <f>B293</f>
        <v>226</v>
      </c>
      <c r="BF17" s="249" t="s">
        <v>309</v>
      </c>
      <c r="BG17" s="95" t="s">
        <v>315</v>
      </c>
      <c r="BH17" s="293">
        <f>B293</f>
        <v>226</v>
      </c>
      <c r="BI17" s="249" t="s">
        <v>309</v>
      </c>
      <c r="BJ17" s="95" t="s">
        <v>315</v>
      </c>
      <c r="BK17" s="293">
        <f>B293</f>
        <v>226</v>
      </c>
      <c r="BL17" s="249" t="s">
        <v>309</v>
      </c>
      <c r="BM17" s="95" t="s">
        <v>315</v>
      </c>
      <c r="BN17" s="293">
        <f>B293</f>
        <v>226</v>
      </c>
      <c r="BO17" s="249" t="s">
        <v>309</v>
      </c>
      <c r="BP17" s="95" t="s">
        <v>315</v>
      </c>
      <c r="BQ17" s="293">
        <f>B293</f>
        <v>226</v>
      </c>
      <c r="BR17" s="249" t="s">
        <v>309</v>
      </c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1.8866418212329295E-9</v>
      </c>
      <c r="CV17" s="271" t="s">
        <v>311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4.3312499999999997E-4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7.7413948559999998E-9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>
        <f>(K5/(K9*(K25+K28)*K39))*K13*K54*K55</f>
        <v>3.2110136703290401E-9</v>
      </c>
      <c r="L18" s="271" t="s">
        <v>311</v>
      </c>
      <c r="M18" s="267" t="s">
        <v>310</v>
      </c>
      <c r="N18" s="289">
        <f>B294</f>
        <v>2.8000000000000002E-12</v>
      </c>
      <c r="P18" s="267" t="s">
        <v>310</v>
      </c>
      <c r="Q18" s="289">
        <f>B294</f>
        <v>2.8000000000000002E-12</v>
      </c>
      <c r="S18" s="267" t="s">
        <v>310</v>
      </c>
      <c r="T18" s="289">
        <f>B294</f>
        <v>2.8000000000000002E-12</v>
      </c>
      <c r="V18" s="88" t="s">
        <v>74</v>
      </c>
      <c r="W18" s="294">
        <f>((W5*W6*W9)/((W11/W12)*(1-EXP(-W6*W9))*W10*W13*W8*W9))*W7*W20*W21</f>
        <v>3.2052126231914027E-13</v>
      </c>
      <c r="X18" s="88" t="s">
        <v>16</v>
      </c>
      <c r="Y18" s="88" t="s">
        <v>74</v>
      </c>
      <c r="Z18" s="294">
        <f>((Z5*Z6*Z9)/((Z11/Z12)*(1-EXP(-Z6*Z9))*Z10*Z13*Z8*Z9))*Z7*Z20*Z21</f>
        <v>2.8846913608722619E-13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AI18" s="267" t="s">
        <v>310</v>
      </c>
      <c r="AJ18" s="289">
        <f>B294</f>
        <v>2.8000000000000002E-12</v>
      </c>
      <c r="AL18" s="267" t="s">
        <v>310</v>
      </c>
      <c r="AM18" s="289">
        <f>B294</f>
        <v>2.8000000000000002E-12</v>
      </c>
      <c r="AO18" s="267" t="s">
        <v>310</v>
      </c>
      <c r="AP18" s="289">
        <f>B294</f>
        <v>2.8000000000000002E-12</v>
      </c>
      <c r="AR18" s="267" t="s">
        <v>310</v>
      </c>
      <c r="AS18" s="289">
        <f>B294</f>
        <v>2.8000000000000002E-12</v>
      </c>
      <c r="AU18" s="267" t="s">
        <v>310</v>
      </c>
      <c r="AV18" s="289">
        <f>B294</f>
        <v>2.8000000000000002E-12</v>
      </c>
      <c r="AX18" s="267" t="s">
        <v>310</v>
      </c>
      <c r="AY18" s="289">
        <f>B294</f>
        <v>2.8000000000000002E-12</v>
      </c>
      <c r="BA18" s="267" t="s">
        <v>310</v>
      </c>
      <c r="BB18" s="289">
        <f>B294</f>
        <v>2.8000000000000002E-12</v>
      </c>
      <c r="BD18" s="267" t="s">
        <v>310</v>
      </c>
      <c r="BE18" s="289">
        <f>B294</f>
        <v>2.8000000000000002E-12</v>
      </c>
      <c r="BG18" s="267" t="s">
        <v>310</v>
      </c>
      <c r="BH18" s="289">
        <f>B294</f>
        <v>2.8000000000000002E-12</v>
      </c>
      <c r="BJ18" s="267" t="s">
        <v>310</v>
      </c>
      <c r="BK18" s="289">
        <f>B294</f>
        <v>2.8000000000000002E-12</v>
      </c>
      <c r="BM18" s="267" t="s">
        <v>310</v>
      </c>
      <c r="BN18" s="289">
        <f>B294</f>
        <v>2.8000000000000002E-12</v>
      </c>
      <c r="BP18" s="267" t="s">
        <v>310</v>
      </c>
      <c r="BQ18" s="289">
        <f>B294</f>
        <v>2.8000000000000002E-12</v>
      </c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311</v>
      </c>
      <c r="CW18" s="266" t="s">
        <v>63</v>
      </c>
      <c r="CX18" s="189">
        <f>B28</f>
        <v>7.7413948559999998E-9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4.3312499999999997E-4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4.3312499999999997E-4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4.3312499999999997E-4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4.3312499999999997E-4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4.3312499999999997E-4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1600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2.8231E-8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((W5*W6*W9)/((W11/W12)*(1-EXP(-W6*W9))*W14*W8*W9*(1/365)))*W7*W20*W21</f>
        <v>2.5598115940882982E-8</v>
      </c>
      <c r="X19" s="88" t="s">
        <v>16</v>
      </c>
      <c r="Y19" s="88" t="s">
        <v>78</v>
      </c>
      <c r="Z19" s="296">
        <f>((Z5*Z6*Z9)/((Z11/Z12)*(1-EXP(-Z6*Z9))*Z14*Z8*Z9*(1/365)))*Z7*Z20*Z21</f>
        <v>2.3038304346794686E-8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0.79200000000000004</v>
      </c>
      <c r="AG19" s="305">
        <f>B4</f>
        <v>0.79200000000000004</v>
      </c>
      <c r="AH19" s="267"/>
      <c r="BS19" s="262" t="s">
        <v>63</v>
      </c>
      <c r="BT19" s="287">
        <f>E18</f>
        <v>7.7413948559999998E-9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((CC22*CC23*CC24)/((1-EXP(-CC24*CC23))*CC27*CC31*(CC26/365)*CC29*(CC30/24)*CC28))*CC25*CC32*CC33</f>
        <v>1.920996943332953E-4</v>
      </c>
      <c r="CD19" s="404" t="s">
        <v>314</v>
      </c>
      <c r="CE19" s="402" t="s">
        <v>562</v>
      </c>
      <c r="CF19" s="400">
        <f>((CF22*CF23*CF24)/((1-EXP(-CF24*CF23))*CF27*CF31*(CF26/365)*CF29*(CF30/24)*CF28))*CF25*CF32*CF33</f>
        <v>2.0262070597131575E-5</v>
      </c>
      <c r="CG19" s="398" t="s">
        <v>311</v>
      </c>
      <c r="CK19" s="410" t="s">
        <v>510</v>
      </c>
      <c r="CL19" s="400">
        <f>(CL22/(CL23*CL24*CL25*CL26))*CL28*CL27*CL32</f>
        <v>1.0095673980566067E-6</v>
      </c>
      <c r="CM19" s="404" t="s">
        <v>311</v>
      </c>
      <c r="CN19" s="402" t="s">
        <v>7</v>
      </c>
      <c r="CO19" s="400">
        <f>(CL19/(CO22*((CO27*CO29*CO30*(CO23+CO24))+(CO28*CO29))))*CL30</f>
        <v>5.278395974171784E-3</v>
      </c>
      <c r="CP19" s="412" t="s">
        <v>311</v>
      </c>
      <c r="CQ19" s="402" t="s">
        <v>6</v>
      </c>
      <c r="CR19" s="400">
        <f>CL19/(CR22*CR23*(1/CR24))</f>
        <v>0.59386317532741573</v>
      </c>
      <c r="CS19" s="415" t="s">
        <v>313</v>
      </c>
      <c r="CT19" s="266" t="s">
        <v>258</v>
      </c>
      <c r="CU19" s="295" t="e">
        <f>GV2</f>
        <v>#DIV/0!</v>
      </c>
      <c r="CV19" s="271" t="s">
        <v>311</v>
      </c>
      <c r="CW19" s="266" t="s">
        <v>255</v>
      </c>
      <c r="CX19" s="304">
        <f>B173</f>
        <v>1</v>
      </c>
      <c r="CY19" s="88"/>
      <c r="CZ19" s="266" t="s">
        <v>184</v>
      </c>
      <c r="DA19" s="295">
        <f>EK2</f>
        <v>9.9208062376306004E-6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1600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1600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1600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1600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1600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315</v>
      </c>
      <c r="GP19" s="292">
        <f>B293</f>
        <v>226</v>
      </c>
      <c r="GQ19" s="249" t="s">
        <v>309</v>
      </c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3.8480000000000001E-10</v>
      </c>
      <c r="C20" s="263" t="s">
        <v>35</v>
      </c>
      <c r="D20" s="88" t="s">
        <v>74</v>
      </c>
      <c r="E20" s="294">
        <f>((E5)/(E10*E11))*E7*E26*E27</f>
        <v>2.2275851553873098E-13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315</v>
      </c>
      <c r="W20" s="289">
        <f>B293</f>
        <v>226</v>
      </c>
      <c r="X20" s="249" t="s">
        <v>309</v>
      </c>
      <c r="Y20" s="95" t="s">
        <v>315</v>
      </c>
      <c r="Z20" s="289">
        <f>B293</f>
        <v>226</v>
      </c>
      <c r="AA20" s="249" t="s">
        <v>309</v>
      </c>
      <c r="AB20" s="262" t="s">
        <v>71</v>
      </c>
      <c r="AC20" s="287">
        <f>B23</f>
        <v>8.3719157040000005E-6</v>
      </c>
      <c r="AD20" s="287">
        <f>B23</f>
        <v>8.3719157040000005E-6</v>
      </c>
      <c r="AE20" s="287">
        <f>B23</f>
        <v>8.3719157040000005E-6</v>
      </c>
      <c r="AF20" s="287">
        <f>B23</f>
        <v>8.3719157040000005E-6</v>
      </c>
      <c r="AG20" s="287">
        <f>B23</f>
        <v>8.3719157040000005E-6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1.456026202701024E-7</v>
      </c>
      <c r="CV20" s="271" t="s">
        <v>311</v>
      </c>
      <c r="CW20" s="88" t="s">
        <v>74</v>
      </c>
      <c r="CX20" s="294">
        <f>((CX5)/((CX14/CX15)*CX10*CX11))*CX7*CX26*CX27</f>
        <v>1.3847150965921111E-13</v>
      </c>
      <c r="CY20" s="88" t="s">
        <v>15</v>
      </c>
      <c r="CZ20" s="266" t="s">
        <v>493</v>
      </c>
      <c r="DA20" s="295">
        <f>DV2</f>
        <v>9.6082445804799349E-6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1.1866438356164383E-6</v>
      </c>
      <c r="DH20" s="249" t="s">
        <v>82</v>
      </c>
      <c r="DL20" s="267"/>
      <c r="DO20" s="267" t="s">
        <v>90</v>
      </c>
      <c r="DP20" s="288">
        <f>0.693/B35</f>
        <v>1.1866438356164383E-6</v>
      </c>
      <c r="DQ20" s="249" t="s">
        <v>82</v>
      </c>
      <c r="DR20" s="95" t="s">
        <v>315</v>
      </c>
      <c r="DS20" s="289">
        <f>B293</f>
        <v>226</v>
      </c>
      <c r="DT20" s="249" t="s">
        <v>309</v>
      </c>
      <c r="DU20" s="267"/>
      <c r="EA20" s="267"/>
      <c r="EB20" s="307"/>
      <c r="EC20" s="263"/>
      <c r="ED20" s="267" t="s">
        <v>90</v>
      </c>
      <c r="EE20" s="299">
        <f>0.693/B35</f>
        <v>1.1866438356164383E-6</v>
      </c>
      <c r="EF20" s="263" t="s">
        <v>82</v>
      </c>
      <c r="EG20" s="249" t="s">
        <v>315</v>
      </c>
      <c r="EH20" s="297">
        <f>B293</f>
        <v>226</v>
      </c>
      <c r="EI20" s="249" t="s">
        <v>309</v>
      </c>
      <c r="EJ20" s="267"/>
      <c r="EP20" s="267"/>
      <c r="EQ20" s="307"/>
      <c r="ER20" s="263"/>
      <c r="ES20" s="267" t="s">
        <v>90</v>
      </c>
      <c r="ET20" s="299">
        <f>0.693/B35</f>
        <v>1.1866438356164383E-6</v>
      </c>
      <c r="EU20" s="263" t="s">
        <v>82</v>
      </c>
      <c r="EV20" s="95" t="s">
        <v>315</v>
      </c>
      <c r="EW20" s="297">
        <f>B293</f>
        <v>226</v>
      </c>
      <c r="EX20" s="249" t="s">
        <v>309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1.1866438356164383E-6</v>
      </c>
      <c r="FJ20" s="263" t="s">
        <v>82</v>
      </c>
      <c r="FK20" s="95" t="s">
        <v>315</v>
      </c>
      <c r="FL20" s="297">
        <f>B293</f>
        <v>226</v>
      </c>
      <c r="FM20" s="249" t="s">
        <v>309</v>
      </c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315</v>
      </c>
      <c r="GA20" s="292">
        <f>B293</f>
        <v>226</v>
      </c>
      <c r="GB20" s="249" t="s">
        <v>309</v>
      </c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1.1866438356164383E-6</v>
      </c>
      <c r="GN20" s="263" t="s">
        <v>82</v>
      </c>
      <c r="GO20" s="267" t="s">
        <v>310</v>
      </c>
      <c r="GP20" s="292">
        <f>B294</f>
        <v>2.8000000000000002E-12</v>
      </c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1.1866438356164383E-6</v>
      </c>
      <c r="HC20" s="263" t="s">
        <v>82</v>
      </c>
    </row>
    <row r="21" spans="1:214" ht="15" thickTop="1" thickBot="1" x14ac:dyDescent="0.25">
      <c r="A21" s="262" t="s">
        <v>316</v>
      </c>
      <c r="B21" s="315">
        <v>6.7709999999999997E-10</v>
      </c>
      <c r="C21" s="262" t="s">
        <v>35</v>
      </c>
      <c r="D21" s="88" t="s">
        <v>78</v>
      </c>
      <c r="E21" s="295">
        <f>((E5)/((E14/E15)*E8*E9*E18*(1/365)*E19))*E7*E26*E27</f>
        <v>5.2458842745873157E-9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((N24*N25*N26)/((1-EXP(-N26*N25))*N29*N34*(N28/365)*N32*(((N33/24)*N31)+((N35/24)*N30))))*N27*N36*N37</f>
        <v>7.7625315441580536E-8</v>
      </c>
      <c r="O21" s="637" t="s">
        <v>314</v>
      </c>
      <c r="P21" s="639" t="s">
        <v>516</v>
      </c>
      <c r="Q21" s="647">
        <f>((Q24*Q25*Q26)/((1-EXP(-Q26*Q25))*Q29*Q34*(Q28/365)*Q32*(((Q33/24)*Q31)+((Q35/24)*Q30))))*Q27*Q36*Q37</f>
        <v>2.6389359328989199E-8</v>
      </c>
      <c r="R21" s="643" t="s">
        <v>311</v>
      </c>
      <c r="V21" s="267" t="s">
        <v>310</v>
      </c>
      <c r="W21" s="289">
        <f>B295</f>
        <v>2.8000000000000001E-15</v>
      </c>
      <c r="Y21" s="267" t="s">
        <v>310</v>
      </c>
      <c r="Z21" s="289">
        <f>B295</f>
        <v>2.8000000000000001E-15</v>
      </c>
      <c r="AB21" s="262" t="s">
        <v>43</v>
      </c>
      <c r="AC21" s="290">
        <f>B19</f>
        <v>2.8231E-8</v>
      </c>
      <c r="AD21" s="290">
        <f>B19</f>
        <v>2.8231E-8</v>
      </c>
      <c r="AE21" s="290">
        <f>B19</f>
        <v>2.8231E-8</v>
      </c>
      <c r="AF21" s="290">
        <f>B19</f>
        <v>2.8231E-8</v>
      </c>
      <c r="AG21" s="290">
        <f>B19</f>
        <v>2.8231E-8</v>
      </c>
      <c r="AH21" s="263" t="s">
        <v>35</v>
      </c>
      <c r="AI21" s="381" t="s">
        <v>516</v>
      </c>
      <c r="AJ21" s="387">
        <f>((AJ24*AJ25*AJ26)/((1-EXP(-AJ26*AJ25))*AJ34*(AJ28/365)*AJ29*(AJ35/24)*AJ30*AJ32))*AJ27*AJ36*AJ37</f>
        <v>2.9373838042163223E-7</v>
      </c>
      <c r="AK21" s="629" t="s">
        <v>314</v>
      </c>
      <c r="AL21" s="383" t="s">
        <v>516</v>
      </c>
      <c r="AM21" s="387">
        <f>((AM24*AM25*AM26)/((1-EXP(-AM26*AM25))*AM34*(AM28/365)*AM29*(AM35/24)*AM30*AM32))*AM27*AM36*AM37</f>
        <v>9.9858759034550706E-8</v>
      </c>
      <c r="AN21" s="635" t="s">
        <v>311</v>
      </c>
      <c r="AR21" s="381" t="s">
        <v>516</v>
      </c>
      <c r="AS21" s="387">
        <f>((AS24*AS25*AS26)/((1-EXP(-AS26*AS25))*AS34*(AS28/365)*AS29*(AS33/24)*AS31*AS32))*AS27*AS36*AS37</f>
        <v>1.305503912985032E-7</v>
      </c>
      <c r="AT21" s="391" t="s">
        <v>314</v>
      </c>
      <c r="AU21" s="383" t="s">
        <v>516</v>
      </c>
      <c r="AV21" s="387">
        <f>((AV24*AV25*AV26)/((1-EXP(-AV26*AV25))*AV34*(AV28/365)*AV29*(AV33/24)*AV31*AV32))*AV27*AV36*AV37</f>
        <v>4.4381670682022539E-8</v>
      </c>
      <c r="AW21" s="385" t="s">
        <v>311</v>
      </c>
      <c r="BA21" s="381" t="s">
        <v>516</v>
      </c>
      <c r="BB21" s="387">
        <f>((BB24*BB25*BB26)/((1-EXP(-BB26*BB25))*BB34*(BB28/365)*BB29*((BB33+BB35)/24)*BB31*BB32))*BB27*BB36*BB37</f>
        <v>1.1749535216865289E-7</v>
      </c>
      <c r="BC21" s="391" t="s">
        <v>314</v>
      </c>
      <c r="BD21" s="383" t="s">
        <v>516</v>
      </c>
      <c r="BE21" s="387">
        <f>((BE24*BE25*BE26)/((1-EXP(-BE26*BE25))*BE34*(BE28/365)*BE29*((BE33+BE35)/24)*BE31*BE32))*BE27*BE36*BE37</f>
        <v>3.9943503613820286E-8</v>
      </c>
      <c r="BF21" s="385" t="s">
        <v>311</v>
      </c>
      <c r="BJ21" s="381" t="s">
        <v>561</v>
      </c>
      <c r="BK21" s="389">
        <f>((BK24*BK25*BK26)/((1-EXP(-BK26*BK25))*BK31*BK35*(BK28/365)*BK33*(BK34/24)*BK32))*BK27*BK36*BK37</f>
        <v>3.5824401189037136E-4</v>
      </c>
      <c r="BL21" s="391" t="s">
        <v>314</v>
      </c>
      <c r="BM21" s="383" t="s">
        <v>562</v>
      </c>
      <c r="BN21" s="389">
        <f>((BN24*BN25*BN26)/((1-EXP(-BN26*BN25))*BN31*BN35*(BN28/365)*BN33*(BN34/24)*BN32))*BN27*BN36*BN37</f>
        <v>3.7786449817709245E-5</v>
      </c>
      <c r="BO21" s="385" t="s">
        <v>311</v>
      </c>
      <c r="BS21" s="88" t="s">
        <v>74</v>
      </c>
      <c r="BT21" s="294">
        <f>((BT5)/(BT10*BT11))*BT7*BT29*BT30</f>
        <v>2.4948953740337862E-11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1.5319975640252423E-7</v>
      </c>
      <c r="CV21" s="271" t="s">
        <v>311</v>
      </c>
      <c r="CW21" s="88" t="s">
        <v>78</v>
      </c>
      <c r="CX21" s="296">
        <f>((CX5)/((CX14/CX15)*CX8*CX9*CX18*(1/365)*CX19))*CX7*CX26*CX27</f>
        <v>3.4098247784817554E-9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4.3312499999999997E-4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R21" s="267" t="s">
        <v>310</v>
      </c>
      <c r="DS21" s="289">
        <f>B294</f>
        <v>2.8000000000000002E-12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G21" s="267" t="s">
        <v>310</v>
      </c>
      <c r="EH21" s="289">
        <f>B294</f>
        <v>2.8000000000000002E-12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V21" s="267" t="s">
        <v>310</v>
      </c>
      <c r="EW21" s="289">
        <f>B294</f>
        <v>2.8000000000000002E-12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 t="s">
        <v>310</v>
      </c>
      <c r="FL21" s="292">
        <f>B294</f>
        <v>2.8000000000000002E-12</v>
      </c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FZ21" s="267" t="s">
        <v>310</v>
      </c>
      <c r="GA21" s="289">
        <f>B294</f>
        <v>2.8000000000000002E-12</v>
      </c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2.9489E-10</v>
      </c>
      <c r="C22" s="262" t="s">
        <v>35</v>
      </c>
      <c r="D22" s="88" t="s">
        <v>74</v>
      </c>
      <c r="E22" s="295">
        <f>((E5*E9*E6)/((1-EXP(-E6*E9))*E10*E11))*E7*E26*E27</f>
        <v>2.2401513930769148E-13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((BT5)/((BT14/24)*(BT8/365)*BT9*BT19*BT20))*BT7*BT29*BT30</f>
        <v>5.8753903875377942E-7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1.6999999999999999E-3</v>
      </c>
      <c r="CQ22" s="262" t="s">
        <v>265</v>
      </c>
      <c r="CR22" s="287">
        <f>CO22</f>
        <v>1.6999999999999999E-3</v>
      </c>
      <c r="CT22" s="266" t="s">
        <v>492</v>
      </c>
      <c r="CU22" s="295" t="e">
        <f>GG2</f>
        <v>#DIV/0!</v>
      </c>
      <c r="CV22" s="271" t="s">
        <v>311</v>
      </c>
      <c r="CW22" s="88" t="s">
        <v>74</v>
      </c>
      <c r="CX22" s="294">
        <f>((CX5*CX9*CX6)/((CX14/CX15)*(1-EXP(-CX6*CX9))*CX10*CX11))*CX7*CX26*CX27</f>
        <v>1.3967448267785123E-13</v>
      </c>
      <c r="CY22" s="88" t="s">
        <v>16</v>
      </c>
      <c r="CZ22" s="266" t="s">
        <v>183</v>
      </c>
      <c r="DA22" s="296">
        <f>FO2</f>
        <v>2.5658403794957393E-7</v>
      </c>
      <c r="DB22" s="88"/>
      <c r="DC22" s="266" t="s">
        <v>270</v>
      </c>
      <c r="DD22" s="287">
        <f>B31</f>
        <v>1600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8.3719157040000005E-6</v>
      </c>
      <c r="C23" s="262" t="s">
        <v>95</v>
      </c>
      <c r="D23" s="88" t="s">
        <v>78</v>
      </c>
      <c r="E23" s="296">
        <f>((E5*E9*E6)/((E14/E15)*E8*E9*(1-EXP(-E6*E9))*E18*(1/365)*E19))*E7*E26*E27</f>
        <v>5.2754773200101583E-9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((BT5*BT28*BT6)/((1-EXP(-BT6*BT28))*BT10*BT11))*BT7*BT29*BT30</f>
        <v>2.5089695602461447E-11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5.1429999999999997E-10</v>
      </c>
      <c r="CM23" s="266" t="s">
        <v>13</v>
      </c>
      <c r="CN23" s="249" t="s">
        <v>21</v>
      </c>
      <c r="CO23" s="290">
        <f>CO25</f>
        <v>1.7000000000000001E-2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2.5881311507472923E-10</v>
      </c>
      <c r="CV23" s="271" t="s">
        <v>311</v>
      </c>
      <c r="CW23" s="88" t="s">
        <v>78</v>
      </c>
      <c r="CX23" s="296">
        <f>((CX5*CX9*CX6)/((CX14/CX15)*CX8*CX9*(1-EXP(-CX6*CX9))*CX18*(1/365)*CX19))*CX7*CX26*CX27</f>
        <v>3.4394476750393157E-9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C23" s="95" t="s">
        <v>315</v>
      </c>
      <c r="DD23" s="297">
        <f>B293</f>
        <v>226</v>
      </c>
      <c r="DE23" s="249" t="s">
        <v>309</v>
      </c>
      <c r="DF23" s="262" t="s">
        <v>17</v>
      </c>
      <c r="DG23" s="287">
        <f>B35</f>
        <v>584000</v>
      </c>
      <c r="DH23" s="249" t="s">
        <v>257</v>
      </c>
      <c r="DO23" s="262" t="s">
        <v>20</v>
      </c>
      <c r="DP23" s="305">
        <f>DP25</f>
        <v>1.4789999999999999E-2</v>
      </c>
      <c r="EA23" s="262"/>
      <c r="EB23" s="293"/>
      <c r="EC23" s="263"/>
      <c r="ED23" s="262" t="s">
        <v>20</v>
      </c>
      <c r="EE23" s="305">
        <f>EE25</f>
        <v>1.7000000000000001E-2</v>
      </c>
      <c r="EF23" s="263"/>
      <c r="EP23" s="262"/>
      <c r="EQ23" s="293"/>
      <c r="ER23" s="263"/>
      <c r="ES23" s="262" t="s">
        <v>20</v>
      </c>
      <c r="ET23" s="305">
        <f>ET25</f>
        <v>1.7000000000000001E-2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1.4789999999999999E-2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1.4789999999999999E-2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1.4789999999999999E-2</v>
      </c>
      <c r="HC23" s="263"/>
      <c r="HD23" s="219" t="s">
        <v>574</v>
      </c>
      <c r="HE23" s="348">
        <f>((HE25*HE33*HE38*HE32*10^-3*HE31*HE27)/(HE30*HE41*(1-EXP(-HE27*HE31))))*HE28*HE15*HE16</f>
        <v>1.0704312341401523E-10</v>
      </c>
      <c r="HF23" s="252" t="s">
        <v>311</v>
      </c>
    </row>
    <row r="24" spans="1:214" ht="14.25" thickTop="1" thickBot="1" x14ac:dyDescent="0.25">
      <c r="A24" s="262" t="s">
        <v>450</v>
      </c>
      <c r="B24" s="315">
        <v>1.5179205599999999E-6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((BT5*BT28*BT6)/((BT14/24)*(BT8/365)*BT9*(1-EXP(-BT6*BT28))*BT19*BT20))*BT7*BT29*BT30</f>
        <v>5.9085345984113789E-7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4.3312499999999997E-4</v>
      </c>
      <c r="CE24" s="262" t="s">
        <v>23</v>
      </c>
      <c r="CF24" s="288">
        <f>0.693/CF25</f>
        <v>4.3312499999999997E-4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C24" s="267" t="s">
        <v>310</v>
      </c>
      <c r="DD24" s="289">
        <f>B294</f>
        <v>2.8000000000000002E-12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9.3725379288299089E-15</v>
      </c>
      <c r="HF24" s="75" t="s">
        <v>311</v>
      </c>
    </row>
    <row r="25" spans="1:214" ht="13.5" thickTop="1" x14ac:dyDescent="0.2">
      <c r="A25" s="262" t="s">
        <v>449</v>
      </c>
      <c r="B25" s="315">
        <v>1.5599552831999999E-6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2.884655241286687E-13</v>
      </c>
      <c r="X25" s="254" t="s">
        <v>312</v>
      </c>
      <c r="Y25" s="321" t="s">
        <v>16</v>
      </c>
      <c r="Z25" s="358">
        <f>1/((1/Z38)+(1/Z39))</f>
        <v>1.3796707396020732E-11</v>
      </c>
      <c r="AA25" s="255" t="s">
        <v>312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1600</v>
      </c>
      <c r="CD25" s="249" t="s">
        <v>69</v>
      </c>
      <c r="CE25" s="266" t="s">
        <v>270</v>
      </c>
      <c r="CF25" s="287">
        <f>B31</f>
        <v>1600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1.7000000000000001E-2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1.4789999999999999E-2</v>
      </c>
      <c r="EA25" s="262"/>
      <c r="EC25" s="263"/>
      <c r="ED25" s="262" t="s">
        <v>38</v>
      </c>
      <c r="EE25" s="287">
        <f>B45</f>
        <v>1.7000000000000001E-2</v>
      </c>
      <c r="EF25" s="263"/>
      <c r="EP25" s="262"/>
      <c r="ER25" s="263"/>
      <c r="ES25" s="263" t="s">
        <v>37</v>
      </c>
      <c r="ET25" s="287">
        <f>B45</f>
        <v>1.7000000000000001E-2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1.4789999999999999E-2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1.4789999999999999E-2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1.4789999999999999E-2</v>
      </c>
      <c r="HC25" s="263"/>
      <c r="HD25" s="265" t="s">
        <v>22</v>
      </c>
      <c r="HE25" s="292">
        <f>B47</f>
        <v>5</v>
      </c>
      <c r="HF25" s="262" t="s">
        <v>580</v>
      </c>
    </row>
    <row r="26" spans="1:214" ht="13.5" thickBot="1" x14ac:dyDescent="0.25">
      <c r="A26" s="262" t="s">
        <v>451</v>
      </c>
      <c r="B26" s="315">
        <v>4.4650217087999997E-6</v>
      </c>
      <c r="C26" s="262" t="s">
        <v>95</v>
      </c>
      <c r="D26" s="263" t="s">
        <v>315</v>
      </c>
      <c r="E26" s="289">
        <f>B293</f>
        <v>226</v>
      </c>
      <c r="F26" s="249" t="s">
        <v>309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4.3312499999999997E-4</v>
      </c>
      <c r="P26" s="262" t="s">
        <v>23</v>
      </c>
      <c r="Q26" s="288">
        <f>0.693/Q27</f>
        <v>4.3312499999999997E-4</v>
      </c>
      <c r="V26" s="320" t="s">
        <v>15</v>
      </c>
      <c r="W26" s="359">
        <f>1/((1/W38)+(1/W39))</f>
        <v>2.8690937554030533E-13</v>
      </c>
      <c r="X26" s="258" t="s">
        <v>312</v>
      </c>
      <c r="Y26" s="322" t="s">
        <v>15</v>
      </c>
      <c r="Z26" s="360">
        <f>1/((1/Z40)+(1/Z41))</f>
        <v>1.3793719977899293E-11</v>
      </c>
      <c r="AA26" s="259" t="s">
        <v>312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4.3312499999999997E-4</v>
      </c>
      <c r="AL26" s="262" t="s">
        <v>23</v>
      </c>
      <c r="AM26" s="288">
        <f>0.693/AM27</f>
        <v>4.3312499999999997E-4</v>
      </c>
      <c r="AR26" s="262" t="s">
        <v>23</v>
      </c>
      <c r="AS26" s="288">
        <f>0.693/AS27</f>
        <v>4.3312499999999997E-4</v>
      </c>
      <c r="AU26" s="262" t="s">
        <v>23</v>
      </c>
      <c r="AV26" s="288">
        <f>0.693/AV27</f>
        <v>4.3312499999999997E-4</v>
      </c>
      <c r="BA26" s="262" t="s">
        <v>23</v>
      </c>
      <c r="BB26" s="288">
        <f>0.693/BB27</f>
        <v>4.3312499999999997E-4</v>
      </c>
      <c r="BD26" s="262" t="s">
        <v>23</v>
      </c>
      <c r="BE26" s="288">
        <f>0.693/BE27</f>
        <v>4.3312499999999997E-4</v>
      </c>
      <c r="BJ26" s="262" t="s">
        <v>23</v>
      </c>
      <c r="BK26" s="288">
        <f>0.693/BK27</f>
        <v>4.3312499999999997E-4</v>
      </c>
      <c r="BM26" s="262" t="s">
        <v>23</v>
      </c>
      <c r="BN26" s="288">
        <f>0.693/BN27</f>
        <v>4.3312499999999997E-4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95" t="s">
        <v>315</v>
      </c>
      <c r="CX26" s="194">
        <f>B293</f>
        <v>226</v>
      </c>
      <c r="CY26" s="249" t="s">
        <v>309</v>
      </c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1.7000000000000001E-2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4.4325627371123791E-13</v>
      </c>
      <c r="HF26" s="262" t="s">
        <v>313</v>
      </c>
    </row>
    <row r="27" spans="1:214" ht="15" thickTop="1" x14ac:dyDescent="0.2">
      <c r="A27" s="262" t="s">
        <v>452</v>
      </c>
      <c r="B27" s="315">
        <v>7.0991976959999998E-6</v>
      </c>
      <c r="C27" s="262" t="s">
        <v>95</v>
      </c>
      <c r="D27" s="249" t="s">
        <v>310</v>
      </c>
      <c r="E27" s="289">
        <f>B295</f>
        <v>2.8000000000000001E-15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1600</v>
      </c>
      <c r="O27" s="249" t="s">
        <v>69</v>
      </c>
      <c r="P27" s="266" t="s">
        <v>270</v>
      </c>
      <c r="Q27" s="287">
        <f>B31</f>
        <v>1600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4.3312499999999997E-4</v>
      </c>
      <c r="AD27" s="288">
        <f>0.693/AD28</f>
        <v>4.3312499999999997E-4</v>
      </c>
      <c r="AE27" s="288">
        <f>0.693/AE28</f>
        <v>4.3312499999999997E-4</v>
      </c>
      <c r="AF27" s="288">
        <f>0.693/AF28</f>
        <v>4.3312499999999997E-4</v>
      </c>
      <c r="AG27" s="288">
        <f>0.693/AG28</f>
        <v>4.3312499999999997E-4</v>
      </c>
      <c r="AI27" s="266" t="s">
        <v>270</v>
      </c>
      <c r="AJ27" s="287">
        <f>B31</f>
        <v>1600</v>
      </c>
      <c r="AK27" s="249" t="s">
        <v>69</v>
      </c>
      <c r="AL27" s="266" t="s">
        <v>270</v>
      </c>
      <c r="AM27" s="287">
        <f>B31</f>
        <v>1600</v>
      </c>
      <c r="AN27" s="249" t="s">
        <v>69</v>
      </c>
      <c r="AR27" s="266" t="s">
        <v>270</v>
      </c>
      <c r="AS27" s="287">
        <f>B31</f>
        <v>1600</v>
      </c>
      <c r="AT27" s="249" t="s">
        <v>69</v>
      </c>
      <c r="AU27" s="266" t="s">
        <v>270</v>
      </c>
      <c r="AV27" s="287">
        <f>B31</f>
        <v>1600</v>
      </c>
      <c r="AW27" s="249" t="s">
        <v>69</v>
      </c>
      <c r="BA27" s="266" t="s">
        <v>270</v>
      </c>
      <c r="BB27" s="287">
        <f>B31</f>
        <v>1600</v>
      </c>
      <c r="BC27" s="249" t="s">
        <v>69</v>
      </c>
      <c r="BD27" s="266" t="s">
        <v>270</v>
      </c>
      <c r="BE27" s="287">
        <f>B31</f>
        <v>1600</v>
      </c>
      <c r="BF27" s="249" t="s">
        <v>69</v>
      </c>
      <c r="BJ27" s="266" t="s">
        <v>270</v>
      </c>
      <c r="BK27" s="287">
        <f>B31</f>
        <v>1600</v>
      </c>
      <c r="BL27" s="249" t="s">
        <v>69</v>
      </c>
      <c r="BM27" s="266" t="s">
        <v>270</v>
      </c>
      <c r="BN27" s="287">
        <f>B31</f>
        <v>1600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315</v>
      </c>
      <c r="CL27" s="289">
        <f>B293</f>
        <v>226</v>
      </c>
      <c r="CM27" s="249" t="s">
        <v>309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7" t="s">
        <v>310</v>
      </c>
      <c r="CX27" s="304">
        <f>B295</f>
        <v>2.8000000000000001E-15</v>
      </c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3.8000000000000002E-4</v>
      </c>
      <c r="EP27" s="262"/>
      <c r="EQ27" s="310"/>
      <c r="ES27" s="262" t="s">
        <v>275</v>
      </c>
      <c r="ET27" s="310">
        <f>B38</f>
        <v>1.6999999999999999E-3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4.3312499999999997E-4</v>
      </c>
    </row>
    <row r="28" spans="1:214" ht="15.75" thickBot="1" x14ac:dyDescent="0.25">
      <c r="A28" s="262" t="s">
        <v>63</v>
      </c>
      <c r="B28" s="315">
        <v>7.7413948559999998E-9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4.3312499999999997E-4</v>
      </c>
      <c r="Y28" s="262" t="s">
        <v>23</v>
      </c>
      <c r="Z28" s="288">
        <f>0.693/Z29</f>
        <v>4.3312499999999997E-4</v>
      </c>
      <c r="AB28" s="266" t="s">
        <v>270</v>
      </c>
      <c r="AC28" s="287">
        <f>B31</f>
        <v>1600</v>
      </c>
      <c r="AD28" s="287">
        <f>B31</f>
        <v>1600</v>
      </c>
      <c r="AE28" s="287">
        <f>B31</f>
        <v>1600</v>
      </c>
      <c r="AF28" s="287">
        <f>B31</f>
        <v>1600</v>
      </c>
      <c r="AG28" s="287">
        <f>B31</f>
        <v>1600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3.44E-2</v>
      </c>
      <c r="CE28" s="249" t="s">
        <v>458</v>
      </c>
      <c r="CF28" s="287">
        <f>B8</f>
        <v>6.8599999999999994E-2</v>
      </c>
      <c r="CK28" s="266" t="s">
        <v>270</v>
      </c>
      <c r="CL28" s="287">
        <f>B31</f>
        <v>1600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1600</v>
      </c>
      <c r="HF28" s="249" t="s">
        <v>69</v>
      </c>
    </row>
    <row r="29" spans="1:214" ht="18.75" thickTop="1" x14ac:dyDescent="0.2">
      <c r="A29" s="266" t="s">
        <v>161</v>
      </c>
      <c r="B29" s="315">
        <v>1.6813889280000001E-11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1600</v>
      </c>
      <c r="X29" s="249" t="s">
        <v>69</v>
      </c>
      <c r="Y29" s="266" t="s">
        <v>270</v>
      </c>
      <c r="Z29" s="287">
        <f>B31</f>
        <v>1600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95" t="s">
        <v>315</v>
      </c>
      <c r="BT29" s="313">
        <f>B293</f>
        <v>226</v>
      </c>
      <c r="BU29" s="249" t="s">
        <v>309</v>
      </c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0.45600000000000002</v>
      </c>
      <c r="CE29" s="249" t="s">
        <v>459</v>
      </c>
      <c r="CF29" s="287">
        <f>B9</f>
        <v>0.73699999999999999</v>
      </c>
      <c r="CK29" s="249" t="s">
        <v>23</v>
      </c>
      <c r="CL29" s="288">
        <f>693/CL28</f>
        <v>0.43312499999999998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5.1429999999999997E-10</v>
      </c>
      <c r="C30" s="267" t="s">
        <v>35</v>
      </c>
      <c r="D30" s="203" t="s">
        <v>510</v>
      </c>
      <c r="E30" s="204">
        <f>E37</f>
        <v>4.0062198335579633E-9</v>
      </c>
      <c r="F30" s="184" t="s">
        <v>311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288">
        <f>(AC26*AC27)/(1-EXP(-AC27*AC26))</f>
        <v>1.0054238331718262</v>
      </c>
      <c r="AD30" s="288">
        <f>(AD26*AD27)/(1-EXP(-AD27*AD26))</f>
        <v>1.0054238331718262</v>
      </c>
      <c r="AE30" s="288">
        <f>(AE26*AE27)/(1-EXP(-AE27*AE26))</f>
        <v>1.0054238331718262</v>
      </c>
      <c r="AF30" s="288">
        <f>(AF26*AF27)/(1-EXP(-AF27*AF26))</f>
        <v>1.0002165781331087</v>
      </c>
      <c r="AG30" s="288">
        <f>(AG26*AG27)/(1-EXP(-AG27*AG26))</f>
        <v>1.0002165781331087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7" t="s">
        <v>310</v>
      </c>
      <c r="BT30" s="137">
        <f>B295</f>
        <v>2.8000000000000001E-15</v>
      </c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11.261394841645959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315">
        <v>1600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0.124</v>
      </c>
      <c r="CB31" s="249" t="s">
        <v>71</v>
      </c>
      <c r="CC31" s="290">
        <f>B24</f>
        <v>1.5179205599999999E-6</v>
      </c>
      <c r="CD31" s="262" t="s">
        <v>282</v>
      </c>
      <c r="CE31" s="249" t="s">
        <v>71</v>
      </c>
      <c r="CF31" s="290">
        <f>B26</f>
        <v>4.4650217087999997E-6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2.8231E-8</v>
      </c>
      <c r="X32" s="263" t="s">
        <v>44</v>
      </c>
      <c r="Y32" s="249" t="s">
        <v>43</v>
      </c>
      <c r="Z32" s="290">
        <f>B19</f>
        <v>2.8231E-8</v>
      </c>
      <c r="AA32" s="263" t="s">
        <v>44</v>
      </c>
      <c r="AB32" s="266" t="s">
        <v>80</v>
      </c>
      <c r="AC32" s="294">
        <f>((AC5/(AC9*AC14*AC8*AC11*(1/AC6)))*AC30)*AC28*AC38*AC39</f>
        <v>5.5232609996123885E-6</v>
      </c>
      <c r="AD32" s="294">
        <f>((AD5/(AD9*AD14*AD8*AD11*(1/AD6)))*AD30)*AD28*AD38*AD39</f>
        <v>1.1046521999224777E-5</v>
      </c>
      <c r="AE32" s="294">
        <f>((AE5/(AE9*AE14*AE8*AE11*(1/AE6)))*AE30)*AE28*AE38*AE39</f>
        <v>6.1369566662359859E-6</v>
      </c>
      <c r="AF32" s="294">
        <f>((AF5/(AF9*AF14*AF8*AF11*(1/AF6)))*AF30)*AF28*AF38*AF39</f>
        <v>8.0050336894473928E-5</v>
      </c>
      <c r="AG32" s="294">
        <f>((AG5/(AG9*AG14*AG8*AG11*(1/AG6)))*AG30)*AG28*AG38*AG39</f>
        <v>8.0050336894473928E-5</v>
      </c>
      <c r="AH32" s="266" t="s">
        <v>311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3.44E-2</v>
      </c>
      <c r="BM32" s="249" t="s">
        <v>458</v>
      </c>
      <c r="BN32" s="287">
        <f>B8</f>
        <v>6.8599999999999994E-2</v>
      </c>
      <c r="BV32" s="95" t="s">
        <v>315</v>
      </c>
      <c r="BW32" s="289">
        <f>B293</f>
        <v>226</v>
      </c>
      <c r="BX32" s="249" t="s">
        <v>309</v>
      </c>
      <c r="BY32" s="262" t="s">
        <v>62</v>
      </c>
      <c r="BZ32" s="305">
        <f>B4</f>
        <v>0.79200000000000004</v>
      </c>
      <c r="CB32" s="95" t="s">
        <v>315</v>
      </c>
      <c r="CC32" s="289">
        <f>B293</f>
        <v>226</v>
      </c>
      <c r="CD32" s="249" t="s">
        <v>309</v>
      </c>
      <c r="CE32" s="95" t="s">
        <v>315</v>
      </c>
      <c r="CF32" s="289">
        <f>B293</f>
        <v>226</v>
      </c>
      <c r="CG32" s="249" t="s">
        <v>309</v>
      </c>
      <c r="CK32" s="267" t="s">
        <v>310</v>
      </c>
      <c r="CL32" s="289">
        <f>B294</f>
        <v>2.8000000000000002E-12</v>
      </c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70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((AC5/(AC21*AC17*AC8*AC11*(1/AC35)*((8/1)/(24/1))*AC31))*AC30)*AC28*AC38*AC39</f>
        <v>3.9212892593898152E-4</v>
      </c>
      <c r="AD33" s="295">
        <f>((AD5/(AD21*AD17*AD8*((8/1)/(24/1))*AD11*(1/AD35)*AD31))*AD30)*AD28*AD38*AD39</f>
        <v>3.9212892593898163E-4</v>
      </c>
      <c r="AE33" s="295">
        <f>((AE5/(AE21*AE17*AE8*((8/1)/(24/1))*AE11*(1/AE35)*AE31))*AE30)*AE28*AE38*AE39</f>
        <v>4.3569880659886847E-4</v>
      </c>
      <c r="AF33" s="295">
        <f>((AF5/(AF21*AF17*AF8*AF11*(1/AF36)*(AF23/24)*AF31))*AF30)*AF28*AF38*AF39</f>
        <v>1.0674392855557807E-5</v>
      </c>
      <c r="AG33" s="295">
        <f>((AG5/(AG21*AG17*AG8*AG11*(1/AG37)*(AG23/24)*AG31))*AG30)*AG28*AG38*AG39</f>
        <v>4.9745839230310395E-4</v>
      </c>
      <c r="AH33" s="88" t="s">
        <v>311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0.45600000000000002</v>
      </c>
      <c r="BM33" s="249" t="s">
        <v>459</v>
      </c>
      <c r="BN33" s="287">
        <f>B9</f>
        <v>0.73699999999999999</v>
      </c>
      <c r="BV33" s="267" t="s">
        <v>310</v>
      </c>
      <c r="BW33" s="289">
        <f>B295</f>
        <v>2.8000000000000001E-15</v>
      </c>
      <c r="BY33" s="269" t="s">
        <v>111</v>
      </c>
      <c r="BZ33" s="298">
        <f>BZ25</f>
        <v>26</v>
      </c>
      <c r="CA33" s="249" t="s">
        <v>69</v>
      </c>
      <c r="CB33" s="267" t="s">
        <v>310</v>
      </c>
      <c r="CC33" s="289">
        <f>B294</f>
        <v>2.8000000000000002E-12</v>
      </c>
      <c r="CE33" s="267" t="s">
        <v>310</v>
      </c>
      <c r="CF33" s="289">
        <f>B294</f>
        <v>2.8000000000000002E-12</v>
      </c>
      <c r="CK33" s="267"/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5.1429999999999997E-10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1.5179205599999999E-6</v>
      </c>
      <c r="O34" s="263" t="s">
        <v>447</v>
      </c>
      <c r="P34" s="249" t="s">
        <v>451</v>
      </c>
      <c r="Q34" s="290">
        <f>B26</f>
        <v>4.4650217087999997E-6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((AC5/(AC20*(AC8/365)*AC11*((AC23+AC24)/24)*AC16*AC19))*AC30)*AC28*AC38*AC39</f>
        <v>2.1303201927370813E-8</v>
      </c>
      <c r="AD34" s="296">
        <f>((AD5/(AD20*(AD8/365)*AD11*(AD24/24)*AD18*AD19))*AD30)*AD28*AD38*AD39</f>
        <v>5.3258004818427031E-8</v>
      </c>
      <c r="AE34" s="296">
        <f>((AE5/(AE20*(AE8/365)*AE11*(AE23/24)*AE16*AE19))*AE30)*AE28*AE38*AE39</f>
        <v>2.367022436374535E-8</v>
      </c>
      <c r="AF34" s="296">
        <f>((AF5/(AF20*(AF8/365)*AF11*(AF23/24)*AF16*AF19))*AF30)*AF28*AF38*AF39</f>
        <v>1.0374795737882631E-5</v>
      </c>
      <c r="AG34" s="296">
        <f>((AG5/(AG20*(AG8/365)*AG11*(AG23/24)*AG16*AG19))*AG30)*AG28*AG38*AG39</f>
        <v>1.0374795737882631E-5</v>
      </c>
      <c r="AH34" s="266" t="s">
        <v>311</v>
      </c>
      <c r="AI34" s="262" t="s">
        <v>450</v>
      </c>
      <c r="AJ34" s="290">
        <f>B24</f>
        <v>1.5179205599999999E-6</v>
      </c>
      <c r="AK34" s="262" t="s">
        <v>282</v>
      </c>
      <c r="AL34" s="262" t="s">
        <v>451</v>
      </c>
      <c r="AM34" s="290">
        <f>B26</f>
        <v>4.4650217087999997E-6</v>
      </c>
      <c r="AN34" s="263" t="s">
        <v>72</v>
      </c>
      <c r="AR34" s="262" t="s">
        <v>450</v>
      </c>
      <c r="AS34" s="290">
        <f>B24</f>
        <v>1.5179205599999999E-6</v>
      </c>
      <c r="AT34" s="262" t="s">
        <v>282</v>
      </c>
      <c r="AU34" s="262" t="s">
        <v>451</v>
      </c>
      <c r="AV34" s="290">
        <f>B26</f>
        <v>4.4650217087999997E-6</v>
      </c>
      <c r="AW34" s="263" t="s">
        <v>72</v>
      </c>
      <c r="BA34" s="262" t="s">
        <v>450</v>
      </c>
      <c r="BB34" s="290">
        <f>B24</f>
        <v>1.5179205599999999E-6</v>
      </c>
      <c r="BC34" s="262" t="s">
        <v>282</v>
      </c>
      <c r="BD34" s="262" t="s">
        <v>451</v>
      </c>
      <c r="BE34" s="290">
        <f>B26</f>
        <v>4.4650217087999997E-6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V34" s="249" t="s">
        <v>270</v>
      </c>
      <c r="BW34" s="287">
        <f>B31</f>
        <v>1600</v>
      </c>
      <c r="BX34" s="249" t="s">
        <v>69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</v>
      </c>
      <c r="HF34" s="249" t="s">
        <v>19</v>
      </c>
    </row>
    <row r="35" spans="1:214" ht="12.75" customHeight="1" x14ac:dyDescent="0.2">
      <c r="A35" s="266" t="s">
        <v>270</v>
      </c>
      <c r="B35" s="315">
        <v>584000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1.5179205599999999E-6</v>
      </c>
      <c r="BL35" s="262" t="s">
        <v>282</v>
      </c>
      <c r="BM35" s="262" t="s">
        <v>451</v>
      </c>
      <c r="BN35" s="290">
        <f>B26</f>
        <v>4.4650217087999997E-6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ht="12.75" customHeight="1" x14ac:dyDescent="0.2">
      <c r="A36" s="262" t="s">
        <v>122</v>
      </c>
      <c r="B36" s="315">
        <v>4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95" t="s">
        <v>315</v>
      </c>
      <c r="N36" s="361">
        <f>B293</f>
        <v>226</v>
      </c>
      <c r="O36" s="249" t="s">
        <v>309</v>
      </c>
      <c r="P36" s="95" t="s">
        <v>315</v>
      </c>
      <c r="Q36" s="361">
        <f>B293</f>
        <v>226</v>
      </c>
      <c r="R36" s="249" t="s">
        <v>309</v>
      </c>
      <c r="V36" s="262" t="s">
        <v>63</v>
      </c>
      <c r="W36" s="287">
        <f>B28</f>
        <v>7.7413948559999998E-9</v>
      </c>
      <c r="X36" s="262" t="s">
        <v>64</v>
      </c>
      <c r="Y36" s="262" t="s">
        <v>63</v>
      </c>
      <c r="Z36" s="287">
        <f>B28</f>
        <v>7.7413948559999998E-9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315</v>
      </c>
      <c r="AJ36" s="289">
        <f>B293</f>
        <v>226</v>
      </c>
      <c r="AK36" s="249" t="s">
        <v>309</v>
      </c>
      <c r="AL36" s="95" t="s">
        <v>315</v>
      </c>
      <c r="AM36" s="289">
        <f>B293</f>
        <v>226</v>
      </c>
      <c r="AN36" s="249" t="s">
        <v>309</v>
      </c>
      <c r="AR36" s="95" t="s">
        <v>315</v>
      </c>
      <c r="AS36" s="289">
        <f>B293</f>
        <v>226</v>
      </c>
      <c r="AT36" s="249" t="s">
        <v>309</v>
      </c>
      <c r="AU36" s="95" t="s">
        <v>315</v>
      </c>
      <c r="AV36" s="289">
        <f>B293</f>
        <v>226</v>
      </c>
      <c r="AW36" s="249" t="s">
        <v>309</v>
      </c>
      <c r="BA36" s="95" t="s">
        <v>315</v>
      </c>
      <c r="BB36" s="289">
        <f>B293</f>
        <v>226</v>
      </c>
      <c r="BC36" s="249" t="s">
        <v>309</v>
      </c>
      <c r="BD36" s="95" t="s">
        <v>315</v>
      </c>
      <c r="BE36" s="289">
        <f>B293</f>
        <v>226</v>
      </c>
      <c r="BJ36" s="95" t="s">
        <v>315</v>
      </c>
      <c r="BK36" s="289">
        <f>B293</f>
        <v>226</v>
      </c>
      <c r="BL36" s="249" t="s">
        <v>309</v>
      </c>
      <c r="BM36" s="95" t="s">
        <v>315</v>
      </c>
      <c r="BN36" s="289">
        <f>B293</f>
        <v>226</v>
      </c>
      <c r="BO36" s="249" t="s">
        <v>309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x14ac:dyDescent="0.2">
      <c r="A37" s="262" t="s">
        <v>278</v>
      </c>
      <c r="B37" s="315">
        <v>3.8000000000000002E-4</v>
      </c>
      <c r="C37" s="263" t="s">
        <v>298</v>
      </c>
      <c r="D37" s="262" t="s">
        <v>80</v>
      </c>
      <c r="E37" s="300">
        <f>(E32/(E34*E33*E35*E36))*E7*E38*E39</f>
        <v>4.0062198335579633E-9</v>
      </c>
      <c r="F37" s="263" t="s">
        <v>311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M37" s="267" t="s">
        <v>310</v>
      </c>
      <c r="N37" s="289">
        <f>B294</f>
        <v>2.8000000000000002E-12</v>
      </c>
      <c r="P37" s="267" t="s">
        <v>310</v>
      </c>
      <c r="Q37" s="289">
        <f>B294</f>
        <v>2.8000000000000002E-12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AI37" s="267" t="s">
        <v>310</v>
      </c>
      <c r="AJ37" s="289">
        <f>B294</f>
        <v>2.8000000000000002E-12</v>
      </c>
      <c r="AL37" s="267" t="s">
        <v>310</v>
      </c>
      <c r="AM37" s="289">
        <f>B294</f>
        <v>2.8000000000000002E-12</v>
      </c>
      <c r="AR37" s="267" t="s">
        <v>310</v>
      </c>
      <c r="AS37" s="289">
        <f>B294</f>
        <v>2.8000000000000002E-12</v>
      </c>
      <c r="AU37" s="267" t="s">
        <v>310</v>
      </c>
      <c r="AV37" s="289">
        <f>B294</f>
        <v>2.8000000000000002E-12</v>
      </c>
      <c r="BA37" s="267" t="s">
        <v>310</v>
      </c>
      <c r="BB37" s="289">
        <f>B294</f>
        <v>2.8000000000000002E-12</v>
      </c>
      <c r="BD37" s="267" t="s">
        <v>310</v>
      </c>
      <c r="BE37" s="289">
        <f>B294</f>
        <v>2.8000000000000002E-12</v>
      </c>
      <c r="BJ37" s="267" t="s">
        <v>310</v>
      </c>
      <c r="BK37" s="289">
        <f>B294</f>
        <v>2.8000000000000002E-12</v>
      </c>
      <c r="BM37" s="267" t="s">
        <v>310</v>
      </c>
      <c r="BN37" s="289">
        <f>B294</f>
        <v>2.8000000000000002E-12</v>
      </c>
      <c r="BY37" s="95" t="s">
        <v>315</v>
      </c>
      <c r="BZ37" s="297">
        <f>B293</f>
        <v>226</v>
      </c>
      <c r="CA37" s="249" t="s">
        <v>309</v>
      </c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1.6999999999999999E-3</v>
      </c>
      <c r="C38" s="263" t="s">
        <v>298</v>
      </c>
      <c r="D38" s="95" t="s">
        <v>315</v>
      </c>
      <c r="E38" s="289">
        <f>B293</f>
        <v>226</v>
      </c>
      <c r="F38" s="249" t="s">
        <v>309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((W27)/((W33/W34)*W30*W31*W32*W35))*W29*W42*W43</f>
        <v>2.8691296801388547E-13</v>
      </c>
      <c r="X38" s="88" t="s">
        <v>15</v>
      </c>
      <c r="Y38" s="88" t="s">
        <v>74</v>
      </c>
      <c r="Z38" s="294">
        <f>((Z27*Z31*Z28)/((1-EXP(-Z28))*Z31*Z32*Z30*Z44*(Z33/Z34)*Z35))*Z29*Z46*Z47</f>
        <v>1.3796880148503009E-11</v>
      </c>
      <c r="AA38" s="88" t="s">
        <v>16</v>
      </c>
      <c r="AB38" s="95" t="s">
        <v>315</v>
      </c>
      <c r="AC38" s="297">
        <f>B293</f>
        <v>226</v>
      </c>
      <c r="AD38" s="297">
        <f>B293</f>
        <v>226</v>
      </c>
      <c r="AE38" s="297">
        <f>B293</f>
        <v>226</v>
      </c>
      <c r="AF38" s="297">
        <f>B293</f>
        <v>226</v>
      </c>
      <c r="AG38" s="297">
        <f>B293</f>
        <v>226</v>
      </c>
      <c r="AH38" s="249" t="s">
        <v>309</v>
      </c>
      <c r="AL38" s="262"/>
      <c r="AM38" s="293"/>
      <c r="AN38" s="262"/>
      <c r="BD38" s="262"/>
      <c r="BE38" s="293"/>
      <c r="BF38" s="262"/>
      <c r="BY38" s="267" t="s">
        <v>310</v>
      </c>
      <c r="BZ38" s="289">
        <f>B294</f>
        <v>2.8000000000000002E-12</v>
      </c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x14ac:dyDescent="0.2">
      <c r="A39" s="262" t="s">
        <v>276</v>
      </c>
      <c r="B39" s="315">
        <v>0</v>
      </c>
      <c r="C39" s="263" t="s">
        <v>298</v>
      </c>
      <c r="D39" s="267" t="s">
        <v>310</v>
      </c>
      <c r="E39" s="289">
        <f>B294</f>
        <v>2.8000000000000002E-12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((W27)/((W33/W34)*W30*W31*W36*(1/365)))*W29*W42*W43</f>
        <v>2.2914022511397402E-8</v>
      </c>
      <c r="X39" s="88" t="s">
        <v>15</v>
      </c>
      <c r="Y39" s="88" t="s">
        <v>78</v>
      </c>
      <c r="Z39" s="296">
        <f>((Z27*Z31*Z28)/((1-EXP(-Z28*Z31))*Z36*Z30*Z44*(Z33/Z34)*Z37*(Z44/Z45)))*Z29*Z46*Z47</f>
        <v>1.101874287866102E-6</v>
      </c>
      <c r="AA39" s="88" t="s">
        <v>16</v>
      </c>
      <c r="AB39" s="267" t="s">
        <v>310</v>
      </c>
      <c r="AC39" s="289">
        <f>B294</f>
        <v>2.8000000000000002E-12</v>
      </c>
      <c r="AD39" s="289">
        <f>B294</f>
        <v>2.8000000000000002E-12</v>
      </c>
      <c r="AE39" s="289">
        <f>B294</f>
        <v>2.8000000000000002E-12</v>
      </c>
      <c r="AF39" s="289">
        <f>B294</f>
        <v>2.8000000000000002E-12</v>
      </c>
      <c r="AG39" s="289">
        <f>B294</f>
        <v>2.8000000000000002E-12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((W27*W28*W31)/((W33/W34)*(1-EXP(-W28*W31))*W32*W35*W30*W31))*W29*W42*W43</f>
        <v>2.8846913608722619E-13</v>
      </c>
      <c r="X40" s="88" t="s">
        <v>16</v>
      </c>
      <c r="Y40" s="88" t="s">
        <v>74</v>
      </c>
      <c r="Z40" s="294">
        <f>(Z27/((Z32*Z30*Z44*(Z33/Z34)*Z35)))*Z29*Z46*Z47</f>
        <v>1.3793892692975262E-11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((W27*W28*W31)/((W33/W34)*(1-EXP(-W28*W31))*W36*W30*W31*(1/365)))*W29*W42*W43</f>
        <v>2.3038304346794686E-8</v>
      </c>
      <c r="X41" s="88" t="s">
        <v>16</v>
      </c>
      <c r="Y41" s="88" t="s">
        <v>78</v>
      </c>
      <c r="Z41" s="296">
        <f>(Z27/(Z36*Z30*(1/Z45)*Z44*(Z33/Z34)*Z37))*Z29*Z46*Z47</f>
        <v>1.1016356976633365E-6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1</v>
      </c>
      <c r="HF41" s="249" t="s">
        <v>113</v>
      </c>
    </row>
    <row r="42" spans="1:214" x14ac:dyDescent="0.2">
      <c r="A42" s="249" t="s">
        <v>265</v>
      </c>
      <c r="B42" s="315">
        <f>B38</f>
        <v>1.6999999999999999E-3</v>
      </c>
      <c r="C42" s="263" t="s">
        <v>298</v>
      </c>
      <c r="D42" s="203" t="s">
        <v>510</v>
      </c>
      <c r="E42" s="204">
        <f>E52</f>
        <v>1.0015549583894908E-9</v>
      </c>
      <c r="F42" s="184" t="s">
        <v>313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315</v>
      </c>
      <c r="W42" s="289">
        <f>B293</f>
        <v>226</v>
      </c>
      <c r="X42" s="249" t="s">
        <v>309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V43" s="267" t="s">
        <v>310</v>
      </c>
      <c r="W43" s="289">
        <f>B295</f>
        <v>2.8000000000000001E-15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1.4789999999999999E-2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1.7000000000000001E-2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1</v>
      </c>
      <c r="C46" s="249" t="s">
        <v>19</v>
      </c>
      <c r="D46" s="262" t="s">
        <v>438</v>
      </c>
      <c r="E46" s="287">
        <f>B30</f>
        <v>5.1429999999999997E-10</v>
      </c>
      <c r="F46" s="262" t="s">
        <v>289</v>
      </c>
      <c r="G46" s="249" t="s">
        <v>20</v>
      </c>
      <c r="H46" s="287">
        <f>H48</f>
        <v>1.4789999999999999E-2</v>
      </c>
      <c r="I46" s="263"/>
      <c r="J46" s="269" t="s">
        <v>107</v>
      </c>
      <c r="K46" s="292">
        <f>K34</f>
        <v>26</v>
      </c>
      <c r="L46" s="269" t="s">
        <v>69</v>
      </c>
      <c r="Y46" s="95" t="s">
        <v>315</v>
      </c>
      <c r="Z46" s="289">
        <f>B293</f>
        <v>226</v>
      </c>
      <c r="AA46" s="249" t="s">
        <v>309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5</v>
      </c>
      <c r="C47" s="262" t="s">
        <v>14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Y47" s="267" t="s">
        <v>310</v>
      </c>
      <c r="Z47" s="289">
        <f>B295</f>
        <v>2.8000000000000001E-15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1.4789999999999999E-2</v>
      </c>
      <c r="K48" s="289">
        <v>1000</v>
      </c>
      <c r="L48" s="249" t="s">
        <v>115</v>
      </c>
      <c r="CT48" s="95" t="s">
        <v>315</v>
      </c>
      <c r="CU48" s="289">
        <f>B293</f>
        <v>226</v>
      </c>
      <c r="CV48" s="249" t="s">
        <v>309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BY49" s="262"/>
      <c r="BZ49" s="293"/>
      <c r="CT49" s="267" t="s">
        <v>310</v>
      </c>
      <c r="CU49" s="289">
        <f>B294</f>
        <v>2.8000000000000002E-12</v>
      </c>
      <c r="DA49" s="292">
        <v>1000</v>
      </c>
      <c r="DB49" s="267" t="s">
        <v>115</v>
      </c>
      <c r="DW49" s="264"/>
      <c r="DX49" s="264"/>
      <c r="DY49" s="328"/>
      <c r="DZ49" s="264"/>
    </row>
    <row r="50" spans="1:130" ht="15" x14ac:dyDescent="0.2">
      <c r="A50" s="516" t="s">
        <v>2</v>
      </c>
      <c r="B50" s="516"/>
      <c r="C50" s="516"/>
      <c r="D50" s="262" t="s">
        <v>122</v>
      </c>
      <c r="E50" s="298">
        <f>B36</f>
        <v>4</v>
      </c>
      <c r="F50" s="263" t="s">
        <v>19</v>
      </c>
      <c r="G50" s="249" t="s">
        <v>18</v>
      </c>
      <c r="H50" s="288">
        <f>(H53*H54*H48*((1-EXP(-H55*H56))))/(H57*H55)</f>
        <v>0.52543733718458041</v>
      </c>
      <c r="I50" s="249" t="s">
        <v>19</v>
      </c>
      <c r="J50" s="249" t="s">
        <v>20</v>
      </c>
      <c r="K50" s="287">
        <f>K52</f>
        <v>1.4789999999999999E-2</v>
      </c>
      <c r="BY50" s="263"/>
      <c r="BZ50" s="307"/>
      <c r="CT50" s="263"/>
      <c r="CU50" s="307"/>
      <c r="CZ50" s="95" t="s">
        <v>315</v>
      </c>
      <c r="DA50" s="289">
        <f>B293</f>
        <v>226</v>
      </c>
      <c r="DB50" s="249" t="s">
        <v>309</v>
      </c>
      <c r="DW50" s="264"/>
      <c r="DX50" s="264"/>
      <c r="DY50" s="328"/>
      <c r="DZ50" s="264"/>
    </row>
    <row r="51" spans="1:130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9.2368970701819411</v>
      </c>
      <c r="I51" s="249" t="s">
        <v>19</v>
      </c>
      <c r="J51" s="262" t="s">
        <v>28</v>
      </c>
      <c r="K51" s="293">
        <f>K53</f>
        <v>0.26</v>
      </c>
      <c r="BW51" s="287"/>
      <c r="BY51" s="262"/>
      <c r="BZ51" s="293"/>
      <c r="CT51" s="262"/>
      <c r="CU51" s="293"/>
      <c r="CZ51" s="267" t="s">
        <v>310</v>
      </c>
      <c r="DA51" s="289">
        <f>B294</f>
        <v>2.8000000000000002E-12</v>
      </c>
      <c r="DW51" s="264"/>
      <c r="DX51" s="264"/>
      <c r="DY51" s="328"/>
      <c r="DZ51" s="264"/>
    </row>
    <row r="52" spans="1:130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>
        <f>(E44/(E46*E45*E47*E48*E50*E51*(1/E49)))*E7*E53*E54</f>
        <v>1.0015549583894908E-9</v>
      </c>
      <c r="F52" s="249" t="s">
        <v>313</v>
      </c>
      <c r="G52" s="249" t="s">
        <v>36</v>
      </c>
      <c r="H52" s="288">
        <f>(H53*H54*H58*H64*((1-EXP(-H59*H60))))/(H61*H59)</f>
        <v>3.6423470278489711</v>
      </c>
      <c r="I52" s="249" t="s">
        <v>19</v>
      </c>
      <c r="J52" s="263" t="s">
        <v>37</v>
      </c>
      <c r="K52" s="290">
        <f>B44</f>
        <v>1.4789999999999999E-2</v>
      </c>
      <c r="BW52" s="287"/>
      <c r="CZ52" s="267"/>
      <c r="DW52" s="264"/>
      <c r="DX52" s="264"/>
      <c r="DY52" s="328"/>
      <c r="DZ52" s="264"/>
    </row>
    <row r="53" spans="1:130" x14ac:dyDescent="0.2">
      <c r="A53" s="262" t="s">
        <v>320</v>
      </c>
      <c r="B53" s="283">
        <v>200</v>
      </c>
      <c r="C53" s="263" t="s">
        <v>54</v>
      </c>
      <c r="D53" s="95" t="s">
        <v>315</v>
      </c>
      <c r="E53" s="289">
        <f>B293</f>
        <v>226</v>
      </c>
      <c r="F53" s="249" t="s">
        <v>309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BV53" s="262"/>
      <c r="CZ53" s="267"/>
    </row>
    <row r="54" spans="1:130" x14ac:dyDescent="0.2">
      <c r="A54" s="262" t="s">
        <v>321</v>
      </c>
      <c r="B54" s="283">
        <v>100</v>
      </c>
      <c r="C54" s="263" t="s">
        <v>54</v>
      </c>
      <c r="D54" s="267" t="s">
        <v>310</v>
      </c>
      <c r="E54" s="289">
        <f>B295</f>
        <v>2.8000000000000001E-15</v>
      </c>
      <c r="G54" s="262" t="s">
        <v>46</v>
      </c>
      <c r="H54" s="287">
        <f>B86</f>
        <v>0.25</v>
      </c>
      <c r="I54" s="249" t="s">
        <v>47</v>
      </c>
      <c r="J54" s="267" t="s">
        <v>315</v>
      </c>
      <c r="K54" s="289">
        <f>B293</f>
        <v>226</v>
      </c>
      <c r="L54" s="249" t="s">
        <v>309</v>
      </c>
      <c r="BV54" s="262"/>
      <c r="CZ54" s="267"/>
    </row>
    <row r="55" spans="1:130" x14ac:dyDescent="0.2">
      <c r="A55" s="262" t="s">
        <v>322</v>
      </c>
      <c r="B55" s="283">
        <v>0.78</v>
      </c>
      <c r="C55" s="262" t="s">
        <v>30</v>
      </c>
      <c r="G55" s="267" t="s">
        <v>55</v>
      </c>
      <c r="H55" s="303">
        <f>H62+H63</f>
        <v>2.8186643835616437E-5</v>
      </c>
      <c r="J55" s="267" t="s">
        <v>310</v>
      </c>
      <c r="K55" s="289">
        <f>B294</f>
        <v>2.8000000000000002E-12</v>
      </c>
      <c r="BV55" s="267"/>
      <c r="CZ55" s="267"/>
    </row>
    <row r="56" spans="1:130" x14ac:dyDescent="0.2">
      <c r="A56" s="262" t="s">
        <v>323</v>
      </c>
      <c r="B56" s="283">
        <v>2.5</v>
      </c>
      <c r="C56" s="262" t="s">
        <v>30</v>
      </c>
      <c r="G56" s="267" t="s">
        <v>60</v>
      </c>
      <c r="H56" s="289">
        <f>B87</f>
        <v>10950</v>
      </c>
      <c r="I56" s="249" t="s">
        <v>61</v>
      </c>
      <c r="BV56" s="267"/>
      <c r="CZ56" s="267"/>
    </row>
    <row r="57" spans="1:130" x14ac:dyDescent="0.2">
      <c r="A57" s="262" t="s">
        <v>337</v>
      </c>
      <c r="B57" s="283">
        <v>54</v>
      </c>
      <c r="C57" s="249" t="s">
        <v>54</v>
      </c>
      <c r="G57" s="267" t="s">
        <v>65</v>
      </c>
      <c r="H57" s="289">
        <f>B88</f>
        <v>240</v>
      </c>
      <c r="I57" s="249" t="s">
        <v>66</v>
      </c>
      <c r="BV57" s="267"/>
      <c r="CZ57" s="267"/>
      <c r="DA57" s="293"/>
      <c r="DB57" s="262"/>
    </row>
    <row r="58" spans="1:130" x14ac:dyDescent="0.2">
      <c r="A58" s="249" t="s">
        <v>357</v>
      </c>
      <c r="B58" s="283">
        <v>32.799999999999997</v>
      </c>
      <c r="C58" s="249" t="s">
        <v>54</v>
      </c>
      <c r="G58" s="267" t="s">
        <v>76</v>
      </c>
      <c r="H58" s="289">
        <f>B89</f>
        <v>0.42</v>
      </c>
      <c r="I58" s="249" t="s">
        <v>47</v>
      </c>
      <c r="BV58" s="267"/>
      <c r="CZ58" s="267"/>
      <c r="DA58" s="293"/>
      <c r="DB58" s="262"/>
    </row>
    <row r="59" spans="1:130" x14ac:dyDescent="0.2">
      <c r="A59" s="249" t="s">
        <v>336</v>
      </c>
      <c r="B59" s="283">
        <v>157.69999999999999</v>
      </c>
      <c r="C59" s="249" t="s">
        <v>54</v>
      </c>
      <c r="G59" s="267" t="s">
        <v>81</v>
      </c>
      <c r="H59" s="299">
        <f>H63+(0.693/H65)</f>
        <v>4.9501186643835612E-2</v>
      </c>
      <c r="I59" s="262" t="s">
        <v>82</v>
      </c>
      <c r="BV59" s="267"/>
      <c r="CZ59" s="267"/>
      <c r="DA59" s="293"/>
      <c r="DB59" s="262"/>
    </row>
    <row r="60" spans="1:130" x14ac:dyDescent="0.2">
      <c r="A60" s="262" t="s">
        <v>332</v>
      </c>
      <c r="B60" s="283">
        <v>68.099999999999994</v>
      </c>
      <c r="C60" s="267" t="s">
        <v>254</v>
      </c>
      <c r="G60" s="267" t="s">
        <v>85</v>
      </c>
      <c r="H60" s="293">
        <f>B90</f>
        <v>60</v>
      </c>
      <c r="I60" s="262" t="s">
        <v>61</v>
      </c>
      <c r="BV60" s="267"/>
      <c r="CZ60" s="267"/>
    </row>
    <row r="61" spans="1:130" x14ac:dyDescent="0.2">
      <c r="A61" s="262" t="s">
        <v>333</v>
      </c>
      <c r="B61" s="283">
        <v>188.5</v>
      </c>
      <c r="C61" s="267" t="s">
        <v>254</v>
      </c>
      <c r="G61" s="267" t="s">
        <v>87</v>
      </c>
      <c r="H61" s="293">
        <f>B91</f>
        <v>2</v>
      </c>
      <c r="I61" s="262" t="s">
        <v>66</v>
      </c>
      <c r="BV61" s="267"/>
      <c r="BW61" s="293"/>
      <c r="BX61" s="262"/>
      <c r="CZ61" s="267"/>
      <c r="DA61" s="287"/>
    </row>
    <row r="62" spans="1:130" x14ac:dyDescent="0.2">
      <c r="A62" s="262" t="s">
        <v>334</v>
      </c>
      <c r="B62" s="283">
        <v>41.7</v>
      </c>
      <c r="C62" s="267" t="s">
        <v>254</v>
      </c>
      <c r="G62" s="267" t="s">
        <v>89</v>
      </c>
      <c r="H62" s="289">
        <f>B92</f>
        <v>2.6999999999999999E-5</v>
      </c>
      <c r="I62" s="249" t="s">
        <v>82</v>
      </c>
      <c r="BV62" s="267"/>
      <c r="BW62" s="293"/>
      <c r="BX62" s="262"/>
      <c r="CZ62" s="267"/>
    </row>
    <row r="63" spans="1:130" x14ac:dyDescent="0.2">
      <c r="A63" s="262" t="s">
        <v>335</v>
      </c>
      <c r="B63" s="283">
        <v>128.9</v>
      </c>
      <c r="C63" s="267" t="s">
        <v>254</v>
      </c>
      <c r="G63" s="267" t="s">
        <v>90</v>
      </c>
      <c r="H63" s="288">
        <f>0.693/H67</f>
        <v>1.1866438356164383E-6</v>
      </c>
      <c r="I63" s="249" t="s">
        <v>82</v>
      </c>
      <c r="BV63" s="267"/>
      <c r="BW63" s="293"/>
      <c r="BX63" s="262"/>
      <c r="CZ63" s="267"/>
    </row>
    <row r="64" spans="1:130" x14ac:dyDescent="0.2">
      <c r="A64" s="262" t="s">
        <v>343</v>
      </c>
      <c r="B64" s="283">
        <v>6</v>
      </c>
      <c r="C64" s="264" t="s">
        <v>69</v>
      </c>
      <c r="G64" s="267" t="s">
        <v>91</v>
      </c>
      <c r="H64" s="289">
        <f>B93</f>
        <v>1</v>
      </c>
      <c r="I64" s="249" t="s">
        <v>47</v>
      </c>
      <c r="AI64" s="275"/>
      <c r="AJ64" s="353"/>
      <c r="AK64" s="275"/>
      <c r="BV64" s="267"/>
    </row>
    <row r="65" spans="1:105" x14ac:dyDescent="0.2">
      <c r="A65" s="262" t="s">
        <v>342</v>
      </c>
      <c r="B65" s="283">
        <v>20</v>
      </c>
      <c r="C65" s="264" t="s">
        <v>69</v>
      </c>
      <c r="G65" s="267" t="s">
        <v>92</v>
      </c>
      <c r="H65" s="289">
        <f>B94</f>
        <v>14</v>
      </c>
      <c r="I65" s="249" t="s">
        <v>93</v>
      </c>
      <c r="AI65" s="275"/>
      <c r="AJ65" s="353"/>
      <c r="AK65" s="275"/>
      <c r="BV65" s="267"/>
    </row>
    <row r="66" spans="1:105" x14ac:dyDescent="0.2">
      <c r="A66" s="262" t="s">
        <v>341</v>
      </c>
      <c r="B66" s="283">
        <v>26</v>
      </c>
      <c r="C66" s="264" t="s">
        <v>69</v>
      </c>
      <c r="G66" s="249" t="s">
        <v>38</v>
      </c>
      <c r="H66" s="287">
        <f>B45</f>
        <v>1.7000000000000001E-2</v>
      </c>
      <c r="AI66" s="275"/>
      <c r="AJ66" s="353"/>
      <c r="AK66" s="275"/>
      <c r="BV66" s="267"/>
      <c r="CZ66" s="262"/>
      <c r="DA66" s="287"/>
    </row>
    <row r="67" spans="1:105" x14ac:dyDescent="0.2">
      <c r="A67" s="262" t="s">
        <v>340</v>
      </c>
      <c r="B67" s="283">
        <v>350</v>
      </c>
      <c r="C67" s="264" t="s">
        <v>26</v>
      </c>
      <c r="G67" s="262" t="s">
        <v>273</v>
      </c>
      <c r="H67" s="287">
        <f>B35</f>
        <v>584000</v>
      </c>
      <c r="I67" s="249" t="s">
        <v>257</v>
      </c>
      <c r="AI67" s="275"/>
      <c r="AJ67" s="353"/>
      <c r="AK67" s="275"/>
      <c r="BV67" s="267"/>
    </row>
    <row r="68" spans="1:105" x14ac:dyDescent="0.2">
      <c r="A68" s="262" t="s">
        <v>339</v>
      </c>
      <c r="B68" s="283">
        <v>350</v>
      </c>
      <c r="C68" s="264" t="s">
        <v>26</v>
      </c>
      <c r="G68" s="95" t="s">
        <v>315</v>
      </c>
      <c r="H68" s="297">
        <f>B293</f>
        <v>226</v>
      </c>
      <c r="I68" s="249" t="s">
        <v>309</v>
      </c>
      <c r="AI68" s="275"/>
      <c r="AJ68" s="353"/>
      <c r="AK68" s="275"/>
    </row>
    <row r="69" spans="1:105" x14ac:dyDescent="0.2">
      <c r="A69" s="262" t="s">
        <v>338</v>
      </c>
      <c r="B69" s="283">
        <v>350</v>
      </c>
      <c r="C69" s="264" t="s">
        <v>26</v>
      </c>
      <c r="G69" s="267" t="s">
        <v>310</v>
      </c>
      <c r="H69" s="289">
        <f>B295</f>
        <v>2.8000000000000001E-15</v>
      </c>
      <c r="AI69" s="275"/>
      <c r="AJ69" s="353"/>
      <c r="AK69" s="275"/>
      <c r="BV69" s="262"/>
      <c r="BW69" s="287"/>
    </row>
    <row r="70" spans="1:105" x14ac:dyDescent="0.2">
      <c r="A70" s="249" t="s">
        <v>344</v>
      </c>
      <c r="B70" s="284">
        <v>0.54</v>
      </c>
      <c r="C70" s="92" t="s">
        <v>104</v>
      </c>
      <c r="G70" s="249" t="s">
        <v>270</v>
      </c>
      <c r="H70" s="287">
        <f>B31</f>
        <v>1600</v>
      </c>
      <c r="I70" s="249" t="s">
        <v>69</v>
      </c>
      <c r="AI70" s="275"/>
      <c r="AJ70" s="353"/>
      <c r="AK70" s="275"/>
      <c r="BV70" s="262"/>
    </row>
    <row r="71" spans="1:105" x14ac:dyDescent="0.2">
      <c r="A71" s="249" t="s">
        <v>345</v>
      </c>
      <c r="B71" s="284">
        <v>0.71</v>
      </c>
      <c r="C71" s="92" t="s">
        <v>104</v>
      </c>
      <c r="AI71" s="275"/>
      <c r="AJ71" s="353"/>
      <c r="AK71" s="275"/>
      <c r="BV71" s="262"/>
    </row>
    <row r="72" spans="1:105" x14ac:dyDescent="0.2">
      <c r="A72" s="262" t="s">
        <v>347</v>
      </c>
      <c r="B72" s="283">
        <v>24</v>
      </c>
      <c r="C72" s="264" t="s">
        <v>224</v>
      </c>
      <c r="AF72" s="277"/>
      <c r="AG72" s="353"/>
      <c r="AH72" s="275"/>
      <c r="AI72" s="275"/>
      <c r="AJ72" s="353"/>
      <c r="AK72" s="275"/>
    </row>
    <row r="73" spans="1:105" x14ac:dyDescent="0.2">
      <c r="A73" s="262" t="s">
        <v>348</v>
      </c>
      <c r="B73" s="283">
        <v>24</v>
      </c>
      <c r="C73" s="264" t="s">
        <v>224</v>
      </c>
      <c r="AF73" s="277"/>
      <c r="AG73" s="353"/>
      <c r="AH73" s="275"/>
      <c r="AI73" s="275"/>
      <c r="AJ73" s="353"/>
      <c r="AK73" s="275"/>
    </row>
    <row r="74" spans="1:105" x14ac:dyDescent="0.2">
      <c r="A74" s="262" t="s">
        <v>346</v>
      </c>
      <c r="B74" s="283">
        <v>24</v>
      </c>
      <c r="C74" s="264" t="s">
        <v>224</v>
      </c>
      <c r="AF74" s="277"/>
      <c r="AG74" s="353"/>
      <c r="AH74" s="275"/>
      <c r="AI74" s="275"/>
      <c r="AJ74" s="353"/>
      <c r="AK74" s="275"/>
    </row>
    <row r="75" spans="1:105" x14ac:dyDescent="0.2">
      <c r="A75" s="249" t="s">
        <v>349</v>
      </c>
      <c r="B75" s="284">
        <v>1</v>
      </c>
      <c r="C75" s="92" t="s">
        <v>98</v>
      </c>
      <c r="AF75" s="277"/>
      <c r="AG75" s="353"/>
      <c r="AH75" s="275"/>
      <c r="AI75" s="275"/>
      <c r="AJ75" s="353"/>
      <c r="AK75" s="275"/>
    </row>
    <row r="76" spans="1:105" x14ac:dyDescent="0.2">
      <c r="A76" s="249" t="s">
        <v>350</v>
      </c>
      <c r="B76" s="284">
        <v>1</v>
      </c>
      <c r="C76" s="92" t="s">
        <v>98</v>
      </c>
      <c r="AF76" s="277"/>
      <c r="AG76" s="353"/>
      <c r="AH76" s="275"/>
      <c r="AI76" s="275"/>
      <c r="AJ76" s="353"/>
      <c r="AK76" s="275"/>
    </row>
    <row r="77" spans="1:105" x14ac:dyDescent="0.2">
      <c r="A77" s="262" t="s">
        <v>103</v>
      </c>
      <c r="B77" s="283">
        <v>0.4</v>
      </c>
      <c r="AF77" s="277"/>
      <c r="AG77" s="353"/>
      <c r="AH77" s="275"/>
      <c r="AI77" s="275"/>
      <c r="AJ77" s="353"/>
      <c r="AK77" s="275"/>
    </row>
    <row r="78" spans="1:105" x14ac:dyDescent="0.2">
      <c r="A78" s="249" t="s">
        <v>353</v>
      </c>
      <c r="B78" s="284">
        <v>1</v>
      </c>
      <c r="C78" s="247"/>
      <c r="AF78" s="277"/>
      <c r="AG78" s="353"/>
    </row>
    <row r="79" spans="1:105" x14ac:dyDescent="0.2">
      <c r="A79" s="249" t="s">
        <v>158</v>
      </c>
      <c r="B79" s="284">
        <v>0.4</v>
      </c>
      <c r="C79" s="247"/>
      <c r="AF79" s="277"/>
      <c r="AG79" s="353"/>
      <c r="AH79" s="275"/>
      <c r="AI79" s="275"/>
      <c r="AJ79" s="353"/>
      <c r="AK79" s="275"/>
    </row>
    <row r="80" spans="1:105" x14ac:dyDescent="0.2">
      <c r="A80" s="249" t="s">
        <v>159</v>
      </c>
      <c r="B80" s="284">
        <v>1</v>
      </c>
      <c r="C80" s="247"/>
      <c r="AF80" s="277"/>
      <c r="AG80" s="353"/>
      <c r="AH80" s="275"/>
      <c r="AI80" s="275"/>
      <c r="AJ80" s="353"/>
      <c r="AK80" s="275"/>
    </row>
    <row r="81" spans="1:37" x14ac:dyDescent="0.2">
      <c r="A81" s="249" t="s">
        <v>354</v>
      </c>
      <c r="B81" s="284">
        <v>1</v>
      </c>
      <c r="C81" s="247"/>
      <c r="AF81" s="277"/>
      <c r="AG81" s="353"/>
      <c r="AH81" s="275"/>
      <c r="AI81" s="275"/>
      <c r="AJ81" s="353"/>
      <c r="AK81" s="275"/>
    </row>
    <row r="82" spans="1:37" x14ac:dyDescent="0.2">
      <c r="A82" s="262" t="s">
        <v>124</v>
      </c>
      <c r="B82" s="284">
        <v>1</v>
      </c>
      <c r="C82" s="263" t="s">
        <v>125</v>
      </c>
      <c r="AF82" s="277"/>
      <c r="AG82" s="353"/>
      <c r="AH82" s="275"/>
      <c r="AI82" s="275"/>
      <c r="AJ82" s="353"/>
      <c r="AK82" s="275"/>
    </row>
    <row r="83" spans="1:37" x14ac:dyDescent="0.2">
      <c r="A83" s="249" t="s">
        <v>83</v>
      </c>
      <c r="B83" s="284">
        <v>0.5</v>
      </c>
      <c r="C83" s="249" t="s">
        <v>84</v>
      </c>
      <c r="AF83" s="277"/>
      <c r="AG83" s="353"/>
    </row>
    <row r="84" spans="1:37" x14ac:dyDescent="0.2">
      <c r="A84" s="249" t="s">
        <v>355</v>
      </c>
      <c r="B84" s="284">
        <v>0.25</v>
      </c>
      <c r="C84" s="247"/>
      <c r="AF84" s="277"/>
      <c r="AG84" s="353"/>
      <c r="AH84" s="275"/>
      <c r="AI84" s="275"/>
      <c r="AJ84" s="353"/>
      <c r="AK84" s="275"/>
    </row>
    <row r="85" spans="1:37" x14ac:dyDescent="0.2">
      <c r="A85" s="262" t="s">
        <v>41</v>
      </c>
      <c r="B85" s="284">
        <v>3.62</v>
      </c>
      <c r="C85" s="249" t="s">
        <v>42</v>
      </c>
      <c r="AF85" s="277"/>
      <c r="AG85" s="353"/>
    </row>
    <row r="86" spans="1:37" x14ac:dyDescent="0.2">
      <c r="A86" s="262" t="s">
        <v>46</v>
      </c>
      <c r="B86" s="284">
        <v>0.25</v>
      </c>
      <c r="C86" s="249" t="s">
        <v>47</v>
      </c>
      <c r="AH86" s="276"/>
      <c r="AI86" s="276"/>
      <c r="AJ86" s="277"/>
      <c r="AK86" s="276"/>
    </row>
    <row r="87" spans="1:37" x14ac:dyDescent="0.2">
      <c r="A87" s="267" t="s">
        <v>60</v>
      </c>
      <c r="B87" s="284">
        <v>10950</v>
      </c>
      <c r="C87" s="249" t="s">
        <v>61</v>
      </c>
    </row>
    <row r="88" spans="1:37" x14ac:dyDescent="0.2">
      <c r="A88" s="267" t="s">
        <v>65</v>
      </c>
      <c r="B88" s="284">
        <v>240</v>
      </c>
      <c r="C88" s="249" t="s">
        <v>66</v>
      </c>
    </row>
    <row r="89" spans="1:37" x14ac:dyDescent="0.2">
      <c r="A89" s="267" t="s">
        <v>76</v>
      </c>
      <c r="B89" s="284">
        <v>0.42</v>
      </c>
      <c r="C89" s="249" t="s">
        <v>47</v>
      </c>
    </row>
    <row r="90" spans="1:37" x14ac:dyDescent="0.2">
      <c r="A90" s="267" t="s">
        <v>85</v>
      </c>
      <c r="B90" s="284">
        <v>60</v>
      </c>
      <c r="C90" s="262" t="s">
        <v>61</v>
      </c>
    </row>
    <row r="91" spans="1:37" x14ac:dyDescent="0.2">
      <c r="A91" s="267" t="s">
        <v>87</v>
      </c>
      <c r="B91" s="284">
        <v>2</v>
      </c>
      <c r="C91" s="262" t="s">
        <v>66</v>
      </c>
    </row>
    <row r="92" spans="1:37" x14ac:dyDescent="0.2">
      <c r="A92" s="267" t="s">
        <v>89</v>
      </c>
      <c r="B92" s="284">
        <v>2.6999999999999999E-5</v>
      </c>
      <c r="C92" s="249" t="s">
        <v>82</v>
      </c>
    </row>
    <row r="93" spans="1:37" x14ac:dyDescent="0.2">
      <c r="A93" s="267" t="s">
        <v>91</v>
      </c>
      <c r="B93" s="284">
        <v>1</v>
      </c>
      <c r="C93" s="249" t="s">
        <v>47</v>
      </c>
    </row>
    <row r="94" spans="1:37" x14ac:dyDescent="0.2">
      <c r="A94" s="267" t="s">
        <v>92</v>
      </c>
      <c r="B94" s="284">
        <v>14</v>
      </c>
      <c r="C94" s="249" t="s">
        <v>93</v>
      </c>
    </row>
    <row r="95" spans="1:37" x14ac:dyDescent="0.2">
      <c r="A95" s="262" t="s">
        <v>356</v>
      </c>
      <c r="B95" s="283">
        <v>1</v>
      </c>
    </row>
    <row r="96" spans="1:37" x14ac:dyDescent="0.2">
      <c r="A96" s="262" t="s">
        <v>351</v>
      </c>
      <c r="B96" s="283">
        <v>1.752</v>
      </c>
      <c r="C96" s="264" t="s">
        <v>224</v>
      </c>
    </row>
    <row r="97" spans="1:3" x14ac:dyDescent="0.2">
      <c r="A97" s="262" t="s">
        <v>352</v>
      </c>
      <c r="B97" s="283">
        <v>16.416</v>
      </c>
      <c r="C97" s="264" t="s">
        <v>224</v>
      </c>
    </row>
    <row r="98" spans="1:3" ht="15" x14ac:dyDescent="0.2">
      <c r="A98" s="517" t="s">
        <v>5</v>
      </c>
      <c r="B98" s="517"/>
      <c r="C98" s="517"/>
    </row>
    <row r="99" spans="1:3" x14ac:dyDescent="0.2">
      <c r="A99" s="262" t="s">
        <v>358</v>
      </c>
      <c r="B99" s="284">
        <v>10</v>
      </c>
      <c r="C99" s="267" t="s">
        <v>359</v>
      </c>
    </row>
    <row r="100" spans="1:3" x14ac:dyDescent="0.2">
      <c r="A100" s="262" t="s">
        <v>360</v>
      </c>
      <c r="B100" s="284">
        <v>20</v>
      </c>
      <c r="C100" s="267" t="s">
        <v>359</v>
      </c>
    </row>
    <row r="101" spans="1:3" x14ac:dyDescent="0.2">
      <c r="A101" s="262" t="s">
        <v>305</v>
      </c>
      <c r="B101" s="283">
        <v>0.05</v>
      </c>
      <c r="C101" s="262" t="s">
        <v>361</v>
      </c>
    </row>
    <row r="102" spans="1:3" x14ac:dyDescent="0.2">
      <c r="A102" s="262" t="s">
        <v>306</v>
      </c>
      <c r="B102" s="283">
        <v>0.05</v>
      </c>
      <c r="C102" s="262" t="s">
        <v>361</v>
      </c>
    </row>
    <row r="103" spans="1:3" x14ac:dyDescent="0.2">
      <c r="A103" s="262" t="s">
        <v>362</v>
      </c>
      <c r="B103" s="284">
        <v>200</v>
      </c>
      <c r="C103" s="263" t="s">
        <v>54</v>
      </c>
    </row>
    <row r="104" spans="1:3" x14ac:dyDescent="0.2">
      <c r="A104" s="262" t="s">
        <v>363</v>
      </c>
      <c r="B104" s="284">
        <v>100</v>
      </c>
      <c r="C104" s="263" t="s">
        <v>54</v>
      </c>
    </row>
    <row r="105" spans="1:3" x14ac:dyDescent="0.2">
      <c r="A105" s="249" t="s">
        <v>187</v>
      </c>
      <c r="B105" s="284">
        <v>1</v>
      </c>
      <c r="C105" s="249" t="s">
        <v>254</v>
      </c>
    </row>
    <row r="106" spans="1:3" x14ac:dyDescent="0.2">
      <c r="A106" s="249" t="s">
        <v>188</v>
      </c>
      <c r="B106" s="284">
        <v>1</v>
      </c>
      <c r="C106" s="249" t="s">
        <v>254</v>
      </c>
    </row>
    <row r="107" spans="1:3" x14ac:dyDescent="0.2">
      <c r="A107" s="94" t="s">
        <v>373</v>
      </c>
      <c r="B107" s="283">
        <v>6</v>
      </c>
      <c r="C107" s="270" t="s">
        <v>69</v>
      </c>
    </row>
    <row r="108" spans="1:3" x14ac:dyDescent="0.2">
      <c r="A108" s="94" t="s">
        <v>372</v>
      </c>
      <c r="B108" s="283">
        <f>B109-B107</f>
        <v>20</v>
      </c>
      <c r="C108" s="270" t="s">
        <v>69</v>
      </c>
    </row>
    <row r="109" spans="1:3" x14ac:dyDescent="0.2">
      <c r="A109" s="94" t="s">
        <v>59</v>
      </c>
      <c r="B109" s="283">
        <v>26</v>
      </c>
      <c r="C109" s="270" t="s">
        <v>69</v>
      </c>
    </row>
    <row r="110" spans="1:3" x14ac:dyDescent="0.2">
      <c r="A110" s="94" t="s">
        <v>371</v>
      </c>
      <c r="B110" s="107">
        <v>75</v>
      </c>
      <c r="C110" s="94" t="s">
        <v>26</v>
      </c>
    </row>
    <row r="111" spans="1:3" x14ac:dyDescent="0.2">
      <c r="A111" s="94" t="s">
        <v>370</v>
      </c>
      <c r="B111" s="283">
        <v>75</v>
      </c>
      <c r="C111" s="94" t="s">
        <v>26</v>
      </c>
    </row>
    <row r="112" spans="1:3" x14ac:dyDescent="0.2">
      <c r="A112" s="94" t="s">
        <v>157</v>
      </c>
      <c r="B112" s="283">
        <v>75</v>
      </c>
      <c r="C112" s="94" t="s">
        <v>26</v>
      </c>
    </row>
    <row r="113" spans="1:3" x14ac:dyDescent="0.2">
      <c r="A113" s="94" t="s">
        <v>105</v>
      </c>
      <c r="B113" s="283">
        <v>1</v>
      </c>
      <c r="C113" s="92" t="s">
        <v>224</v>
      </c>
    </row>
    <row r="114" spans="1:3" x14ac:dyDescent="0.2">
      <c r="A114" s="92" t="s">
        <v>368</v>
      </c>
      <c r="B114" s="284">
        <v>1</v>
      </c>
      <c r="C114" s="92" t="s">
        <v>224</v>
      </c>
    </row>
    <row r="115" spans="1:3" x14ac:dyDescent="0.2">
      <c r="A115" s="92" t="s">
        <v>369</v>
      </c>
      <c r="B115" s="284">
        <v>1</v>
      </c>
      <c r="C115" s="92" t="s">
        <v>224</v>
      </c>
    </row>
    <row r="116" spans="1:3" x14ac:dyDescent="0.2">
      <c r="A116" s="249" t="s">
        <v>366</v>
      </c>
      <c r="B116" s="284">
        <v>1</v>
      </c>
      <c r="C116" s="249" t="s">
        <v>104</v>
      </c>
    </row>
    <row r="117" spans="1:3" x14ac:dyDescent="0.2">
      <c r="A117" s="249" t="s">
        <v>367</v>
      </c>
      <c r="B117" s="284">
        <v>1</v>
      </c>
      <c r="C117" s="249" t="s">
        <v>104</v>
      </c>
    </row>
    <row r="118" spans="1:3" x14ac:dyDescent="0.2">
      <c r="A118" s="94" t="s">
        <v>364</v>
      </c>
      <c r="B118" s="284">
        <v>1</v>
      </c>
      <c r="C118" s="92" t="s">
        <v>98</v>
      </c>
    </row>
    <row r="119" spans="1:3" x14ac:dyDescent="0.2">
      <c r="A119" s="94" t="s">
        <v>365</v>
      </c>
      <c r="B119" s="284">
        <v>1</v>
      </c>
      <c r="C119" s="92" t="s">
        <v>98</v>
      </c>
    </row>
    <row r="120" spans="1:3" x14ac:dyDescent="0.2">
      <c r="A120" s="263" t="s">
        <v>192</v>
      </c>
      <c r="B120" s="283">
        <v>1</v>
      </c>
      <c r="C120" s="249" t="s">
        <v>283</v>
      </c>
    </row>
    <row r="121" spans="1:3" x14ac:dyDescent="0.2">
      <c r="A121" s="263" t="s">
        <v>189</v>
      </c>
      <c r="B121" s="283">
        <v>1</v>
      </c>
      <c r="C121" s="249" t="s">
        <v>283</v>
      </c>
    </row>
    <row r="122" spans="1:3" x14ac:dyDescent="0.2">
      <c r="A122" s="263" t="s">
        <v>190</v>
      </c>
      <c r="B122" s="283">
        <v>1</v>
      </c>
      <c r="C122" s="249" t="s">
        <v>47</v>
      </c>
    </row>
    <row r="123" spans="1:3" x14ac:dyDescent="0.2">
      <c r="A123" s="263" t="s">
        <v>191</v>
      </c>
      <c r="B123" s="283">
        <v>1</v>
      </c>
      <c r="C123" s="249" t="s">
        <v>47</v>
      </c>
    </row>
    <row r="124" spans="1:3" x14ac:dyDescent="0.2">
      <c r="A124" s="263" t="s">
        <v>199</v>
      </c>
      <c r="B124" s="283">
        <v>1</v>
      </c>
      <c r="C124" s="249" t="s">
        <v>30</v>
      </c>
    </row>
    <row r="125" spans="1:3" x14ac:dyDescent="0.2">
      <c r="A125" s="249" t="s">
        <v>193</v>
      </c>
      <c r="B125" s="283">
        <v>1</v>
      </c>
      <c r="C125" s="249" t="s">
        <v>283</v>
      </c>
    </row>
    <row r="126" spans="1:3" x14ac:dyDescent="0.2">
      <c r="A126" s="249" t="s">
        <v>196</v>
      </c>
      <c r="B126" s="283">
        <v>1</v>
      </c>
      <c r="C126" s="249" t="s">
        <v>283</v>
      </c>
    </row>
    <row r="127" spans="1:3" x14ac:dyDescent="0.2">
      <c r="A127" s="268" t="s">
        <v>197</v>
      </c>
      <c r="B127" s="283">
        <v>1</v>
      </c>
      <c r="C127" s="249" t="s">
        <v>47</v>
      </c>
    </row>
    <row r="128" spans="1:3" x14ac:dyDescent="0.2">
      <c r="A128" s="262" t="s">
        <v>198</v>
      </c>
      <c r="B128" s="283">
        <v>1</v>
      </c>
      <c r="C128" s="249" t="s">
        <v>47</v>
      </c>
    </row>
    <row r="129" spans="1:3" x14ac:dyDescent="0.2">
      <c r="A129" s="263" t="s">
        <v>200</v>
      </c>
      <c r="B129" s="283">
        <v>1</v>
      </c>
      <c r="C129" s="249" t="s">
        <v>30</v>
      </c>
    </row>
    <row r="130" spans="1:3" x14ac:dyDescent="0.2">
      <c r="A130" s="262" t="s">
        <v>255</v>
      </c>
      <c r="B130" s="284">
        <v>1</v>
      </c>
    </row>
    <row r="131" spans="1:3" x14ac:dyDescent="0.2">
      <c r="A131" s="249" t="s">
        <v>83</v>
      </c>
      <c r="B131" s="284">
        <v>0.5</v>
      </c>
    </row>
    <row r="132" spans="1:3" ht="15" x14ac:dyDescent="0.2">
      <c r="A132" s="518" t="s">
        <v>180</v>
      </c>
      <c r="B132" s="518"/>
      <c r="C132" s="518"/>
    </row>
    <row r="133" spans="1:3" x14ac:dyDescent="0.2">
      <c r="A133" s="262" t="s">
        <v>374</v>
      </c>
      <c r="B133" s="283">
        <v>200</v>
      </c>
      <c r="C133" s="263" t="s">
        <v>54</v>
      </c>
    </row>
    <row r="134" spans="1:3" x14ac:dyDescent="0.2">
      <c r="A134" s="262" t="s">
        <v>375</v>
      </c>
      <c r="B134" s="283">
        <v>100</v>
      </c>
      <c r="C134" s="263" t="s">
        <v>54</v>
      </c>
    </row>
    <row r="135" spans="1:3" x14ac:dyDescent="0.2">
      <c r="A135" s="262" t="s">
        <v>376</v>
      </c>
      <c r="B135" s="283">
        <v>10</v>
      </c>
      <c r="C135" s="267" t="s">
        <v>359</v>
      </c>
    </row>
    <row r="136" spans="1:3" x14ac:dyDescent="0.2">
      <c r="A136" s="262" t="s">
        <v>377</v>
      </c>
      <c r="B136" s="283">
        <v>20</v>
      </c>
      <c r="C136" s="267" t="s">
        <v>359</v>
      </c>
    </row>
    <row r="137" spans="1:3" x14ac:dyDescent="0.2">
      <c r="A137" s="267" t="s">
        <v>378</v>
      </c>
      <c r="B137" s="284">
        <v>0.78</v>
      </c>
      <c r="C137" s="262" t="s">
        <v>30</v>
      </c>
    </row>
    <row r="138" spans="1:3" x14ac:dyDescent="0.2">
      <c r="A138" s="267" t="s">
        <v>379</v>
      </c>
      <c r="B138" s="284">
        <v>2.5</v>
      </c>
      <c r="C138" s="262" t="s">
        <v>30</v>
      </c>
    </row>
    <row r="139" spans="1:3" x14ac:dyDescent="0.2">
      <c r="A139" s="262" t="s">
        <v>380</v>
      </c>
      <c r="B139" s="283">
        <v>68.099999999999994</v>
      </c>
      <c r="C139" s="267" t="s">
        <v>254</v>
      </c>
    </row>
    <row r="140" spans="1:3" x14ac:dyDescent="0.2">
      <c r="A140" s="262" t="s">
        <v>381</v>
      </c>
      <c r="B140" s="283">
        <v>176.8</v>
      </c>
      <c r="C140" s="267" t="s">
        <v>254</v>
      </c>
    </row>
    <row r="141" spans="1:3" x14ac:dyDescent="0.2">
      <c r="A141" s="262" t="s">
        <v>382</v>
      </c>
      <c r="B141" s="283">
        <v>41.7</v>
      </c>
      <c r="C141" s="267" t="s">
        <v>254</v>
      </c>
    </row>
    <row r="142" spans="1:3" x14ac:dyDescent="0.2">
      <c r="A142" s="262" t="s">
        <v>383</v>
      </c>
      <c r="B142" s="283">
        <v>125.7</v>
      </c>
      <c r="C142" s="267" t="s">
        <v>254</v>
      </c>
    </row>
    <row r="143" spans="1:3" x14ac:dyDescent="0.2">
      <c r="A143" s="262" t="s">
        <v>479</v>
      </c>
      <c r="B143" s="283">
        <v>349.5</v>
      </c>
      <c r="C143" s="267" t="s">
        <v>254</v>
      </c>
    </row>
    <row r="144" spans="1:3" x14ac:dyDescent="0.2">
      <c r="A144" s="262" t="s">
        <v>480</v>
      </c>
      <c r="B144" s="283">
        <v>445.6</v>
      </c>
      <c r="C144" s="267" t="s">
        <v>254</v>
      </c>
    </row>
    <row r="145" spans="1:3" x14ac:dyDescent="0.2">
      <c r="A145" s="262" t="s">
        <v>481</v>
      </c>
      <c r="B145" s="283">
        <v>40.1</v>
      </c>
      <c r="C145" s="267" t="s">
        <v>254</v>
      </c>
    </row>
    <row r="146" spans="1:3" x14ac:dyDescent="0.2">
      <c r="A146" s="262" t="s">
        <v>482</v>
      </c>
      <c r="B146" s="283">
        <v>178</v>
      </c>
      <c r="C146" s="267" t="s">
        <v>254</v>
      </c>
    </row>
    <row r="147" spans="1:3" x14ac:dyDescent="0.2">
      <c r="A147" s="262" t="s">
        <v>326</v>
      </c>
      <c r="B147" s="283">
        <v>10.95</v>
      </c>
      <c r="C147" s="262" t="s">
        <v>254</v>
      </c>
    </row>
    <row r="148" spans="1:3" x14ac:dyDescent="0.2">
      <c r="A148" s="262" t="s">
        <v>327</v>
      </c>
      <c r="B148" s="283">
        <v>53.4</v>
      </c>
      <c r="C148" s="262" t="s">
        <v>254</v>
      </c>
    </row>
    <row r="149" spans="1:3" x14ac:dyDescent="0.2">
      <c r="A149" s="262" t="s">
        <v>483</v>
      </c>
      <c r="B149" s="283">
        <v>32.799999999999997</v>
      </c>
      <c r="C149" s="267" t="s">
        <v>254</v>
      </c>
    </row>
    <row r="150" spans="1:3" x14ac:dyDescent="0.2">
      <c r="A150" s="262" t="s">
        <v>484</v>
      </c>
      <c r="B150" s="283">
        <v>155.4</v>
      </c>
      <c r="C150" s="267" t="s">
        <v>254</v>
      </c>
    </row>
    <row r="151" spans="1:3" x14ac:dyDescent="0.2">
      <c r="A151" s="262" t="s">
        <v>324</v>
      </c>
      <c r="B151" s="283">
        <v>23.6</v>
      </c>
      <c r="C151" s="262" t="s">
        <v>254</v>
      </c>
    </row>
    <row r="152" spans="1:3" x14ac:dyDescent="0.2">
      <c r="A152" s="262" t="s">
        <v>325</v>
      </c>
      <c r="B152" s="283">
        <v>106.6</v>
      </c>
      <c r="C152" s="262" t="s">
        <v>254</v>
      </c>
    </row>
    <row r="153" spans="1:3" x14ac:dyDescent="0.2">
      <c r="A153" s="262" t="s">
        <v>328</v>
      </c>
      <c r="B153" s="283">
        <v>18.5</v>
      </c>
      <c r="C153" s="262" t="s">
        <v>254</v>
      </c>
    </row>
    <row r="154" spans="1:3" x14ac:dyDescent="0.2">
      <c r="A154" s="262" t="s">
        <v>329</v>
      </c>
      <c r="B154" s="283">
        <v>97.9</v>
      </c>
      <c r="C154" s="262" t="s">
        <v>254</v>
      </c>
    </row>
    <row r="155" spans="1:3" x14ac:dyDescent="0.2">
      <c r="A155" s="262" t="s">
        <v>384</v>
      </c>
      <c r="B155" s="284">
        <v>6</v>
      </c>
      <c r="C155" s="93" t="s">
        <v>69</v>
      </c>
    </row>
    <row r="156" spans="1:3" x14ac:dyDescent="0.2">
      <c r="A156" s="262" t="s">
        <v>385</v>
      </c>
      <c r="B156" s="284">
        <v>34</v>
      </c>
      <c r="C156" s="93" t="s">
        <v>69</v>
      </c>
    </row>
    <row r="157" spans="1:3" x14ac:dyDescent="0.2">
      <c r="A157" s="262" t="s">
        <v>386</v>
      </c>
      <c r="B157" s="284">
        <v>40</v>
      </c>
      <c r="C157" s="93" t="s">
        <v>69</v>
      </c>
    </row>
    <row r="158" spans="1:3" x14ac:dyDescent="0.2">
      <c r="A158" s="262" t="s">
        <v>387</v>
      </c>
      <c r="B158" s="284">
        <v>350</v>
      </c>
      <c r="C158" s="262" t="s">
        <v>26</v>
      </c>
    </row>
    <row r="159" spans="1:3" x14ac:dyDescent="0.2">
      <c r="A159" s="262" t="s">
        <v>388</v>
      </c>
      <c r="B159" s="284">
        <v>350</v>
      </c>
      <c r="C159" s="262" t="s">
        <v>26</v>
      </c>
    </row>
    <row r="160" spans="1:3" x14ac:dyDescent="0.2">
      <c r="A160" s="262" t="s">
        <v>389</v>
      </c>
      <c r="B160" s="283">
        <v>24</v>
      </c>
      <c r="C160" s="263" t="s">
        <v>224</v>
      </c>
    </row>
    <row r="161" spans="1:3" x14ac:dyDescent="0.2">
      <c r="A161" s="262" t="s">
        <v>390</v>
      </c>
      <c r="B161" s="283">
        <v>24</v>
      </c>
      <c r="C161" s="263" t="s">
        <v>224</v>
      </c>
    </row>
    <row r="162" spans="1:3" x14ac:dyDescent="0.2">
      <c r="A162" s="262" t="s">
        <v>396</v>
      </c>
      <c r="B162" s="283">
        <v>24</v>
      </c>
      <c r="C162" s="263" t="s">
        <v>224</v>
      </c>
    </row>
    <row r="163" spans="1:3" x14ac:dyDescent="0.2">
      <c r="A163" s="249" t="s">
        <v>393</v>
      </c>
      <c r="B163" s="283">
        <v>0.54</v>
      </c>
      <c r="C163" s="267" t="s">
        <v>395</v>
      </c>
    </row>
    <row r="164" spans="1:3" x14ac:dyDescent="0.2">
      <c r="A164" s="249" t="s">
        <v>394</v>
      </c>
      <c r="B164" s="283">
        <v>0.71</v>
      </c>
      <c r="C164" s="267" t="s">
        <v>395</v>
      </c>
    </row>
    <row r="165" spans="1:3" x14ac:dyDescent="0.2">
      <c r="A165" s="262" t="s">
        <v>391</v>
      </c>
      <c r="B165" s="283">
        <v>12.167999999999999</v>
      </c>
      <c r="C165" s="263" t="s">
        <v>224</v>
      </c>
    </row>
    <row r="166" spans="1:3" x14ac:dyDescent="0.2">
      <c r="A166" s="262" t="s">
        <v>392</v>
      </c>
      <c r="B166" s="283">
        <v>10.007999999999999</v>
      </c>
      <c r="C166" s="263" t="s">
        <v>224</v>
      </c>
    </row>
    <row r="167" spans="1:3" x14ac:dyDescent="0.2">
      <c r="A167" s="262" t="s">
        <v>397</v>
      </c>
      <c r="B167" s="283">
        <v>1</v>
      </c>
      <c r="C167" s="267" t="s">
        <v>166</v>
      </c>
    </row>
    <row r="168" spans="1:3" x14ac:dyDescent="0.2">
      <c r="A168" s="262" t="s">
        <v>398</v>
      </c>
      <c r="B168" s="283">
        <v>1</v>
      </c>
      <c r="C168" s="267" t="s">
        <v>166</v>
      </c>
    </row>
    <row r="169" spans="1:3" x14ac:dyDescent="0.2">
      <c r="A169" s="262" t="s">
        <v>103</v>
      </c>
      <c r="B169" s="283">
        <v>0.4</v>
      </c>
      <c r="C169" s="247"/>
    </row>
    <row r="170" spans="1:3" x14ac:dyDescent="0.2">
      <c r="A170" s="262" t="s">
        <v>158</v>
      </c>
      <c r="B170" s="283">
        <v>0.4</v>
      </c>
      <c r="C170" s="247"/>
    </row>
    <row r="171" spans="1:3" x14ac:dyDescent="0.2">
      <c r="A171" s="262" t="s">
        <v>159</v>
      </c>
      <c r="B171" s="283">
        <v>1</v>
      </c>
      <c r="C171" s="247"/>
    </row>
    <row r="172" spans="1:3" x14ac:dyDescent="0.2">
      <c r="A172" s="262" t="s">
        <v>62</v>
      </c>
      <c r="B172" s="283">
        <v>1</v>
      </c>
      <c r="C172" s="247"/>
    </row>
    <row r="173" spans="1:3" x14ac:dyDescent="0.2">
      <c r="A173" s="262" t="s">
        <v>255</v>
      </c>
      <c r="B173" s="284">
        <v>1</v>
      </c>
      <c r="C173" s="247"/>
    </row>
    <row r="174" spans="1:3" x14ac:dyDescent="0.2">
      <c r="A174" s="267" t="s">
        <v>399</v>
      </c>
      <c r="B174" s="283">
        <v>1</v>
      </c>
      <c r="C174" s="247"/>
    </row>
    <row r="175" spans="1:3" x14ac:dyDescent="0.2">
      <c r="A175" s="267" t="s">
        <v>400</v>
      </c>
      <c r="B175" s="283">
        <v>1</v>
      </c>
      <c r="C175" s="247"/>
    </row>
    <row r="176" spans="1:3" x14ac:dyDescent="0.2">
      <c r="A176" s="267" t="s">
        <v>401</v>
      </c>
      <c r="B176" s="283">
        <v>1</v>
      </c>
      <c r="C176" s="247"/>
    </row>
    <row r="177" spans="1:3" x14ac:dyDescent="0.2">
      <c r="A177" s="267" t="s">
        <v>402</v>
      </c>
      <c r="B177" s="283">
        <v>1</v>
      </c>
      <c r="C177" s="247"/>
    </row>
    <row r="178" spans="1:3" x14ac:dyDescent="0.2">
      <c r="A178" s="267" t="s">
        <v>403</v>
      </c>
      <c r="B178" s="283">
        <v>1</v>
      </c>
      <c r="C178" s="247"/>
    </row>
    <row r="179" spans="1:3" x14ac:dyDescent="0.2">
      <c r="A179" s="267" t="s">
        <v>404</v>
      </c>
      <c r="B179" s="283">
        <v>1</v>
      </c>
      <c r="C179" s="247"/>
    </row>
    <row r="180" spans="1:3" x14ac:dyDescent="0.2">
      <c r="A180" s="267" t="s">
        <v>405</v>
      </c>
      <c r="B180" s="284">
        <v>1</v>
      </c>
      <c r="C180" s="247"/>
    </row>
    <row r="181" spans="1:3" x14ac:dyDescent="0.2">
      <c r="A181" s="262" t="s">
        <v>41</v>
      </c>
      <c r="B181" s="284">
        <v>3.62</v>
      </c>
      <c r="C181" s="249" t="s">
        <v>42</v>
      </c>
    </row>
    <row r="182" spans="1:3" x14ac:dyDescent="0.2">
      <c r="A182" s="262" t="s">
        <v>46</v>
      </c>
      <c r="B182" s="284">
        <v>0.25</v>
      </c>
      <c r="C182" s="249" t="s">
        <v>47</v>
      </c>
    </row>
    <row r="183" spans="1:3" x14ac:dyDescent="0.2">
      <c r="A183" s="267" t="s">
        <v>60</v>
      </c>
      <c r="B183" s="284">
        <v>10950</v>
      </c>
      <c r="C183" s="249" t="s">
        <v>61</v>
      </c>
    </row>
    <row r="184" spans="1:3" x14ac:dyDescent="0.2">
      <c r="A184" s="267" t="s">
        <v>65</v>
      </c>
      <c r="B184" s="284">
        <v>240</v>
      </c>
      <c r="C184" s="249" t="s">
        <v>66</v>
      </c>
    </row>
    <row r="185" spans="1:3" x14ac:dyDescent="0.2">
      <c r="A185" s="267" t="s">
        <v>76</v>
      </c>
      <c r="B185" s="284">
        <v>0.42</v>
      </c>
      <c r="C185" s="249" t="s">
        <v>47</v>
      </c>
    </row>
    <row r="186" spans="1:3" x14ac:dyDescent="0.2">
      <c r="A186" s="267" t="s">
        <v>85</v>
      </c>
      <c r="B186" s="284">
        <v>60</v>
      </c>
      <c r="C186" s="262" t="s">
        <v>61</v>
      </c>
    </row>
    <row r="187" spans="1:3" x14ac:dyDescent="0.2">
      <c r="A187" s="267" t="s">
        <v>87</v>
      </c>
      <c r="B187" s="284">
        <v>2</v>
      </c>
      <c r="C187" s="262" t="s">
        <v>66</v>
      </c>
    </row>
    <row r="188" spans="1:3" x14ac:dyDescent="0.2">
      <c r="A188" s="267" t="s">
        <v>89</v>
      </c>
      <c r="B188" s="284">
        <v>2.6999999999999999E-5</v>
      </c>
      <c r="C188" s="249" t="s">
        <v>82</v>
      </c>
    </row>
    <row r="189" spans="1:3" x14ac:dyDescent="0.2">
      <c r="A189" s="267" t="s">
        <v>91</v>
      </c>
      <c r="B189" s="284">
        <v>1</v>
      </c>
      <c r="C189" s="249" t="s">
        <v>47</v>
      </c>
    </row>
    <row r="190" spans="1:3" x14ac:dyDescent="0.2">
      <c r="A190" s="267" t="s">
        <v>92</v>
      </c>
      <c r="B190" s="284">
        <v>14</v>
      </c>
      <c r="C190" s="249" t="s">
        <v>93</v>
      </c>
    </row>
    <row r="191" spans="1:3" x14ac:dyDescent="0.2">
      <c r="A191" s="262" t="s">
        <v>29</v>
      </c>
      <c r="B191" s="284">
        <v>92</v>
      </c>
      <c r="C191" s="262" t="s">
        <v>30</v>
      </c>
    </row>
    <row r="192" spans="1:3" x14ac:dyDescent="0.2">
      <c r="A192" s="249" t="s">
        <v>287</v>
      </c>
      <c r="B192" s="283">
        <v>1.03</v>
      </c>
      <c r="C192" s="249" t="s">
        <v>288</v>
      </c>
    </row>
    <row r="193" spans="1:3" x14ac:dyDescent="0.2">
      <c r="A193" s="262" t="s">
        <v>406</v>
      </c>
      <c r="B193" s="284">
        <v>20.3</v>
      </c>
      <c r="C193" s="249" t="s">
        <v>283</v>
      </c>
    </row>
    <row r="194" spans="1:3" x14ac:dyDescent="0.2">
      <c r="A194" s="262" t="s">
        <v>407</v>
      </c>
      <c r="B194" s="284">
        <v>0.4</v>
      </c>
      <c r="C194" s="249" t="s">
        <v>283</v>
      </c>
    </row>
    <row r="195" spans="1:3" x14ac:dyDescent="0.2">
      <c r="A195" s="262" t="s">
        <v>408</v>
      </c>
      <c r="B195" s="284">
        <v>1</v>
      </c>
      <c r="C195" s="247"/>
    </row>
    <row r="196" spans="1:3" x14ac:dyDescent="0.2">
      <c r="A196" s="262" t="s">
        <v>409</v>
      </c>
      <c r="B196" s="284">
        <v>1</v>
      </c>
      <c r="C196" s="247"/>
    </row>
    <row r="197" spans="1:3" x14ac:dyDescent="0.2">
      <c r="A197" s="262" t="s">
        <v>31</v>
      </c>
      <c r="B197" s="284">
        <v>53</v>
      </c>
      <c r="C197" s="262" t="s">
        <v>30</v>
      </c>
    </row>
    <row r="198" spans="1:3" x14ac:dyDescent="0.2">
      <c r="A198" s="262" t="s">
        <v>410</v>
      </c>
      <c r="B198" s="284">
        <v>11.77</v>
      </c>
      <c r="C198" s="249" t="s">
        <v>283</v>
      </c>
    </row>
    <row r="199" spans="1:3" x14ac:dyDescent="0.2">
      <c r="A199" s="262" t="s">
        <v>411</v>
      </c>
      <c r="B199" s="284">
        <v>0.5</v>
      </c>
      <c r="C199" s="249" t="s">
        <v>283</v>
      </c>
    </row>
    <row r="200" spans="1:3" x14ac:dyDescent="0.2">
      <c r="A200" s="262" t="s">
        <v>412</v>
      </c>
      <c r="B200" s="284">
        <v>1</v>
      </c>
      <c r="C200" s="247"/>
    </row>
    <row r="201" spans="1:3" x14ac:dyDescent="0.2">
      <c r="A201" s="262" t="s">
        <v>413</v>
      </c>
      <c r="B201" s="284">
        <v>1</v>
      </c>
      <c r="C201" s="247"/>
    </row>
    <row r="202" spans="1:3" x14ac:dyDescent="0.2">
      <c r="A202" s="262" t="s">
        <v>173</v>
      </c>
      <c r="B202" s="283">
        <v>0.4</v>
      </c>
      <c r="C202" s="262" t="s">
        <v>30</v>
      </c>
    </row>
    <row r="203" spans="1:3" x14ac:dyDescent="0.2">
      <c r="A203" s="262" t="s">
        <v>177</v>
      </c>
      <c r="B203" s="284">
        <v>0.2</v>
      </c>
      <c r="C203" s="249" t="s">
        <v>283</v>
      </c>
    </row>
    <row r="204" spans="1:3" x14ac:dyDescent="0.2">
      <c r="A204" s="262" t="s">
        <v>176</v>
      </c>
      <c r="B204" s="284">
        <v>2.1999999999999999E-2</v>
      </c>
      <c r="C204" s="249" t="s">
        <v>283</v>
      </c>
    </row>
    <row r="205" spans="1:3" x14ac:dyDescent="0.2">
      <c r="A205" s="262" t="s">
        <v>178</v>
      </c>
      <c r="B205" s="283">
        <v>1</v>
      </c>
      <c r="C205" s="247"/>
    </row>
    <row r="206" spans="1:3" x14ac:dyDescent="0.2">
      <c r="A206" s="262" t="s">
        <v>179</v>
      </c>
      <c r="B206" s="283">
        <v>1</v>
      </c>
      <c r="C206" s="247"/>
    </row>
    <row r="207" spans="1:3" x14ac:dyDescent="0.2">
      <c r="A207" s="262" t="s">
        <v>414</v>
      </c>
      <c r="B207" s="283">
        <v>0.4</v>
      </c>
      <c r="C207" s="262" t="s">
        <v>30</v>
      </c>
    </row>
    <row r="208" spans="1:3" x14ac:dyDescent="0.2">
      <c r="A208" s="262" t="s">
        <v>415</v>
      </c>
      <c r="B208" s="284">
        <v>0.2</v>
      </c>
      <c r="C208" s="249" t="s">
        <v>283</v>
      </c>
    </row>
    <row r="209" spans="1:3" x14ac:dyDescent="0.2">
      <c r="A209" s="262" t="s">
        <v>416</v>
      </c>
      <c r="B209" s="284">
        <v>2.1999999999999999E-2</v>
      </c>
      <c r="C209" s="249" t="s">
        <v>283</v>
      </c>
    </row>
    <row r="210" spans="1:3" x14ac:dyDescent="0.2">
      <c r="A210" s="262" t="s">
        <v>417</v>
      </c>
      <c r="B210" s="284">
        <v>1</v>
      </c>
      <c r="C210" s="247"/>
    </row>
    <row r="211" spans="1:3" x14ac:dyDescent="0.2">
      <c r="A211" s="262" t="s">
        <v>418</v>
      </c>
      <c r="B211" s="284">
        <v>1</v>
      </c>
      <c r="C211" s="247"/>
    </row>
    <row r="212" spans="1:3" x14ac:dyDescent="0.2">
      <c r="A212" s="262" t="s">
        <v>174</v>
      </c>
      <c r="B212" s="284">
        <v>11.4</v>
      </c>
      <c r="C212" s="262" t="s">
        <v>30</v>
      </c>
    </row>
    <row r="213" spans="1:3" x14ac:dyDescent="0.2">
      <c r="A213" s="262" t="s">
        <v>419</v>
      </c>
      <c r="B213" s="284">
        <v>4.7</v>
      </c>
      <c r="C213" s="249" t="s">
        <v>283</v>
      </c>
    </row>
    <row r="214" spans="1:3" x14ac:dyDescent="0.2">
      <c r="A214" s="262" t="s">
        <v>420</v>
      </c>
      <c r="B214" s="284">
        <v>0.37</v>
      </c>
      <c r="C214" s="249" t="s">
        <v>283</v>
      </c>
    </row>
    <row r="215" spans="1:3" x14ac:dyDescent="0.2">
      <c r="A215" s="262" t="s">
        <v>421</v>
      </c>
      <c r="B215" s="284">
        <v>1</v>
      </c>
      <c r="C215" s="247"/>
    </row>
    <row r="216" spans="1:3" x14ac:dyDescent="0.2">
      <c r="A216" s="262" t="s">
        <v>422</v>
      </c>
      <c r="B216" s="284">
        <v>1</v>
      </c>
      <c r="C216" s="247"/>
    </row>
    <row r="217" spans="1:3" x14ac:dyDescent="0.2">
      <c r="A217" s="249" t="s">
        <v>83</v>
      </c>
      <c r="B217" s="284">
        <v>0.5</v>
      </c>
    </row>
    <row r="218" spans="1:3" x14ac:dyDescent="0.2">
      <c r="A218" s="558" t="s">
        <v>423</v>
      </c>
      <c r="B218" s="558"/>
      <c r="C218" s="558"/>
    </row>
    <row r="219" spans="1:3" x14ac:dyDescent="0.2">
      <c r="A219" s="249" t="s">
        <v>424</v>
      </c>
      <c r="B219" s="283">
        <v>60</v>
      </c>
      <c r="C219" s="263" t="s">
        <v>359</v>
      </c>
    </row>
    <row r="220" spans="1:3" x14ac:dyDescent="0.2">
      <c r="A220" s="262" t="s">
        <v>425</v>
      </c>
      <c r="B220" s="283">
        <v>250</v>
      </c>
      <c r="C220" s="249" t="s">
        <v>26</v>
      </c>
    </row>
    <row r="221" spans="1:3" x14ac:dyDescent="0.2">
      <c r="A221" s="262" t="s">
        <v>75</v>
      </c>
      <c r="B221" s="284">
        <v>25</v>
      </c>
      <c r="C221" s="249" t="s">
        <v>69</v>
      </c>
    </row>
    <row r="222" spans="1:3" x14ac:dyDescent="0.2">
      <c r="A222" s="262" t="s">
        <v>426</v>
      </c>
      <c r="B222" s="283">
        <v>100</v>
      </c>
      <c r="C222" s="263" t="s">
        <v>54</v>
      </c>
    </row>
    <row r="223" spans="1:3" x14ac:dyDescent="0.2">
      <c r="A223" s="249" t="s">
        <v>353</v>
      </c>
      <c r="B223" s="284">
        <v>1</v>
      </c>
      <c r="C223" s="247"/>
    </row>
    <row r="224" spans="1:3" x14ac:dyDescent="0.2">
      <c r="A224" s="262" t="s">
        <v>56</v>
      </c>
      <c r="B224" s="284">
        <v>1</v>
      </c>
      <c r="C224" s="247"/>
    </row>
    <row r="225" spans="1:3" x14ac:dyDescent="0.2">
      <c r="A225" s="262" t="s">
        <v>52</v>
      </c>
      <c r="B225" s="284">
        <v>0.4</v>
      </c>
      <c r="C225" s="247"/>
    </row>
    <row r="226" spans="1:3" x14ac:dyDescent="0.2">
      <c r="A226" s="262" t="s">
        <v>62</v>
      </c>
      <c r="B226" s="284">
        <v>1</v>
      </c>
      <c r="C226" s="247"/>
    </row>
    <row r="227" spans="1:3" x14ac:dyDescent="0.2">
      <c r="A227" s="262" t="s">
        <v>467</v>
      </c>
      <c r="B227" s="283">
        <v>4</v>
      </c>
      <c r="C227" s="249" t="s">
        <v>224</v>
      </c>
    </row>
    <row r="228" spans="1:3" x14ac:dyDescent="0.2">
      <c r="A228" s="262" t="s">
        <v>468</v>
      </c>
      <c r="B228" s="283">
        <v>4</v>
      </c>
      <c r="C228" s="249" t="s">
        <v>224</v>
      </c>
    </row>
    <row r="229" spans="1:3" x14ac:dyDescent="0.2">
      <c r="A229" s="262" t="s">
        <v>103</v>
      </c>
      <c r="B229" s="283">
        <v>0.4</v>
      </c>
      <c r="C229" s="247"/>
    </row>
    <row r="230" spans="1:3" x14ac:dyDescent="0.2">
      <c r="A230" s="558" t="s">
        <v>427</v>
      </c>
      <c r="B230" s="558"/>
      <c r="C230" s="558"/>
    </row>
    <row r="231" spans="1:3" x14ac:dyDescent="0.2">
      <c r="A231" s="249" t="s">
        <v>428</v>
      </c>
      <c r="B231" s="283">
        <v>60</v>
      </c>
      <c r="C231" s="263" t="s">
        <v>359</v>
      </c>
    </row>
    <row r="232" spans="1:3" x14ac:dyDescent="0.2">
      <c r="A232" s="262" t="s">
        <v>40</v>
      </c>
      <c r="B232" s="283">
        <v>250</v>
      </c>
      <c r="C232" s="249" t="s">
        <v>26</v>
      </c>
    </row>
    <row r="233" spans="1:3" x14ac:dyDescent="0.2">
      <c r="A233" s="262" t="s">
        <v>429</v>
      </c>
      <c r="B233" s="284">
        <v>25</v>
      </c>
      <c r="C233" s="249" t="s">
        <v>69</v>
      </c>
    </row>
    <row r="234" spans="1:3" x14ac:dyDescent="0.2">
      <c r="A234" s="262" t="s">
        <v>79</v>
      </c>
      <c r="B234" s="283">
        <v>50</v>
      </c>
      <c r="C234" s="263" t="s">
        <v>54</v>
      </c>
    </row>
    <row r="235" spans="1:3" x14ac:dyDescent="0.2">
      <c r="A235" s="249" t="s">
        <v>353</v>
      </c>
      <c r="B235" s="284">
        <v>1</v>
      </c>
      <c r="C235" s="247"/>
    </row>
    <row r="236" spans="1:3" x14ac:dyDescent="0.2">
      <c r="A236" s="262" t="s">
        <v>56</v>
      </c>
      <c r="B236" s="284">
        <v>1</v>
      </c>
      <c r="C236" s="247"/>
    </row>
    <row r="237" spans="1:3" x14ac:dyDescent="0.2">
      <c r="A237" s="262" t="s">
        <v>52</v>
      </c>
      <c r="B237" s="284">
        <v>0.4</v>
      </c>
      <c r="C237" s="247"/>
    </row>
    <row r="238" spans="1:3" x14ac:dyDescent="0.2">
      <c r="A238" s="262" t="s">
        <v>62</v>
      </c>
      <c r="B238" s="284">
        <v>1</v>
      </c>
      <c r="C238" s="247"/>
    </row>
    <row r="239" spans="1:3" x14ac:dyDescent="0.2">
      <c r="A239" s="262" t="s">
        <v>469</v>
      </c>
      <c r="B239" s="283">
        <v>0</v>
      </c>
      <c r="C239" s="249" t="s">
        <v>224</v>
      </c>
    </row>
    <row r="240" spans="1:3" x14ac:dyDescent="0.2">
      <c r="A240" s="262" t="s">
        <v>470</v>
      </c>
      <c r="B240" s="283">
        <v>8</v>
      </c>
      <c r="C240" s="249" t="s">
        <v>224</v>
      </c>
    </row>
    <row r="241" spans="1:3" x14ac:dyDescent="0.2">
      <c r="A241" s="262" t="s">
        <v>103</v>
      </c>
      <c r="B241" s="283">
        <v>0.4</v>
      </c>
      <c r="C241" s="247"/>
    </row>
    <row r="242" spans="1:3" x14ac:dyDescent="0.2">
      <c r="A242" s="558" t="s">
        <v>430</v>
      </c>
      <c r="B242" s="558"/>
      <c r="C242" s="558"/>
    </row>
    <row r="243" spans="1:3" x14ac:dyDescent="0.2">
      <c r="A243" s="249" t="s">
        <v>58</v>
      </c>
      <c r="B243" s="283">
        <v>60</v>
      </c>
      <c r="C243" s="263" t="s">
        <v>359</v>
      </c>
    </row>
    <row r="244" spans="1:3" x14ac:dyDescent="0.2">
      <c r="A244" s="262" t="s">
        <v>431</v>
      </c>
      <c r="B244" s="283">
        <v>225</v>
      </c>
      <c r="C244" s="249" t="s">
        <v>26</v>
      </c>
    </row>
    <row r="245" spans="1:3" x14ac:dyDescent="0.2">
      <c r="A245" s="262" t="s">
        <v>432</v>
      </c>
      <c r="B245" s="284">
        <v>25</v>
      </c>
      <c r="C245" s="249" t="s">
        <v>69</v>
      </c>
    </row>
    <row r="246" spans="1:3" x14ac:dyDescent="0.2">
      <c r="A246" s="262" t="s">
        <v>433</v>
      </c>
      <c r="B246" s="283">
        <v>100</v>
      </c>
      <c r="C246" s="263" t="s">
        <v>54</v>
      </c>
    </row>
    <row r="247" spans="1:3" x14ac:dyDescent="0.2">
      <c r="A247" s="249" t="s">
        <v>353</v>
      </c>
      <c r="B247" s="284">
        <v>1</v>
      </c>
      <c r="C247" s="247"/>
    </row>
    <row r="248" spans="1:3" x14ac:dyDescent="0.2">
      <c r="A248" s="262" t="s">
        <v>56</v>
      </c>
      <c r="B248" s="284">
        <v>1</v>
      </c>
      <c r="C248" s="247"/>
    </row>
    <row r="249" spans="1:3" x14ac:dyDescent="0.2">
      <c r="A249" s="262" t="s">
        <v>52</v>
      </c>
      <c r="B249" s="284">
        <v>0.4</v>
      </c>
      <c r="C249" s="247"/>
    </row>
    <row r="250" spans="1:3" x14ac:dyDescent="0.2">
      <c r="A250" s="262" t="s">
        <v>62</v>
      </c>
      <c r="B250" s="284">
        <v>1</v>
      </c>
      <c r="C250" s="247"/>
    </row>
    <row r="251" spans="1:3" x14ac:dyDescent="0.2">
      <c r="A251" s="262" t="s">
        <v>466</v>
      </c>
      <c r="B251" s="283">
        <v>8</v>
      </c>
      <c r="C251" s="249" t="s">
        <v>224</v>
      </c>
    </row>
    <row r="252" spans="1:3" x14ac:dyDescent="0.2">
      <c r="A252" s="262" t="s">
        <v>465</v>
      </c>
      <c r="B252" s="283">
        <v>0</v>
      </c>
      <c r="C252" s="249" t="s">
        <v>224</v>
      </c>
    </row>
    <row r="253" spans="1:3" x14ac:dyDescent="0.2">
      <c r="A253" s="262" t="s">
        <v>103</v>
      </c>
      <c r="B253" s="283">
        <v>0.4</v>
      </c>
      <c r="C253" s="247"/>
    </row>
    <row r="254" spans="1:3" x14ac:dyDescent="0.2">
      <c r="A254" s="558" t="s">
        <v>434</v>
      </c>
      <c r="B254" s="558"/>
      <c r="C254" s="558"/>
    </row>
    <row r="255" spans="1:3" x14ac:dyDescent="0.2">
      <c r="A255" s="249" t="s">
        <v>435</v>
      </c>
      <c r="B255" s="283">
        <v>60</v>
      </c>
      <c r="C255" s="263" t="s">
        <v>359</v>
      </c>
    </row>
    <row r="256" spans="1:3" x14ac:dyDescent="0.2">
      <c r="A256" s="262" t="s">
        <v>221</v>
      </c>
      <c r="B256" s="283">
        <v>130</v>
      </c>
      <c r="C256" s="249" t="s">
        <v>26</v>
      </c>
    </row>
    <row r="257" spans="1:3" x14ac:dyDescent="0.2">
      <c r="A257" s="262" t="s">
        <v>186</v>
      </c>
      <c r="B257" s="284">
        <v>1</v>
      </c>
      <c r="C257" s="249" t="s">
        <v>69</v>
      </c>
    </row>
    <row r="258" spans="1:3" x14ac:dyDescent="0.2">
      <c r="A258" s="262" t="s">
        <v>436</v>
      </c>
      <c r="B258" s="283">
        <v>330</v>
      </c>
      <c r="C258" s="263" t="s">
        <v>54</v>
      </c>
    </row>
    <row r="259" spans="1:3" x14ac:dyDescent="0.2">
      <c r="A259" s="249" t="s">
        <v>353</v>
      </c>
      <c r="B259" s="284">
        <v>1</v>
      </c>
      <c r="C259" s="247"/>
    </row>
    <row r="260" spans="1:3" x14ac:dyDescent="0.2">
      <c r="A260" s="262" t="s">
        <v>56</v>
      </c>
      <c r="B260" s="284">
        <v>1</v>
      </c>
      <c r="C260" s="247"/>
    </row>
    <row r="261" spans="1:3" x14ac:dyDescent="0.2">
      <c r="A261" s="262" t="s">
        <v>52</v>
      </c>
      <c r="B261" s="284">
        <v>0.4</v>
      </c>
      <c r="C261" s="247"/>
    </row>
    <row r="262" spans="1:3" x14ac:dyDescent="0.2">
      <c r="A262" s="262" t="s">
        <v>62</v>
      </c>
      <c r="B262" s="284">
        <v>1</v>
      </c>
      <c r="C262" s="247"/>
    </row>
    <row r="263" spans="1:3" x14ac:dyDescent="0.2">
      <c r="A263" s="262" t="s">
        <v>471</v>
      </c>
      <c r="B263" s="283">
        <v>8</v>
      </c>
      <c r="C263" s="249" t="s">
        <v>224</v>
      </c>
    </row>
    <row r="264" spans="1:3" x14ac:dyDescent="0.2">
      <c r="A264" s="262" t="s">
        <v>472</v>
      </c>
      <c r="B264" s="283">
        <v>0</v>
      </c>
      <c r="C264" s="249" t="s">
        <v>224</v>
      </c>
    </row>
    <row r="265" spans="1:3" x14ac:dyDescent="0.2">
      <c r="A265" s="262" t="s">
        <v>103</v>
      </c>
      <c r="B265" s="283">
        <v>0.4</v>
      </c>
      <c r="C265" s="247"/>
    </row>
    <row r="266" spans="1:3" x14ac:dyDescent="0.2">
      <c r="A266" s="262" t="s">
        <v>220</v>
      </c>
      <c r="B266" s="283">
        <v>5</v>
      </c>
      <c r="C266" s="249" t="s">
        <v>129</v>
      </c>
    </row>
    <row r="267" spans="1:3" x14ac:dyDescent="0.2">
      <c r="A267" s="262" t="s">
        <v>219</v>
      </c>
      <c r="B267" s="283">
        <v>26</v>
      </c>
      <c r="C267" s="249" t="s">
        <v>130</v>
      </c>
    </row>
    <row r="268" spans="1:3" x14ac:dyDescent="0.2">
      <c r="A268" s="558" t="s">
        <v>437</v>
      </c>
      <c r="B268" s="558"/>
      <c r="C268" s="558"/>
    </row>
    <row r="269" spans="1:3" x14ac:dyDescent="0.2">
      <c r="A269" s="249" t="s">
        <v>435</v>
      </c>
      <c r="B269" s="283">
        <v>60</v>
      </c>
      <c r="C269" s="263" t="s">
        <v>359</v>
      </c>
    </row>
    <row r="270" spans="1:3" x14ac:dyDescent="0.2">
      <c r="A270" s="262" t="s">
        <v>221</v>
      </c>
      <c r="B270" s="283">
        <v>130</v>
      </c>
      <c r="C270" s="249" t="s">
        <v>26</v>
      </c>
    </row>
    <row r="271" spans="1:3" x14ac:dyDescent="0.2">
      <c r="A271" s="262" t="s">
        <v>186</v>
      </c>
      <c r="B271" s="284">
        <v>1</v>
      </c>
      <c r="C271" s="249" t="s">
        <v>69</v>
      </c>
    </row>
    <row r="272" spans="1:3" x14ac:dyDescent="0.2">
      <c r="A272" s="262" t="s">
        <v>436</v>
      </c>
      <c r="B272" s="283">
        <v>330</v>
      </c>
      <c r="C272" s="263" t="s">
        <v>54</v>
      </c>
    </row>
    <row r="273" spans="1:3" x14ac:dyDescent="0.2">
      <c r="A273" s="262" t="s">
        <v>56</v>
      </c>
      <c r="B273" s="284">
        <v>1</v>
      </c>
      <c r="C273" s="247"/>
    </row>
    <row r="274" spans="1:3" x14ac:dyDescent="0.2">
      <c r="A274" s="262" t="s">
        <v>52</v>
      </c>
      <c r="B274" s="284">
        <v>0.4</v>
      </c>
      <c r="C274" s="247"/>
    </row>
    <row r="275" spans="1:3" x14ac:dyDescent="0.2">
      <c r="A275" s="262" t="s">
        <v>62</v>
      </c>
      <c r="B275" s="284">
        <v>1</v>
      </c>
      <c r="C275" s="247"/>
    </row>
    <row r="276" spans="1:3" x14ac:dyDescent="0.2">
      <c r="A276" s="262" t="s">
        <v>471</v>
      </c>
      <c r="B276" s="283">
        <v>8</v>
      </c>
      <c r="C276" s="249" t="s">
        <v>224</v>
      </c>
    </row>
    <row r="277" spans="1:3" x14ac:dyDescent="0.2">
      <c r="A277" s="262" t="s">
        <v>472</v>
      </c>
      <c r="B277" s="283">
        <v>0</v>
      </c>
      <c r="C277" s="249" t="s">
        <v>224</v>
      </c>
    </row>
    <row r="278" spans="1:3" x14ac:dyDescent="0.2">
      <c r="A278" s="262" t="s">
        <v>103</v>
      </c>
      <c r="B278" s="283">
        <v>0.4</v>
      </c>
      <c r="C278" s="247"/>
    </row>
    <row r="279" spans="1:3" x14ac:dyDescent="0.2">
      <c r="A279" s="262" t="s">
        <v>220</v>
      </c>
      <c r="B279" s="283">
        <v>5</v>
      </c>
      <c r="C279" s="249" t="s">
        <v>129</v>
      </c>
    </row>
    <row r="280" spans="1:3" x14ac:dyDescent="0.2">
      <c r="A280" s="262" t="s">
        <v>219</v>
      </c>
      <c r="B280" s="283">
        <v>26</v>
      </c>
      <c r="C280" s="249" t="s">
        <v>130</v>
      </c>
    </row>
    <row r="281" spans="1:3" x14ac:dyDescent="0.2">
      <c r="A281" s="663" t="s">
        <v>576</v>
      </c>
      <c r="B281" s="663"/>
      <c r="C281" s="663"/>
    </row>
    <row r="282" spans="1:3" x14ac:dyDescent="0.2">
      <c r="A282" s="263" t="s">
        <v>577</v>
      </c>
      <c r="B282" s="283">
        <v>1.5</v>
      </c>
    </row>
    <row r="283" spans="1:3" x14ac:dyDescent="0.2">
      <c r="A283" s="249" t="s">
        <v>100</v>
      </c>
      <c r="B283" s="283">
        <v>0.3</v>
      </c>
    </row>
    <row r="284" spans="1:3" x14ac:dyDescent="0.2">
      <c r="A284" s="249" t="s">
        <v>107</v>
      </c>
      <c r="B284" s="283">
        <v>26</v>
      </c>
      <c r="C284" s="249" t="s">
        <v>69</v>
      </c>
    </row>
    <row r="285" spans="1:3" x14ac:dyDescent="0.2">
      <c r="A285" s="263" t="s">
        <v>39</v>
      </c>
      <c r="B285" s="283">
        <v>70</v>
      </c>
      <c r="C285" s="249" t="s">
        <v>69</v>
      </c>
    </row>
    <row r="286" spans="1:3" x14ac:dyDescent="0.2">
      <c r="A286" s="263" t="s">
        <v>83</v>
      </c>
      <c r="B286" s="283">
        <v>1</v>
      </c>
      <c r="C286" s="249" t="s">
        <v>108</v>
      </c>
    </row>
    <row r="287" spans="1:3" x14ac:dyDescent="0.2">
      <c r="A287" s="249" t="s">
        <v>109</v>
      </c>
      <c r="B287" s="283">
        <v>1</v>
      </c>
      <c r="C287" s="249" t="s">
        <v>110</v>
      </c>
    </row>
    <row r="288" spans="1:3" x14ac:dyDescent="0.2">
      <c r="A288" s="249" t="s">
        <v>114</v>
      </c>
      <c r="B288" s="283">
        <v>0.18</v>
      </c>
      <c r="C288" s="249" t="s">
        <v>108</v>
      </c>
    </row>
    <row r="289" spans="1:3" x14ac:dyDescent="0.2">
      <c r="A289" s="249" t="s">
        <v>116</v>
      </c>
      <c r="B289" s="283">
        <v>1</v>
      </c>
      <c r="C289" s="249" t="s">
        <v>113</v>
      </c>
    </row>
    <row r="290" spans="1:3" x14ac:dyDescent="0.2">
      <c r="A290" s="249" t="s">
        <v>118</v>
      </c>
      <c r="B290" s="283">
        <v>1</v>
      </c>
      <c r="C290" s="249" t="s">
        <v>113</v>
      </c>
    </row>
    <row r="291" spans="1:3" x14ac:dyDescent="0.2">
      <c r="A291" s="249" t="s">
        <v>119</v>
      </c>
      <c r="B291" s="283">
        <v>1</v>
      </c>
      <c r="C291" s="249" t="s">
        <v>113</v>
      </c>
    </row>
    <row r="293" spans="1:3" x14ac:dyDescent="0.2">
      <c r="A293" s="77" t="s">
        <v>308</v>
      </c>
      <c r="B293" s="284">
        <v>226</v>
      </c>
      <c r="C293" s="77" t="s">
        <v>309</v>
      </c>
    </row>
    <row r="294" spans="1:3" x14ac:dyDescent="0.2">
      <c r="A294" s="266" t="s">
        <v>310</v>
      </c>
      <c r="B294" s="284">
        <v>2.8000000000000002E-12</v>
      </c>
      <c r="C294" s="77"/>
    </row>
    <row r="295" spans="1:3" x14ac:dyDescent="0.2">
      <c r="A295" s="266" t="s">
        <v>310</v>
      </c>
      <c r="B295" s="284">
        <v>2.8000000000000001E-15</v>
      </c>
      <c r="C295" s="77"/>
    </row>
  </sheetData>
  <mergeCells count="335">
    <mergeCell ref="HC2:HC4"/>
    <mergeCell ref="HD1:HF1"/>
    <mergeCell ref="HD21:HF21"/>
    <mergeCell ref="GX2:GX4"/>
    <mergeCell ref="GY2:GY4"/>
    <mergeCell ref="GZ2:GZ4"/>
    <mergeCell ref="HA2:HA4"/>
    <mergeCell ref="HB2:HB4"/>
    <mergeCell ref="GS2:GS4"/>
    <mergeCell ref="GT2:GT4"/>
    <mergeCell ref="GU2:GU4"/>
    <mergeCell ref="GV2:GV4"/>
    <mergeCell ref="GW2:GW4"/>
    <mergeCell ref="GX1:GZ1"/>
    <mergeCell ref="HA1:HC1"/>
    <mergeCell ref="GU1:GW1"/>
    <mergeCell ref="GN2:GN4"/>
    <mergeCell ref="GO2:GO4"/>
    <mergeCell ref="GP2:GP4"/>
    <mergeCell ref="GQ2:GQ4"/>
    <mergeCell ref="GR2:GR4"/>
    <mergeCell ref="GI2:GI4"/>
    <mergeCell ref="GJ2:GJ4"/>
    <mergeCell ref="GK2:GK4"/>
    <mergeCell ref="GL2:GL4"/>
    <mergeCell ref="GM2:GM4"/>
    <mergeCell ref="GD2:GD4"/>
    <mergeCell ref="GE2:GE4"/>
    <mergeCell ref="GF2:GF4"/>
    <mergeCell ref="GG2:GG4"/>
    <mergeCell ref="GH2:GH4"/>
    <mergeCell ref="FY2:FY4"/>
    <mergeCell ref="FZ2:FZ4"/>
    <mergeCell ref="GA2:GA4"/>
    <mergeCell ref="GB2:GB4"/>
    <mergeCell ref="GC2:GC4"/>
    <mergeCell ref="FT2:FT4"/>
    <mergeCell ref="FU2:FU4"/>
    <mergeCell ref="FV2:FV4"/>
    <mergeCell ref="FW2:FW4"/>
    <mergeCell ref="FX2:FX4"/>
    <mergeCell ref="FO2:FO4"/>
    <mergeCell ref="FP2:FP4"/>
    <mergeCell ref="FQ2:FQ4"/>
    <mergeCell ref="FR2:FR4"/>
    <mergeCell ref="FS2:FS4"/>
    <mergeCell ref="FJ2:FJ4"/>
    <mergeCell ref="FK2:FK4"/>
    <mergeCell ref="FL2:FL4"/>
    <mergeCell ref="FM2:FM4"/>
    <mergeCell ref="FN2:FN4"/>
    <mergeCell ref="FE2:FE4"/>
    <mergeCell ref="FF2:FF4"/>
    <mergeCell ref="FG2:FG4"/>
    <mergeCell ref="FH2:FH4"/>
    <mergeCell ref="FI2:FI4"/>
    <mergeCell ref="EZ2:EZ4"/>
    <mergeCell ref="FA2:FA4"/>
    <mergeCell ref="FB2:FB4"/>
    <mergeCell ref="FC2:FC4"/>
    <mergeCell ref="FD2:FD4"/>
    <mergeCell ref="EU2:EU4"/>
    <mergeCell ref="EV2:EV4"/>
    <mergeCell ref="EW2:EW4"/>
    <mergeCell ref="EX2:EX4"/>
    <mergeCell ref="EY2:EY4"/>
    <mergeCell ref="EP2:EP4"/>
    <mergeCell ref="EQ2:EQ4"/>
    <mergeCell ref="ER2:ER4"/>
    <mergeCell ref="ES2:ES4"/>
    <mergeCell ref="ET2:ET4"/>
    <mergeCell ref="EK2:EK4"/>
    <mergeCell ref="EL2:EL4"/>
    <mergeCell ref="EM2:EM4"/>
    <mergeCell ref="EN2:EN4"/>
    <mergeCell ref="EO2:EO4"/>
    <mergeCell ref="EF2:EF4"/>
    <mergeCell ref="EG2:EG4"/>
    <mergeCell ref="EH2:EH4"/>
    <mergeCell ref="EI2:EI4"/>
    <mergeCell ref="EJ2:EJ4"/>
    <mergeCell ref="EA2:EA4"/>
    <mergeCell ref="EB2:EB4"/>
    <mergeCell ref="EC2:EC4"/>
    <mergeCell ref="ED2:ED4"/>
    <mergeCell ref="EE2:EE4"/>
    <mergeCell ref="DV2:DV4"/>
    <mergeCell ref="DW2:DW4"/>
    <mergeCell ref="DX2:DX4"/>
    <mergeCell ref="DY2:DY4"/>
    <mergeCell ref="DZ2:DZ4"/>
    <mergeCell ref="DQ2:DQ4"/>
    <mergeCell ref="DR2:DR4"/>
    <mergeCell ref="DS2:DS4"/>
    <mergeCell ref="DT2:DT4"/>
    <mergeCell ref="DU2:DU4"/>
    <mergeCell ref="DL2:DL4"/>
    <mergeCell ref="DM2:DM4"/>
    <mergeCell ref="DN2:DN4"/>
    <mergeCell ref="DO2:DO4"/>
    <mergeCell ref="DP2:DP4"/>
    <mergeCell ref="GI1:GK1"/>
    <mergeCell ref="GL1:GN1"/>
    <mergeCell ref="GO1:GQ1"/>
    <mergeCell ref="GR1:GT1"/>
    <mergeCell ref="FT1:FV1"/>
    <mergeCell ref="FW1:FY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P19:CP21"/>
    <mergeCell ref="CQ19:CQ21"/>
    <mergeCell ref="CR19:CR21"/>
    <mergeCell ref="CS19:CS21"/>
    <mergeCell ref="CT1:CV1"/>
    <mergeCell ref="DC2:DC4"/>
    <mergeCell ref="DD2:DD4"/>
    <mergeCell ref="DE2:DE4"/>
    <mergeCell ref="DF2:DF4"/>
    <mergeCell ref="DG2:DG4"/>
    <mergeCell ref="DH2:DH4"/>
    <mergeCell ref="DI2:DI4"/>
    <mergeCell ref="DJ2:DJ4"/>
    <mergeCell ref="DK2:DK4"/>
    <mergeCell ref="CK19:CK21"/>
    <mergeCell ref="CL19:CL21"/>
    <mergeCell ref="CM19:CM21"/>
    <mergeCell ref="CN19:CN21"/>
    <mergeCell ref="CO19:CO21"/>
    <mergeCell ref="CC35:CG38"/>
    <mergeCell ref="CK1:CM1"/>
    <mergeCell ref="CN1:CP1"/>
    <mergeCell ref="CQ1:CS1"/>
    <mergeCell ref="CK2:CK4"/>
    <mergeCell ref="CL2:CL4"/>
    <mergeCell ref="CM2:CM4"/>
    <mergeCell ref="CN2:CN4"/>
    <mergeCell ref="CO2:CO4"/>
    <mergeCell ref="CP2:CP4"/>
    <mergeCell ref="CQ2:CQ4"/>
    <mergeCell ref="CR2:CR4"/>
    <mergeCell ref="CS2:CS4"/>
    <mergeCell ref="CK18:CM18"/>
    <mergeCell ref="CN18:CP18"/>
    <mergeCell ref="CQ18:CS18"/>
    <mergeCell ref="CI2:CI4"/>
    <mergeCell ref="CJ2:CJ4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CB1:CD1"/>
    <mergeCell ref="CE1:CG1"/>
    <mergeCell ref="CH1:CJ1"/>
    <mergeCell ref="BV2:BV4"/>
    <mergeCell ref="BW2:BW4"/>
    <mergeCell ref="BX2:BX4"/>
    <mergeCell ref="BY2:BY4"/>
    <mergeCell ref="BZ2:BZ4"/>
    <mergeCell ref="CA2:CA4"/>
    <mergeCell ref="CB2:CB4"/>
    <mergeCell ref="CC2:CC4"/>
    <mergeCell ref="CD2:CD4"/>
    <mergeCell ref="CE2:CE4"/>
    <mergeCell ref="CF2:CF4"/>
    <mergeCell ref="CG2:CG4"/>
    <mergeCell ref="CH2:CH4"/>
    <mergeCell ref="BK40:BO43"/>
    <mergeCell ref="AF42:AH44"/>
    <mergeCell ref="BS1:BU1"/>
    <mergeCell ref="BV1:BX1"/>
    <mergeCell ref="BY1:CA1"/>
    <mergeCell ref="BL21:BL23"/>
    <mergeCell ref="BM21:BM23"/>
    <mergeCell ref="BN21:BN23"/>
    <mergeCell ref="BO21:BO23"/>
    <mergeCell ref="BR2:BR4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BM2:BM4"/>
    <mergeCell ref="BN2:BN4"/>
    <mergeCell ref="BO2:BO4"/>
    <mergeCell ref="BP2:BP4"/>
    <mergeCell ref="BQ2:BQ4"/>
    <mergeCell ref="BH2:BH4"/>
    <mergeCell ref="BF2:BF4"/>
    <mergeCell ref="BG2:BG4"/>
    <mergeCell ref="V23:X23"/>
    <mergeCell ref="Y23:AA23"/>
    <mergeCell ref="BD21:BD23"/>
    <mergeCell ref="BE21:BE23"/>
    <mergeCell ref="BF21:BF23"/>
    <mergeCell ref="BJ21:BJ23"/>
    <mergeCell ref="BK21:BK23"/>
    <mergeCell ref="AV21:AV23"/>
    <mergeCell ref="AW21:AW23"/>
    <mergeCell ref="BA21:BA23"/>
    <mergeCell ref="BB21:BB23"/>
    <mergeCell ref="BC21:BC23"/>
    <mergeCell ref="AN21:AN23"/>
    <mergeCell ref="AR21:AR23"/>
    <mergeCell ref="AS21:AS23"/>
    <mergeCell ref="AT21:AT23"/>
    <mergeCell ref="AU21:AU23"/>
    <mergeCell ref="AI21:AI23"/>
    <mergeCell ref="AJ21:AJ23"/>
    <mergeCell ref="AK21:AK23"/>
    <mergeCell ref="AL21:AL23"/>
    <mergeCell ref="AM21:AM23"/>
    <mergeCell ref="AP2:AP4"/>
    <mergeCell ref="AQ2:AQ4"/>
    <mergeCell ref="AR2:AR4"/>
    <mergeCell ref="BD1:BF1"/>
    <mergeCell ref="BG1:BI1"/>
    <mergeCell ref="BJ1:BL1"/>
    <mergeCell ref="BM1:BO1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BI2:BI4"/>
    <mergeCell ref="BJ2:BJ4"/>
    <mergeCell ref="BK2:BK4"/>
    <mergeCell ref="BL2:BL4"/>
    <mergeCell ref="BC2:BC4"/>
    <mergeCell ref="BD2:BD4"/>
    <mergeCell ref="BE2:BE4"/>
    <mergeCell ref="BP1:BR1"/>
    <mergeCell ref="AO1:AQ1"/>
    <mergeCell ref="AR1:AT1"/>
    <mergeCell ref="AU1:AW1"/>
    <mergeCell ref="AX1:AZ1"/>
    <mergeCell ref="BA1:BC1"/>
    <mergeCell ref="V1:X1"/>
    <mergeCell ref="Y1:AA1"/>
    <mergeCell ref="AB1:AB4"/>
    <mergeCell ref="AI1:AK1"/>
    <mergeCell ref="AL1:AN1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N2:AN4"/>
    <mergeCell ref="AO2:AO4"/>
    <mergeCell ref="M1:O1"/>
    <mergeCell ref="P1:R1"/>
    <mergeCell ref="S1:U1"/>
    <mergeCell ref="G2:G4"/>
    <mergeCell ref="N21:N23"/>
    <mergeCell ref="O21:O23"/>
    <mergeCell ref="P21:P23"/>
    <mergeCell ref="Q21:Q23"/>
    <mergeCell ref="R21:R23"/>
    <mergeCell ref="M20:O20"/>
    <mergeCell ref="P20:R20"/>
    <mergeCell ref="M21:M23"/>
    <mergeCell ref="Q2:Q4"/>
    <mergeCell ref="R2:R4"/>
    <mergeCell ref="S2:S4"/>
    <mergeCell ref="T2:T4"/>
    <mergeCell ref="U2:U4"/>
    <mergeCell ref="L2:L4"/>
    <mergeCell ref="M2:M4"/>
    <mergeCell ref="N2:N4"/>
    <mergeCell ref="O2:O4"/>
    <mergeCell ref="P2:P4"/>
    <mergeCell ref="J2:J4"/>
    <mergeCell ref="K2:K4"/>
    <mergeCell ref="J1:L1"/>
    <mergeCell ref="A242:C242"/>
    <mergeCell ref="A254:C254"/>
    <mergeCell ref="A268:C268"/>
    <mergeCell ref="A281:C281"/>
    <mergeCell ref="D1:F1"/>
    <mergeCell ref="G1:I1"/>
    <mergeCell ref="D29:F29"/>
    <mergeCell ref="D41:F41"/>
    <mergeCell ref="A50:C50"/>
    <mergeCell ref="A98:C98"/>
    <mergeCell ref="A132:C132"/>
    <mergeCell ref="A218:C218"/>
    <mergeCell ref="A230:C230"/>
    <mergeCell ref="A1:C1"/>
    <mergeCell ref="A14:C17"/>
    <mergeCell ref="A2:C2"/>
    <mergeCell ref="H2:H4"/>
    <mergeCell ref="I2:I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5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28515625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9.28515625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9.28515625" style="289" bestFit="1" customWidth="1"/>
    <col min="115" max="115" width="6.28515625" style="249" bestFit="1" customWidth="1"/>
    <col min="116" max="116" width="12.42578125" style="249" bestFit="1" customWidth="1"/>
    <col min="117" max="117" width="9.2851562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.28515625" style="249" bestFit="1" customWidth="1"/>
    <col min="128" max="128" width="12" style="249" bestFit="1" customWidth="1"/>
    <col min="129" max="129" width="9.28515625" style="289" bestFit="1" customWidth="1"/>
    <col min="130" max="130" width="6.285156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.28515625" style="249" bestFit="1" customWidth="1"/>
    <col min="143" max="143" width="12" style="249" bestFit="1" customWidth="1"/>
    <col min="144" max="144" width="9.28515625" style="289" bestFit="1" customWidth="1"/>
    <col min="145" max="145" width="7.42578125" style="249" bestFit="1" customWidth="1"/>
    <col min="146" max="146" width="12" style="249" bestFit="1" customWidth="1"/>
    <col min="147" max="147" width="9.2851562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7.42578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7.71093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7.42578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285156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7.42578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7.425781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thickTop="1" thickBot="1" x14ac:dyDescent="0.25">
      <c r="A1" s="694" t="s">
        <v>280</v>
      </c>
      <c r="B1" s="695"/>
      <c r="C1" s="696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1/((1/H12)+(1/H11))</f>
        <v>2.5277456878143012E-15</v>
      </c>
      <c r="I2" s="625" t="s">
        <v>313</v>
      </c>
      <c r="J2" s="619" t="s">
        <v>507</v>
      </c>
      <c r="K2" s="623">
        <f>1/((1/K15)+(1/K16))</f>
        <v>7.6533983116059921E-7</v>
      </c>
      <c r="L2" s="621" t="s">
        <v>311</v>
      </c>
      <c r="M2" s="617" t="s">
        <v>516</v>
      </c>
      <c r="N2" s="647">
        <f>((N5*N6*N7)/((1-EXP(-N7*N6))*N10*N15*(N9/365)*N13*(((N14/24)*N12)+((N16/24)*N11))))*N8*N17*N18</f>
        <v>7.6553809790026965E-7</v>
      </c>
      <c r="O2" s="615" t="s">
        <v>311</v>
      </c>
      <c r="P2" s="639" t="s">
        <v>516</v>
      </c>
      <c r="Q2" s="647">
        <f>((Q5*Q6*Q7)/((1-EXP(-Q7*Q6))*Q10*Q15*(Q9/365)*Q13*(((Q14/24)*Q12)+((Q16/24)*Q11))))*Q8*Q17*Q18</f>
        <v>3.632297912157693E-6</v>
      </c>
      <c r="R2" s="637" t="s">
        <v>311</v>
      </c>
      <c r="S2" s="641" t="s">
        <v>516</v>
      </c>
      <c r="T2" s="647">
        <f>((T5*T6*T7)/((1-EXP(-T7*T6))*T10*T15*(T9/365)*T13*(((T14/24)*T12)+((T16/24)*T11))))*T8*T17*T18</f>
        <v>8.4093200148135655E-7</v>
      </c>
      <c r="U2" s="643" t="s">
        <v>311</v>
      </c>
      <c r="V2" s="55"/>
      <c r="W2" s="357"/>
      <c r="X2" s="56"/>
      <c r="Y2" s="57"/>
      <c r="Z2" s="357"/>
      <c r="AA2" s="58"/>
      <c r="AB2" s="650"/>
      <c r="AC2" s="660">
        <f>1/((1/AC33)+(1/AC34))</f>
        <v>1.1140698828020909E-6</v>
      </c>
      <c r="AD2" s="660">
        <f>1/((1/AD33)+(1/AD34))</f>
        <v>2.7839035356675436E-6</v>
      </c>
      <c r="AE2" s="660">
        <f>1/((1/AE33)+(1/AE34))</f>
        <v>1.2378554253356567E-6</v>
      </c>
      <c r="AF2" s="660">
        <f>1/((1/AF33)+(1/AF34))</f>
        <v>3.6545800546323003E-6</v>
      </c>
      <c r="AG2" s="660">
        <f>1/((1/AG33)+(1/AG34))</f>
        <v>3.4077917598059926E-5</v>
      </c>
      <c r="AH2" s="652" t="s">
        <v>311</v>
      </c>
      <c r="AI2" s="381" t="s">
        <v>516</v>
      </c>
      <c r="AJ2" s="387">
        <f>((AJ5*AJ6*AJ7)/((1-EXP(-AJ7*AJ6))*AJ15*(AJ9/365)*AJ10*(AJ16/24)*AJ11*AJ13))*AJ8*AJ17*AJ18</f>
        <v>2.7860227996884513E-6</v>
      </c>
      <c r="AK2" s="629" t="s">
        <v>311</v>
      </c>
      <c r="AL2" s="383" t="s">
        <v>516</v>
      </c>
      <c r="AM2" s="387">
        <f>((AM5*AM6*AM7)/((1-EXP(-AM7*AM6))*AM15*(AM9/365)*AM10*(AM16/24)*AM11*AM13))*AM8*AM17*AM18</f>
        <v>1.321902179171549E-5</v>
      </c>
      <c r="AN2" s="629" t="s">
        <v>311</v>
      </c>
      <c r="AO2" s="383" t="s">
        <v>516</v>
      </c>
      <c r="AP2" s="387">
        <f>((AP5*AP6*AP7)/((1-EXP(-AP7*AP6))*AP15*(AP9/365)*AP10*(AP16/24)*AP11*AP13))*AP8*AP17*AP18</f>
        <v>3.0604038329911017E-6</v>
      </c>
      <c r="AQ2" s="635" t="s">
        <v>311</v>
      </c>
      <c r="AR2" s="381" t="s">
        <v>516</v>
      </c>
      <c r="AS2" s="387">
        <f>((AS5*AS6*AS7)/((1-EXP(-AS7*AS6))*AS15*(AS9/365)*AS10*(AS14/24)*AS12*AS13))*AS8*AS17*AS18</f>
        <v>1.2382323554170896E-6</v>
      </c>
      <c r="AT2" s="391" t="s">
        <v>311</v>
      </c>
      <c r="AU2" s="383" t="s">
        <v>516</v>
      </c>
      <c r="AV2" s="387">
        <f>((AV5*AV6*AV7)/((1-EXP(-AV7*AV6))*AV15*(AV9/365)*AV10*(AV14/24)*AV12*AV13))*AV8*AV17*AV18</f>
        <v>5.8751207963179952E-6</v>
      </c>
      <c r="AW2" s="391" t="s">
        <v>311</v>
      </c>
      <c r="AX2" s="383" t="s">
        <v>516</v>
      </c>
      <c r="AY2" s="387">
        <f>((AY5*AY6*AY7)/((1-EXP(-AY7*AY6))*AY15*(AY9/365)*AY10*(AY14/24)*AY12*AY13))*AY8*AY17*AY18</f>
        <v>1.3601794813293786E-6</v>
      </c>
      <c r="AZ2" s="385" t="s">
        <v>311</v>
      </c>
      <c r="BA2" s="381" t="s">
        <v>516</v>
      </c>
      <c r="BB2" s="387">
        <f>((BB5*BB6*BB7)/((1-EXP(-BB7*BB6))*BB15*(BB9/365)*BB10*((BB14+BB16)/24)*BB12*BB13))*BB8*BB17*BB18</f>
        <v>1.1144091198753804E-6</v>
      </c>
      <c r="BC2" s="391" t="s">
        <v>311</v>
      </c>
      <c r="BD2" s="383" t="s">
        <v>516</v>
      </c>
      <c r="BE2" s="387">
        <f>((BE5*BE6*BE7)/((1-EXP(-BE7*BE6))*BE15*(BE9/365)*BE10*((BE14+BE16)/24)*BE12*BE13))*BE8*BE17*BE18</f>
        <v>5.2876087166861956E-6</v>
      </c>
      <c r="BF2" s="391" t="s">
        <v>311</v>
      </c>
      <c r="BG2" s="383" t="s">
        <v>516</v>
      </c>
      <c r="BH2" s="387">
        <f>((BH5*BH6*BH7)/((1-EXP(-BH7*BH6))*BH15*(BH9/365)*BH10*((BH14+BH16)/24)*BH12*BH13))*BH8*BH17*BH18</f>
        <v>1.2241615331964407E-6</v>
      </c>
      <c r="BI2" s="385" t="s">
        <v>311</v>
      </c>
      <c r="BJ2" s="381" t="s">
        <v>558</v>
      </c>
      <c r="BK2" s="389">
        <f>((BK5*BK6*BK7)/((1-EXP(-BK7*BK6))*BK12*BK16*(BK9/365)*BK14*(BK15/24)*BK13))*BK8*BK17*BK18</f>
        <v>4.1687956374471068E-5</v>
      </c>
      <c r="BL2" s="391" t="s">
        <v>311</v>
      </c>
      <c r="BM2" s="383" t="s">
        <v>559</v>
      </c>
      <c r="BN2" s="389">
        <f>((BN5*BN6*BN7)/((1-EXP(-BN7*BN6))*BN12*BN16*(BN9/365)*BN14*(BN15/24)*BN13))*BN8*BN17*BN18</f>
        <v>4.2166611243290929E-4</v>
      </c>
      <c r="BO2" s="391" t="s">
        <v>311</v>
      </c>
      <c r="BP2" s="383" t="s">
        <v>560</v>
      </c>
      <c r="BQ2" s="389">
        <f>((BQ5*BQ6*BQ7)/((1-EXP(-BQ7*BQ6))*BQ12*BQ16*(BQ9/365)*BQ14*(BQ15/24)*BQ13))*BQ8*BQ17*BQ18</f>
        <v>5.7504855944749686E-5</v>
      </c>
      <c r="BR2" s="385" t="s">
        <v>311</v>
      </c>
      <c r="BS2" s="59"/>
      <c r="BT2" s="110"/>
      <c r="BU2" s="250"/>
      <c r="BV2" s="402" t="s">
        <v>563</v>
      </c>
      <c r="BW2" s="400">
        <f>1/((1/BW11))</f>
        <v>8.3229358130174715E-6</v>
      </c>
      <c r="BX2" s="404" t="s">
        <v>313</v>
      </c>
      <c r="BY2" s="402" t="s">
        <v>563</v>
      </c>
      <c r="BZ2" s="400">
        <f>1/((1/BZ14)+(1/BZ15))</f>
        <v>5.7706509329929904E-4</v>
      </c>
      <c r="CA2" s="398" t="s">
        <v>311</v>
      </c>
      <c r="CB2" s="410" t="s">
        <v>558</v>
      </c>
      <c r="CC2" s="400">
        <f>((CC5*CC6*CC7)/((1-EXP(-CC7*CC6))*CC10*CC14*(CC9/365)*CC12*(CC13/24)*CC11))*CC8*CC15*CC16</f>
        <v>5.7807299505933203E-4</v>
      </c>
      <c r="CD2" s="404" t="s">
        <v>311</v>
      </c>
      <c r="CE2" s="402" t="s">
        <v>559</v>
      </c>
      <c r="CF2" s="400">
        <f>((CF5*CF6*CF7)/((1-EXP(-CF7*CF6))*CF10*CF14*(CF9/365)*CF12*(CF13/24)*CF11))*CF8*CF15*CF16</f>
        <v>5.8471034257363439E-3</v>
      </c>
      <c r="CG2" s="404" t="s">
        <v>311</v>
      </c>
      <c r="CH2" s="402" t="s">
        <v>560</v>
      </c>
      <c r="CI2" s="400">
        <f>((CI5*CI6*CI7)/((1-EXP(-CI7*CI6))*CI10*CI14*(CI9/365)*CI12*(CI13/24)*CI11))*CI8*CI15*CI16</f>
        <v>7.9740066910052876E-4</v>
      </c>
      <c r="CJ2" s="398" t="s">
        <v>311</v>
      </c>
      <c r="CK2" s="410" t="s">
        <v>510</v>
      </c>
      <c r="CL2" s="400" t="e">
        <f>(CL5/(CL6*CL7*CL8*CL9))*CL11*CL10*CL15</f>
        <v>#DIV/0!</v>
      </c>
      <c r="CM2" s="404" t="s">
        <v>311</v>
      </c>
      <c r="CN2" s="402" t="s">
        <v>7</v>
      </c>
      <c r="CO2" s="400" t="e">
        <f>(CL2/(CO5*((CO10*CO12*CO13*(CO6+CO7))+(CO11*CO12))))*CL13</f>
        <v>#DIV/0!</v>
      </c>
      <c r="CP2" s="412" t="s">
        <v>311</v>
      </c>
      <c r="CQ2" s="402" t="s">
        <v>6</v>
      </c>
      <c r="CR2" s="400" t="e">
        <f>CL2/(CR5*CR6*(1/CR7))</f>
        <v>#DIV/0!</v>
      </c>
      <c r="CS2" s="415" t="s">
        <v>313</v>
      </c>
      <c r="CT2" s="208"/>
      <c r="CU2" s="61"/>
      <c r="CV2" s="62"/>
      <c r="CW2" s="63"/>
      <c r="CX2" s="151"/>
      <c r="CY2" s="64"/>
      <c r="CZ2" s="65"/>
      <c r="DA2" s="66"/>
      <c r="DB2" s="67"/>
      <c r="DC2" s="704" t="s">
        <v>510</v>
      </c>
      <c r="DD2" s="674" t="e">
        <f>((DD5)/(DD6*(DD7+DD10)*DD20))*DD22*DD23*DD24</f>
        <v>#DIV/0!</v>
      </c>
      <c r="DE2" s="706" t="s">
        <v>311</v>
      </c>
      <c r="DF2" s="670" t="s">
        <v>510</v>
      </c>
      <c r="DG2" s="668" t="e">
        <f>(DD2/((1/DG24)*(DG5+DG6+DG7)))</f>
        <v>#DIV/0!</v>
      </c>
      <c r="DH2" s="666" t="s">
        <v>313</v>
      </c>
      <c r="DI2" s="680" t="s">
        <v>510</v>
      </c>
      <c r="DJ2" s="668" t="e">
        <f>(DD2/(DJ5+DJ6))*CU11</f>
        <v>#DIV/0!</v>
      </c>
      <c r="DK2" s="666" t="s">
        <v>313</v>
      </c>
      <c r="DL2" s="680" t="s">
        <v>554</v>
      </c>
      <c r="DM2" s="668" t="e">
        <f>(DD2/(DM5+DM6))*((DM9*DD21)/(1-EXP(-DD21*DM9)))</f>
        <v>#DIV/0!</v>
      </c>
      <c r="DN2" s="666" t="s">
        <v>313</v>
      </c>
      <c r="DO2" s="680" t="s">
        <v>553</v>
      </c>
      <c r="DP2" s="668">
        <f>-(DP5+DP6+DP7)/(DP23+DP24)</f>
        <v>-3.186299176558379</v>
      </c>
      <c r="DQ2" s="678" t="s">
        <v>19</v>
      </c>
      <c r="DR2" s="556" t="s">
        <v>510</v>
      </c>
      <c r="DS2" s="460" t="e">
        <f>(DS5/(DS6*DS7*DS16))*DS19*DS20*DS21</f>
        <v>#DIV/0!</v>
      </c>
      <c r="DT2" s="466" t="s">
        <v>311</v>
      </c>
      <c r="DU2" s="464" t="s">
        <v>510</v>
      </c>
      <c r="DV2" s="462" t="e">
        <f>DS2/(DV5*(1/DV8)*DV6*(1/DV7))</f>
        <v>#DIV/0!</v>
      </c>
      <c r="DW2" s="480" t="s">
        <v>313</v>
      </c>
      <c r="DX2" s="478" t="s">
        <v>510</v>
      </c>
      <c r="DY2" s="462" t="e">
        <f>(DS2/(DY9*(1/DY14)*((DY10*DY12*DY13*(DY5+DY6))+(DY11*DY12))))*CU11</f>
        <v>#DIV/0!</v>
      </c>
      <c r="DZ2" s="480" t="s">
        <v>313</v>
      </c>
      <c r="EA2" s="478" t="s">
        <v>554</v>
      </c>
      <c r="EB2" s="462" t="e">
        <f>(DS2/(EB9*(1/EB14)*((EB10*EB12*EB13*(EB5+EB6))+(EB11*EB12))))*((EB15*DS18)/(1-EXP(-DS18*EB15)))</f>
        <v>#DIV/0!</v>
      </c>
      <c r="EC2" s="480" t="s">
        <v>313</v>
      </c>
      <c r="ED2" s="478" t="s">
        <v>553</v>
      </c>
      <c r="EE2" s="462">
        <f>-EE15/((EE10*EE12*EE13*(EE5+EE6))+(EE11*EE12))</f>
        <v>-16.803652968036527</v>
      </c>
      <c r="EF2" s="476" t="s">
        <v>19</v>
      </c>
      <c r="EG2" s="474" t="s">
        <v>510</v>
      </c>
      <c r="EH2" s="472" t="e">
        <f>(EH5/(EH6*EH7*EH16))*EH19*EH20*EH21</f>
        <v>#DIV/0!</v>
      </c>
      <c r="EI2" s="470" t="s">
        <v>311</v>
      </c>
      <c r="EJ2" s="468" t="s">
        <v>510</v>
      </c>
      <c r="EK2" s="502" t="e">
        <f>EH2/(EK5*EK6*(1/EK7))</f>
        <v>#DIV/0!</v>
      </c>
      <c r="EL2" s="500" t="s">
        <v>313</v>
      </c>
      <c r="EM2" s="504" t="s">
        <v>510</v>
      </c>
      <c r="EN2" s="502" t="e">
        <f>(EH2/(EN9*((EN10*EN12*EN13*(EN5+EN6))+(EN11*EN12))))*CU11</f>
        <v>#DIV/0!</v>
      </c>
      <c r="EO2" s="500" t="s">
        <v>311</v>
      </c>
      <c r="EP2" s="504" t="s">
        <v>554</v>
      </c>
      <c r="EQ2" s="502" t="e">
        <f>(EH2/(EQ9*((EQ10*EQ12*EQ13*(EQ5+EQ6))+(EQ11*EQ12))))*((EQ14*EH18)/(1-EXP(-EH18*EQ14)))</f>
        <v>#DIV/0!</v>
      </c>
      <c r="ER2" s="500" t="s">
        <v>313</v>
      </c>
      <c r="ES2" s="504" t="s">
        <v>553</v>
      </c>
      <c r="ET2" s="502">
        <f>-ET15/((ET10*ET12*ET13*(ET5+ET6))+(ET11*ET12))</f>
        <v>-15.395787944807553</v>
      </c>
      <c r="EU2" s="514" t="s">
        <v>19</v>
      </c>
      <c r="EV2" s="512" t="s">
        <v>510</v>
      </c>
      <c r="EW2" s="510" t="e">
        <f>(EW5/(EW6*EW7*EW16))*EW19*EW20*EW21</f>
        <v>#DIV/0!</v>
      </c>
      <c r="EX2" s="508" t="s">
        <v>311</v>
      </c>
      <c r="EY2" s="506" t="s">
        <v>510</v>
      </c>
      <c r="EZ2" s="494" t="e">
        <f>EW2/(EZ5*EZ6*(1/EZ7))</f>
        <v>#DIV/0!</v>
      </c>
      <c r="FA2" s="498" t="s">
        <v>313</v>
      </c>
      <c r="FB2" s="496" t="s">
        <v>510</v>
      </c>
      <c r="FC2" s="494" t="e">
        <f>(EW2/(FC9*((FC10*FC12*FC13*(FC5+FC6))+(FC11*FC12))))*CU11</f>
        <v>#DIV/0!</v>
      </c>
      <c r="FD2" s="498" t="s">
        <v>311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313</v>
      </c>
      <c r="FH2" s="496" t="s">
        <v>553</v>
      </c>
      <c r="FI2" s="494">
        <f>-FI15/((FI10*FI12*FI13*(FI5+FI6))+(FI11*FI12))</f>
        <v>-5.5555555555555554</v>
      </c>
      <c r="FJ2" s="492" t="s">
        <v>19</v>
      </c>
      <c r="FK2" s="490" t="s">
        <v>510</v>
      </c>
      <c r="FL2" s="488" t="e">
        <f>(FL5/(FL6*FL7*FL16))*FL19*FL20*FL21</f>
        <v>#DIV/0!</v>
      </c>
      <c r="FM2" s="486" t="s">
        <v>311</v>
      </c>
      <c r="FN2" s="484" t="s">
        <v>510</v>
      </c>
      <c r="FO2" s="430" t="e">
        <f>FL2/(FO5*(1/FO6))</f>
        <v>#DIV/0!</v>
      </c>
      <c r="FP2" s="428" t="s">
        <v>313</v>
      </c>
      <c r="FQ2" s="482" t="s">
        <v>510</v>
      </c>
      <c r="FR2" s="430" t="e">
        <f>((FL2*FR6)/FR5)*CU11</f>
        <v>#DIV/0!</v>
      </c>
      <c r="FS2" s="428" t="s">
        <v>311</v>
      </c>
      <c r="FT2" s="426" t="s">
        <v>554</v>
      </c>
      <c r="FU2" s="430" t="e">
        <f>((FL2*FU6)/FU5)*((FU7*FL18)/(1-EXP(-FL18*FU7)))</f>
        <v>#DIV/0!</v>
      </c>
      <c r="FV2" s="428" t="s">
        <v>313</v>
      </c>
      <c r="FW2" s="426" t="s">
        <v>553</v>
      </c>
      <c r="FX2" s="430">
        <f>-FX5/FX6</f>
        <v>0</v>
      </c>
      <c r="FY2" s="438" t="s">
        <v>19</v>
      </c>
      <c r="FZ2" s="436" t="s">
        <v>510</v>
      </c>
      <c r="GA2" s="434" t="e">
        <f>(GA5/(GA6*GA7*GA16))*GA19*GA20*GA21</f>
        <v>#DIV/0!</v>
      </c>
      <c r="GB2" s="432" t="s">
        <v>311</v>
      </c>
      <c r="GC2" s="458" t="s">
        <v>510</v>
      </c>
      <c r="GD2" s="417" t="e">
        <f>(GA2/(GD5*GD6*(1/GD7)))</f>
        <v>#DIV/0!</v>
      </c>
      <c r="GE2" s="421" t="s">
        <v>313</v>
      </c>
      <c r="GF2" s="419" t="s">
        <v>510</v>
      </c>
      <c r="GG2" s="417" t="e">
        <f>(GA2/((GG9)*((GG10*GG12*GG13*(GG5+GG6))+(GG11*GG12))))*CU11</f>
        <v>#DIV/0!</v>
      </c>
      <c r="GH2" s="421" t="s">
        <v>311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313</v>
      </c>
      <c r="GL2" s="419" t="s">
        <v>553</v>
      </c>
      <c r="GM2" s="417">
        <f>-GM15/((GM10*GM12*GM13*(GM5+GM6))+(GM11*GM12))</f>
        <v>-5.5555555555555554</v>
      </c>
      <c r="GN2" s="456" t="s">
        <v>19</v>
      </c>
      <c r="GO2" s="454" t="s">
        <v>510</v>
      </c>
      <c r="GP2" s="452" t="e">
        <f>(GP5/(GP6*GP7*GP15))*GP18*GP19*GP20</f>
        <v>#DIV/0!</v>
      </c>
      <c r="GQ2" s="450" t="s">
        <v>311</v>
      </c>
      <c r="GR2" s="448" t="s">
        <v>510</v>
      </c>
      <c r="GS2" s="442" t="e">
        <f>GP2/(GS5*GS6*(1/GS7))</f>
        <v>#DIV/0!</v>
      </c>
      <c r="GT2" s="446" t="s">
        <v>313</v>
      </c>
      <c r="GU2" s="444" t="s">
        <v>510</v>
      </c>
      <c r="GV2" s="442" t="e">
        <f>(GP2/((GV9)*((GV10*GV12*GV13*(GV5+GV6))+(GV11*GV12))))*CU11</f>
        <v>#DIV/0!</v>
      </c>
      <c r="GW2" s="446" t="s">
        <v>311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313</v>
      </c>
      <c r="HA2" s="444" t="s">
        <v>553</v>
      </c>
      <c r="HB2" s="442">
        <f>-HB15/((HB10*HB12*HB13*(HB5+HB6))+(HB11*HB12))</f>
        <v>-7.3786407766990294</v>
      </c>
      <c r="HC2" s="440" t="s">
        <v>19</v>
      </c>
      <c r="HD2" s="251"/>
      <c r="HE2" s="350"/>
      <c r="HF2" s="252"/>
    </row>
    <row r="3" spans="1:214" ht="13.5" thickTop="1" x14ac:dyDescent="0.2">
      <c r="A3" s="278" t="s">
        <v>456</v>
      </c>
      <c r="B3" s="54">
        <v>6.8000000000000005E-2</v>
      </c>
      <c r="C3" s="240"/>
      <c r="D3" s="317" t="s">
        <v>15</v>
      </c>
      <c r="E3" s="285">
        <f>1/((1/E20)+(1/E21))</f>
        <v>1.2638629186774945E-15</v>
      </c>
      <c r="F3" s="253" t="s">
        <v>312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2.9914430720117759E-12</v>
      </c>
      <c r="X3" s="254" t="s">
        <v>312</v>
      </c>
      <c r="Y3" s="321" t="s">
        <v>16</v>
      </c>
      <c r="Z3" s="358">
        <f>1/((1/Z18)+(1/Z19))</f>
        <v>2.6922987648105988E-12</v>
      </c>
      <c r="AA3" s="255" t="s">
        <v>312</v>
      </c>
      <c r="AB3" s="650"/>
      <c r="AC3" s="661"/>
      <c r="AD3" s="661"/>
      <c r="AE3" s="661"/>
      <c r="AF3" s="661"/>
      <c r="AG3" s="661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1.4155264689187938E-13</v>
      </c>
      <c r="BU3" s="250" t="s">
        <v>312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1/((1/CU15)+(1/CU16))</f>
        <v>3.9373484364446095E-7</v>
      </c>
      <c r="CV3" s="71" t="s">
        <v>311</v>
      </c>
      <c r="CW3" s="326" t="s">
        <v>15</v>
      </c>
      <c r="CX3" s="117">
        <f>1/((1/CX20)+(1/CX21))</f>
        <v>7.8564478641115808E-16</v>
      </c>
      <c r="CY3" s="256" t="s">
        <v>312</v>
      </c>
      <c r="CZ3" s="338" t="s">
        <v>285</v>
      </c>
      <c r="DA3" s="336">
        <f>1/((1/DA14)+(1/DA15))</f>
        <v>1.5713013735421618E-12</v>
      </c>
      <c r="DB3" s="72" t="s">
        <v>313</v>
      </c>
      <c r="DC3" s="704"/>
      <c r="DD3" s="674"/>
      <c r="DE3" s="706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(HE5*HE13*10^-3*(HE14+(HE9/HE10))*((HE11*HE7)/(1-EXP(-HE7*HE11))))*HE8*HE15*HE16</f>
        <v>0</v>
      </c>
      <c r="HF3" s="252" t="s">
        <v>311</v>
      </c>
    </row>
    <row r="4" spans="1:214" ht="13.5" thickBot="1" x14ac:dyDescent="0.25">
      <c r="A4" s="279" t="s">
        <v>457</v>
      </c>
      <c r="B4" s="70">
        <v>0.75600000000000001</v>
      </c>
      <c r="C4" s="241"/>
      <c r="D4" s="318" t="s">
        <v>16</v>
      </c>
      <c r="E4" s="286">
        <f>1/((1/E22)+(1/E23))</f>
        <v>2.1738937957141829E-12</v>
      </c>
      <c r="F4" s="257" t="s">
        <v>312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1.8087382827460625E-15</v>
      </c>
      <c r="X4" s="258" t="s">
        <v>312</v>
      </c>
      <c r="Y4" s="322" t="s">
        <v>15</v>
      </c>
      <c r="Z4" s="359">
        <f>1/((1/Z16)+(1/Z17))</f>
        <v>1.6278644544714561E-15</v>
      </c>
      <c r="AA4" s="259" t="s">
        <v>312</v>
      </c>
      <c r="AB4" s="651"/>
      <c r="AC4" s="662"/>
      <c r="AD4" s="662"/>
      <c r="AE4" s="662"/>
      <c r="AF4" s="662"/>
      <c r="AG4" s="662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2.4347610511998843E-10</v>
      </c>
      <c r="BU4" s="260" t="s">
        <v>312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1/((1/CU15)+(1/CU16))</f>
        <v>3.9373484364446095E-7</v>
      </c>
      <c r="CV4" s="73" t="s">
        <v>311</v>
      </c>
      <c r="CW4" s="327" t="s">
        <v>16</v>
      </c>
      <c r="CX4" s="106">
        <f>1/((1/CX22)+(1/CX23))</f>
        <v>2.0789843844549521E-12</v>
      </c>
      <c r="CY4" s="261" t="s">
        <v>312</v>
      </c>
      <c r="CZ4" s="339" t="s">
        <v>11</v>
      </c>
      <c r="DA4" s="337">
        <f>1/((1/DA14)+(1/DA15))</f>
        <v>1.5713013735421618E-12</v>
      </c>
      <c r="DB4" s="74" t="s">
        <v>313</v>
      </c>
      <c r="DC4" s="705"/>
      <c r="DD4" s="675"/>
      <c r="DE4" s="707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8.6956434699940492E-16</v>
      </c>
      <c r="HF4" s="75" t="s">
        <v>311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</v>
      </c>
      <c r="DH5" s="249" t="s">
        <v>19</v>
      </c>
      <c r="DI5" s="262" t="s">
        <v>20</v>
      </c>
      <c r="DJ5" s="305">
        <f>DJ7</f>
        <v>0</v>
      </c>
      <c r="DK5" s="262"/>
      <c r="DL5" s="262" t="s">
        <v>20</v>
      </c>
      <c r="DM5" s="305">
        <f>DM7</f>
        <v>0</v>
      </c>
      <c r="DO5" s="249" t="s">
        <v>18</v>
      </c>
      <c r="DP5" s="118">
        <f>(DP8*DP9*DP10*((1-EXP(-DP11*DP12))))/(DP13*DP11)</f>
        <v>0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0</v>
      </c>
      <c r="DW5" s="262"/>
      <c r="DX5" s="262" t="s">
        <v>21</v>
      </c>
      <c r="DY5" s="305">
        <f>DY7</f>
        <v>0</v>
      </c>
      <c r="DZ5" s="262"/>
      <c r="EA5" s="262" t="s">
        <v>21</v>
      </c>
      <c r="EB5" s="305">
        <f>EB7</f>
        <v>0</v>
      </c>
      <c r="EC5" s="263"/>
      <c r="ED5" s="262" t="s">
        <v>21</v>
      </c>
      <c r="EE5" s="305">
        <f>EE7</f>
        <v>0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0</v>
      </c>
      <c r="EL5" s="262"/>
      <c r="EM5" s="262" t="s">
        <v>21</v>
      </c>
      <c r="EN5" s="305">
        <f>EN7</f>
        <v>0</v>
      </c>
      <c r="EO5" s="262"/>
      <c r="EP5" s="262" t="s">
        <v>21</v>
      </c>
      <c r="EQ5" s="305">
        <f>EQ7</f>
        <v>0</v>
      </c>
      <c r="ER5" s="263"/>
      <c r="ES5" s="262" t="s">
        <v>21</v>
      </c>
      <c r="ET5" s="305">
        <f>ET7</f>
        <v>0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0</v>
      </c>
      <c r="FD5" s="262"/>
      <c r="FE5" s="262" t="s">
        <v>21</v>
      </c>
      <c r="FF5" s="305">
        <f>FF7</f>
        <v>0</v>
      </c>
      <c r="FG5" s="263"/>
      <c r="FH5" s="263" t="s">
        <v>21</v>
      </c>
      <c r="FI5" s="290">
        <f>FI7</f>
        <v>0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0</v>
      </c>
      <c r="FP5" s="263"/>
      <c r="FQ5" s="263" t="s">
        <v>122</v>
      </c>
      <c r="FR5" s="298">
        <f>B36</f>
        <v>0</v>
      </c>
      <c r="FS5" s="263"/>
      <c r="FT5" s="263" t="s">
        <v>122</v>
      </c>
      <c r="FU5" s="298">
        <f>B36</f>
        <v>0</v>
      </c>
      <c r="FV5" s="263"/>
      <c r="FW5" s="262" t="s">
        <v>181</v>
      </c>
      <c r="FX5" s="305">
        <f>B46</f>
        <v>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0</v>
      </c>
      <c r="GH5" s="262"/>
      <c r="GI5" s="262" t="s">
        <v>21</v>
      </c>
      <c r="GJ5" s="305">
        <f>GJ7</f>
        <v>0</v>
      </c>
      <c r="GK5" s="262"/>
      <c r="GL5" s="262" t="s">
        <v>21</v>
      </c>
      <c r="GM5" s="305">
        <f>GM7</f>
        <v>0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0</v>
      </c>
      <c r="GW5" s="262"/>
      <c r="GX5" s="262" t="s">
        <v>21</v>
      </c>
      <c r="GY5" s="305">
        <f>GY7</f>
        <v>0</v>
      </c>
      <c r="GZ5" s="262"/>
      <c r="HA5" s="262" t="s">
        <v>21</v>
      </c>
      <c r="HB5" s="305">
        <f>HB7</f>
        <v>0</v>
      </c>
      <c r="HC5" s="263"/>
      <c r="HD5" s="265" t="s">
        <v>22</v>
      </c>
      <c r="HE5" s="292">
        <f>B47</f>
        <v>0</v>
      </c>
      <c r="HF5" s="262" t="s">
        <v>580</v>
      </c>
    </row>
    <row r="6" spans="1:214" ht="13.5" thickTop="1" x14ac:dyDescent="0.2">
      <c r="A6" s="278" t="s">
        <v>454</v>
      </c>
      <c r="B6" s="54">
        <v>3.7100000000000001E-2</v>
      </c>
      <c r="C6" s="240"/>
      <c r="D6" s="262" t="s">
        <v>23</v>
      </c>
      <c r="E6" s="288">
        <f>0.693/E7</f>
        <v>66.155354824913829</v>
      </c>
      <c r="G6" s="262" t="s">
        <v>439</v>
      </c>
      <c r="H6" s="287">
        <f>B20</f>
        <v>0</v>
      </c>
      <c r="I6" s="262" t="s">
        <v>35</v>
      </c>
      <c r="J6" s="262" t="s">
        <v>316</v>
      </c>
      <c r="K6" s="287">
        <f>B21</f>
        <v>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66.155354824913829</v>
      </c>
      <c r="Y6" s="262" t="s">
        <v>23</v>
      </c>
      <c r="Z6" s="288">
        <f>0.693/Z7</f>
        <v>66.155354824913829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BQ12</f>
        <v>1</v>
      </c>
      <c r="BR6" s="249" t="s">
        <v>69</v>
      </c>
      <c r="BS6" s="262" t="s">
        <v>23</v>
      </c>
      <c r="BT6" s="288">
        <f>0.693/BT7</f>
        <v>66.155354824913829</v>
      </c>
      <c r="BV6" s="262" t="s">
        <v>163</v>
      </c>
      <c r="BW6" s="287">
        <f>B20</f>
        <v>0</v>
      </c>
      <c r="BX6" s="262" t="s">
        <v>35</v>
      </c>
      <c r="BY6" s="262" t="s">
        <v>45</v>
      </c>
      <c r="BZ6" s="287">
        <f>B21</f>
        <v>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0</v>
      </c>
      <c r="CM6" s="266" t="s">
        <v>13</v>
      </c>
      <c r="CN6" s="263" t="s">
        <v>21</v>
      </c>
      <c r="CO6" s="290">
        <f>CO8</f>
        <v>0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0</v>
      </c>
      <c r="CV6" s="262" t="s">
        <v>35</v>
      </c>
      <c r="CW6" s="262" t="s">
        <v>23</v>
      </c>
      <c r="CX6" s="288">
        <f>0.693/CX7</f>
        <v>66.155354824913829</v>
      </c>
      <c r="CZ6" s="262" t="s">
        <v>163</v>
      </c>
      <c r="DA6" s="287">
        <f>B20</f>
        <v>0</v>
      </c>
      <c r="DB6" s="262" t="s">
        <v>35</v>
      </c>
      <c r="DC6" s="262" t="s">
        <v>438</v>
      </c>
      <c r="DD6" s="287">
        <f>B30</f>
        <v>0</v>
      </c>
      <c r="DE6" s="267" t="s">
        <v>35</v>
      </c>
      <c r="DF6" s="249" t="s">
        <v>27</v>
      </c>
      <c r="DG6" s="118">
        <f>(DG8*DG9*DG14*((1-EXP(-DG11*DG12))))/(DG13*DG11)</f>
        <v>5.4035127681958941E-3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5.4035127681958941E-3</v>
      </c>
      <c r="DQ6" s="249" t="s">
        <v>19</v>
      </c>
      <c r="DR6" s="262" t="s">
        <v>438</v>
      </c>
      <c r="DS6" s="287">
        <f>B30</f>
        <v>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0</v>
      </c>
      <c r="FS6" s="249" t="s">
        <v>19</v>
      </c>
      <c r="FT6" s="262" t="s">
        <v>181</v>
      </c>
      <c r="FU6" s="305">
        <f>B46</f>
        <v>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2.5277456878143012E-15</v>
      </c>
      <c r="HF6" s="262" t="s">
        <v>313</v>
      </c>
    </row>
    <row r="7" spans="1:214" x14ac:dyDescent="0.2">
      <c r="A7" s="279" t="s">
        <v>455</v>
      </c>
      <c r="B7" s="70">
        <v>0.65</v>
      </c>
      <c r="C7" s="241"/>
      <c r="D7" s="266" t="s">
        <v>270</v>
      </c>
      <c r="E7" s="287">
        <f>B31</f>
        <v>1.04753425E-2</v>
      </c>
      <c r="F7" s="249" t="s">
        <v>69</v>
      </c>
      <c r="G7" s="262" t="s">
        <v>43</v>
      </c>
      <c r="H7" s="290">
        <f>B19</f>
        <v>3.1999999999999999E-11</v>
      </c>
      <c r="I7" s="263" t="s">
        <v>35</v>
      </c>
      <c r="J7" s="262" t="s">
        <v>43</v>
      </c>
      <c r="K7" s="290">
        <f>B19</f>
        <v>3.1999999999999999E-11</v>
      </c>
      <c r="L7" s="263" t="s">
        <v>35</v>
      </c>
      <c r="M7" s="262" t="s">
        <v>23</v>
      </c>
      <c r="N7" s="288">
        <f>0.693/N8</f>
        <v>66.155354824913829</v>
      </c>
      <c r="P7" s="262" t="s">
        <v>23</v>
      </c>
      <c r="Q7" s="288">
        <f>0.693/Q8</f>
        <v>66.155354824913829</v>
      </c>
      <c r="S7" s="262" t="s">
        <v>23</v>
      </c>
      <c r="T7" s="288">
        <f>0.693/T8</f>
        <v>66.155354824913829</v>
      </c>
      <c r="V7" s="266" t="s">
        <v>270</v>
      </c>
      <c r="W7" s="287">
        <f>B31</f>
        <v>1.04753425E-2</v>
      </c>
      <c r="X7" s="249" t="s">
        <v>69</v>
      </c>
      <c r="Y7" s="266" t="s">
        <v>270</v>
      </c>
      <c r="Z7" s="287">
        <f>B31</f>
        <v>1.04753425E-2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66.155354824913829</v>
      </c>
      <c r="AL7" s="262" t="s">
        <v>23</v>
      </c>
      <c r="AM7" s="288">
        <f>0.693/AM8</f>
        <v>66.155354824913829</v>
      </c>
      <c r="AO7" s="262" t="s">
        <v>23</v>
      </c>
      <c r="AP7" s="288">
        <f>0.693/AP8</f>
        <v>66.155354824913829</v>
      </c>
      <c r="AR7" s="262" t="s">
        <v>23</v>
      </c>
      <c r="AS7" s="288">
        <f>0.693/AS8</f>
        <v>66.155354824913829</v>
      </c>
      <c r="AU7" s="262" t="s">
        <v>23</v>
      </c>
      <c r="AV7" s="288">
        <f>0.693/AV8</f>
        <v>66.155354824913829</v>
      </c>
      <c r="AX7" s="262" t="s">
        <v>23</v>
      </c>
      <c r="AY7" s="288">
        <f>0.693/AY8</f>
        <v>66.155354824913829</v>
      </c>
      <c r="BA7" s="262" t="s">
        <v>23</v>
      </c>
      <c r="BB7" s="288">
        <f>0.693/BB8</f>
        <v>66.155354824913829</v>
      </c>
      <c r="BD7" s="262" t="s">
        <v>23</v>
      </c>
      <c r="BE7" s="288">
        <f>0.693/BE8</f>
        <v>66.155354824913829</v>
      </c>
      <c r="BG7" s="262" t="s">
        <v>23</v>
      </c>
      <c r="BH7" s="288">
        <f>0.693/BH8</f>
        <v>66.155354824913829</v>
      </c>
      <c r="BJ7" s="262" t="s">
        <v>23</v>
      </c>
      <c r="BK7" s="288">
        <f>0.693/BK8</f>
        <v>66.155354824913829</v>
      </c>
      <c r="BM7" s="262" t="s">
        <v>23</v>
      </c>
      <c r="BN7" s="288">
        <f>0.693/BN8</f>
        <v>66.155354824913829</v>
      </c>
      <c r="BP7" s="262" t="s">
        <v>23</v>
      </c>
      <c r="BQ7" s="288">
        <f>0.693/BQ8</f>
        <v>66.155354824913829</v>
      </c>
      <c r="BS7" s="266" t="s">
        <v>270</v>
      </c>
      <c r="BT7" s="287">
        <f>B31</f>
        <v>1.04753425E-2</v>
      </c>
      <c r="BU7" s="249" t="s">
        <v>69</v>
      </c>
      <c r="BV7" s="262" t="s">
        <v>43</v>
      </c>
      <c r="BW7" s="290">
        <f>E10</f>
        <v>3.1999999999999999E-11</v>
      </c>
      <c r="BX7" s="263" t="s">
        <v>35</v>
      </c>
      <c r="BY7" s="262" t="s">
        <v>43</v>
      </c>
      <c r="BZ7" s="290">
        <f>B19</f>
        <v>3.1999999999999999E-11</v>
      </c>
      <c r="CA7" s="263" t="s">
        <v>35</v>
      </c>
      <c r="CB7" s="262" t="s">
        <v>23</v>
      </c>
      <c r="CC7" s="288">
        <f>0.693/CC8</f>
        <v>66.155354824913829</v>
      </c>
      <c r="CE7" s="262" t="s">
        <v>23</v>
      </c>
      <c r="CF7" s="288">
        <f>0.693/CF8</f>
        <v>66.155354824913829</v>
      </c>
      <c r="CH7" s="262" t="s">
        <v>23</v>
      </c>
      <c r="CI7" s="288">
        <f>0.693/CI8</f>
        <v>66.155354824913829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3.1999999999999999E-11</v>
      </c>
      <c r="CV7" s="263" t="s">
        <v>35</v>
      </c>
      <c r="CW7" s="266" t="s">
        <v>270</v>
      </c>
      <c r="CX7" s="287">
        <f>B31</f>
        <v>1.04753425E-2</v>
      </c>
      <c r="CY7" s="249" t="s">
        <v>69</v>
      </c>
      <c r="CZ7" s="263" t="s">
        <v>43</v>
      </c>
      <c r="DA7" s="290">
        <f>B19</f>
        <v>3.1999999999999999E-11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0.82303427313698274</v>
      </c>
      <c r="DH7" s="249" t="s">
        <v>19</v>
      </c>
      <c r="DI7" s="262" t="s">
        <v>37</v>
      </c>
      <c r="DJ7" s="287">
        <f>B44</f>
        <v>0</v>
      </c>
      <c r="DL7" s="262" t="s">
        <v>37</v>
      </c>
      <c r="DM7" s="287">
        <f>B44</f>
        <v>0</v>
      </c>
      <c r="DO7" s="249" t="s">
        <v>36</v>
      </c>
      <c r="DP7" s="118">
        <f>(DP8*DP9*DP15*DP21*((1-EXP(-DP16*DP17))))/(DP18*DP16)</f>
        <v>0.82303427313698274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0</v>
      </c>
      <c r="EA7" s="262" t="s">
        <v>38</v>
      </c>
      <c r="EB7" s="287">
        <f>B45</f>
        <v>0</v>
      </c>
      <c r="EC7" s="263"/>
      <c r="ED7" s="262" t="s">
        <v>38</v>
      </c>
      <c r="EE7" s="287">
        <f>B45</f>
        <v>0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0</v>
      </c>
      <c r="EP7" s="262" t="s">
        <v>38</v>
      </c>
      <c r="EQ7" s="287">
        <f>B45</f>
        <v>0</v>
      </c>
      <c r="ER7" s="263"/>
      <c r="ES7" s="262" t="s">
        <v>38</v>
      </c>
      <c r="ET7" s="287">
        <f>B45</f>
        <v>0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0</v>
      </c>
      <c r="FD7" s="262"/>
      <c r="FE7" s="262" t="s">
        <v>38</v>
      </c>
      <c r="FF7" s="305">
        <f>B45</f>
        <v>0</v>
      </c>
      <c r="FG7" s="263"/>
      <c r="FH7" s="263" t="s">
        <v>38</v>
      </c>
      <c r="FI7" s="290">
        <f>B45</f>
        <v>0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0</v>
      </c>
      <c r="GH7" s="262"/>
      <c r="GI7" s="262" t="s">
        <v>38</v>
      </c>
      <c r="GJ7" s="305">
        <f>B45</f>
        <v>0</v>
      </c>
      <c r="GK7" s="262"/>
      <c r="GL7" s="262" t="s">
        <v>38</v>
      </c>
      <c r="GM7" s="305">
        <f>B45</f>
        <v>0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0</v>
      </c>
      <c r="GW7" s="262"/>
      <c r="GX7" s="262" t="s">
        <v>38</v>
      </c>
      <c r="GY7" s="305">
        <f>B45</f>
        <v>0</v>
      </c>
      <c r="GZ7" s="262"/>
      <c r="HA7" s="262" t="s">
        <v>38</v>
      </c>
      <c r="HB7" s="305">
        <f>B45</f>
        <v>0</v>
      </c>
      <c r="HC7" s="263"/>
      <c r="HD7" s="262" t="s">
        <v>23</v>
      </c>
      <c r="HE7" s="288">
        <f>0.693/HE8</f>
        <v>66.155354824913829</v>
      </c>
    </row>
    <row r="8" spans="1:214" x14ac:dyDescent="0.2">
      <c r="A8" s="279" t="s">
        <v>458</v>
      </c>
      <c r="B8" s="70">
        <v>4.2700000000000002E-2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3.5145699120000001E-15</v>
      </c>
      <c r="I8" s="263" t="s">
        <v>35</v>
      </c>
      <c r="J8" s="262" t="s">
        <v>71</v>
      </c>
      <c r="K8" s="287">
        <f>B23</f>
        <v>1.6930652399999999E-9</v>
      </c>
      <c r="L8" s="262" t="s">
        <v>445</v>
      </c>
      <c r="M8" s="266" t="s">
        <v>270</v>
      </c>
      <c r="N8" s="287">
        <f>B31</f>
        <v>1.04753425E-2</v>
      </c>
      <c r="O8" s="249" t="s">
        <v>69</v>
      </c>
      <c r="P8" s="266" t="s">
        <v>270</v>
      </c>
      <c r="Q8" s="287">
        <f>B31</f>
        <v>1.04753425E-2</v>
      </c>
      <c r="R8" s="249" t="s">
        <v>69</v>
      </c>
      <c r="S8" s="266" t="s">
        <v>270</v>
      </c>
      <c r="T8" s="287">
        <f>B31</f>
        <v>1.04753425E-2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1.04753425E-2</v>
      </c>
      <c r="AK8" s="249" t="s">
        <v>69</v>
      </c>
      <c r="AL8" s="266" t="s">
        <v>270</v>
      </c>
      <c r="AM8" s="287">
        <f>B31</f>
        <v>1.04753425E-2</v>
      </c>
      <c r="AN8" s="249" t="s">
        <v>69</v>
      </c>
      <c r="AO8" s="266" t="s">
        <v>270</v>
      </c>
      <c r="AP8" s="287">
        <f>B31</f>
        <v>1.04753425E-2</v>
      </c>
      <c r="AQ8" s="249" t="s">
        <v>69</v>
      </c>
      <c r="AR8" s="266" t="s">
        <v>270</v>
      </c>
      <c r="AS8" s="287">
        <f>B31</f>
        <v>1.04753425E-2</v>
      </c>
      <c r="AT8" s="249" t="s">
        <v>69</v>
      </c>
      <c r="AU8" s="266" t="s">
        <v>270</v>
      </c>
      <c r="AV8" s="287">
        <f>B31</f>
        <v>1.04753425E-2</v>
      </c>
      <c r="AW8" s="249" t="s">
        <v>69</v>
      </c>
      <c r="AX8" s="266" t="s">
        <v>270</v>
      </c>
      <c r="AY8" s="287">
        <f>B31</f>
        <v>1.04753425E-2</v>
      </c>
      <c r="AZ8" s="249" t="s">
        <v>69</v>
      </c>
      <c r="BA8" s="266" t="s">
        <v>270</v>
      </c>
      <c r="BB8" s="287">
        <f>B31</f>
        <v>1.04753425E-2</v>
      </c>
      <c r="BC8" s="249" t="s">
        <v>69</v>
      </c>
      <c r="BD8" s="266" t="s">
        <v>270</v>
      </c>
      <c r="BE8" s="287">
        <f>B31</f>
        <v>1.04753425E-2</v>
      </c>
      <c r="BF8" s="249" t="s">
        <v>69</v>
      </c>
      <c r="BG8" s="266" t="s">
        <v>270</v>
      </c>
      <c r="BH8" s="287">
        <f>B31</f>
        <v>1.04753425E-2</v>
      </c>
      <c r="BI8" s="249" t="s">
        <v>69</v>
      </c>
      <c r="BJ8" s="266" t="s">
        <v>270</v>
      </c>
      <c r="BK8" s="287">
        <f>B31</f>
        <v>1.04753425E-2</v>
      </c>
      <c r="BL8" s="249" t="s">
        <v>69</v>
      </c>
      <c r="BM8" s="266" t="s">
        <v>270</v>
      </c>
      <c r="BN8" s="287">
        <f>B31</f>
        <v>1.04753425E-2</v>
      </c>
      <c r="BO8" s="249" t="s">
        <v>69</v>
      </c>
      <c r="BP8" s="266" t="s">
        <v>270</v>
      </c>
      <c r="BQ8" s="287">
        <f>B31</f>
        <v>1.04753425E-2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3.5145699120000001E-15</v>
      </c>
      <c r="BX8" s="263" t="s">
        <v>35</v>
      </c>
      <c r="BY8" s="262" t="s">
        <v>71</v>
      </c>
      <c r="BZ8" s="287">
        <f>B23</f>
        <v>1.6930652399999999E-9</v>
      </c>
      <c r="CA8" s="262" t="s">
        <v>95</v>
      </c>
      <c r="CB8" s="266" t="s">
        <v>270</v>
      </c>
      <c r="CC8" s="287">
        <f>B31</f>
        <v>1.04753425E-2</v>
      </c>
      <c r="CD8" s="249" t="s">
        <v>69</v>
      </c>
      <c r="CE8" s="266" t="s">
        <v>270</v>
      </c>
      <c r="CF8" s="287">
        <f>B31</f>
        <v>1.04753425E-2</v>
      </c>
      <c r="CG8" s="249" t="s">
        <v>69</v>
      </c>
      <c r="CH8" s="266" t="s">
        <v>270</v>
      </c>
      <c r="CI8" s="287">
        <f>B31</f>
        <v>1.04753425E-2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0</v>
      </c>
      <c r="CT8" s="262" t="s">
        <v>71</v>
      </c>
      <c r="CU8" s="287">
        <f>B23</f>
        <v>1.6930652399999999E-9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3.5145699120000001E-15</v>
      </c>
      <c r="DB8" s="262" t="s">
        <v>35</v>
      </c>
      <c r="DC8" s="262" t="s">
        <v>380</v>
      </c>
      <c r="DD8" s="297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1.04753425E-2</v>
      </c>
      <c r="HF8" s="249" t="s">
        <v>69</v>
      </c>
    </row>
    <row r="9" spans="1:214" x14ac:dyDescent="0.2">
      <c r="A9" s="279" t="s">
        <v>459</v>
      </c>
      <c r="B9" s="70">
        <v>0.72299999999999998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0</v>
      </c>
      <c r="I9" s="267" t="s">
        <v>35</v>
      </c>
      <c r="J9" s="262" t="s">
        <v>438</v>
      </c>
      <c r="K9" s="287">
        <f>B30</f>
        <v>0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0</v>
      </c>
      <c r="AD9" s="287">
        <f>B22</f>
        <v>0</v>
      </c>
      <c r="AE9" s="287">
        <f>B22</f>
        <v>0</v>
      </c>
      <c r="AF9" s="287">
        <f>B22</f>
        <v>0</v>
      </c>
      <c r="AG9" s="287">
        <f>B22</f>
        <v>0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0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0</v>
      </c>
      <c r="DB9" s="263" t="s">
        <v>35</v>
      </c>
      <c r="DC9" s="262" t="s">
        <v>381</v>
      </c>
      <c r="DD9" s="297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0</v>
      </c>
      <c r="EA9" s="262" t="s">
        <v>278</v>
      </c>
      <c r="EB9" s="287">
        <f>B37</f>
        <v>0</v>
      </c>
      <c r="EC9" s="263"/>
      <c r="ED9" s="262" t="s">
        <v>278</v>
      </c>
      <c r="EE9" s="287">
        <f>B37</f>
        <v>0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0</v>
      </c>
      <c r="EP9" s="262" t="s">
        <v>275</v>
      </c>
      <c r="EQ9" s="310">
        <f>B38</f>
        <v>0</v>
      </c>
      <c r="ER9" s="263"/>
      <c r="ES9" s="262" t="s">
        <v>275</v>
      </c>
      <c r="ET9" s="310">
        <f>B38</f>
        <v>0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5.8400000000000001E-2</v>
      </c>
      <c r="C10" s="241"/>
      <c r="D10" s="88" t="s">
        <v>43</v>
      </c>
      <c r="E10" s="187">
        <f>B19</f>
        <v>3.1999999999999999E-11</v>
      </c>
      <c r="F10" s="188" t="s">
        <v>35</v>
      </c>
      <c r="G10" s="266" t="s">
        <v>80</v>
      </c>
      <c r="H10" s="294" t="e">
        <f>(H5/(H6*H15))*H70*H68*H69</f>
        <v>#DIV/0!</v>
      </c>
      <c r="I10" s="271" t="s">
        <v>313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3.1999999999999999E-11</v>
      </c>
      <c r="X10" s="263" t="s">
        <v>44</v>
      </c>
      <c r="Y10" s="249" t="s">
        <v>43</v>
      </c>
      <c r="Z10" s="290">
        <f>B19</f>
        <v>3.1999999999999999E-11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3.1999999999999999E-11</v>
      </c>
      <c r="BU10" s="263" t="s">
        <v>35</v>
      </c>
      <c r="BV10" s="266" t="s">
        <v>80</v>
      </c>
      <c r="BW10" s="294" t="e">
        <f>(BW5/(BW6*BW12))*BW34*BW32*BW33</f>
        <v>#DIV/0!</v>
      </c>
      <c r="BX10" s="271" t="s">
        <v>313</v>
      </c>
      <c r="BY10" s="188" t="s">
        <v>16</v>
      </c>
      <c r="BZ10" s="109">
        <f>(BZ33*BZ11)/(1-EXP(-BZ11*BZ33))</f>
        <v>1720.0392254477595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315</v>
      </c>
      <c r="CL10" s="289">
        <f>B293</f>
        <v>222</v>
      </c>
      <c r="CM10" s="249" t="s">
        <v>309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3.1999999999999999E-11</v>
      </c>
      <c r="CY10" s="263" t="s">
        <v>35</v>
      </c>
      <c r="CZ10" s="263" t="s">
        <v>16</v>
      </c>
      <c r="DA10" s="288">
        <f>(DA38*DA11)/(1-EXP(-DA11*DA38))</f>
        <v>2646.2141929965533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0</v>
      </c>
      <c r="DL10" s="267"/>
      <c r="DO10" s="267" t="s">
        <v>37</v>
      </c>
      <c r="DP10" s="287">
        <f>B44</f>
        <v>0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0.70099999999999996</v>
      </c>
      <c r="C11" s="241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(H5/(H7*H16*H28))*H70*H68*H69</f>
        <v>2.5277456902173916E-15</v>
      </c>
      <c r="I11" s="271" t="s">
        <v>313</v>
      </c>
      <c r="J11" s="188" t="s">
        <v>16</v>
      </c>
      <c r="K11" s="109">
        <f>(K46*K12)/(1-EXP(-K12*K46))</f>
        <v>1720.0392254477595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(BW5/(BW8*(1/BW31)*BW15))*BW34*BW32*BW33</f>
        <v>8.3229358130174715E-6</v>
      </c>
      <c r="BX11" s="271" t="s">
        <v>313</v>
      </c>
      <c r="BY11" s="266" t="s">
        <v>23</v>
      </c>
      <c r="BZ11" s="109">
        <f>0.693/BZ12</f>
        <v>66.155354824913829</v>
      </c>
      <c r="CA11" s="88"/>
      <c r="CB11" s="249" t="s">
        <v>456</v>
      </c>
      <c r="CC11" s="287">
        <f>B3</f>
        <v>6.8000000000000005E-2</v>
      </c>
      <c r="CE11" s="249" t="s">
        <v>454</v>
      </c>
      <c r="CF11" s="287">
        <f>B6</f>
        <v>3.7100000000000001E-2</v>
      </c>
      <c r="CH11" s="249" t="s">
        <v>460</v>
      </c>
      <c r="CI11" s="287">
        <f>B10</f>
        <v>5.8400000000000001E-2</v>
      </c>
      <c r="CK11" s="266" t="s">
        <v>270</v>
      </c>
      <c r="CL11" s="287">
        <f>B31</f>
        <v>1.04753425E-2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2646.2141929965533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66.155354824913829</v>
      </c>
      <c r="DC11" s="262" t="s">
        <v>382</v>
      </c>
      <c r="DD11" s="297">
        <f>B141</f>
        <v>41.7</v>
      </c>
      <c r="DE11" s="267" t="s">
        <v>254</v>
      </c>
      <c r="DF11" s="267" t="s">
        <v>55</v>
      </c>
      <c r="DG11" s="288">
        <f>DG19+DG20</f>
        <v>0.18144061256544503</v>
      </c>
      <c r="DL11" s="267"/>
      <c r="DO11" s="267" t="s">
        <v>55</v>
      </c>
      <c r="DP11" s="288">
        <f>DP19+DP20</f>
        <v>0.18144061256544503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2.2499999999999999E-2</v>
      </c>
      <c r="C12" s="241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(H5/(H8*(1/H45)*H21))*H70*H68*H69</f>
        <v>2.6588671093355289E-6</v>
      </c>
      <c r="I12" s="271" t="s">
        <v>313</v>
      </c>
      <c r="J12" s="266" t="s">
        <v>23</v>
      </c>
      <c r="K12" s="109">
        <f>0.693/K13</f>
        <v>66.155354824913829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1.04753425E-2</v>
      </c>
      <c r="CA12" s="88" t="s">
        <v>69</v>
      </c>
      <c r="CB12" s="249" t="s">
        <v>457</v>
      </c>
      <c r="CC12" s="287">
        <f>B4</f>
        <v>0.75600000000000001</v>
      </c>
      <c r="CE12" s="249" t="s">
        <v>455</v>
      </c>
      <c r="CF12" s="287">
        <f>B7</f>
        <v>0.65</v>
      </c>
      <c r="CH12" s="249" t="s">
        <v>461</v>
      </c>
      <c r="CI12" s="287">
        <f>B11</f>
        <v>0.70099999999999996</v>
      </c>
      <c r="CK12" s="249" t="s">
        <v>23</v>
      </c>
      <c r="CL12" s="288">
        <f>693/CL11</f>
        <v>66155.35482491384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66.155354824913829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1.04753425E-2</v>
      </c>
      <c r="DB12" s="249" t="s">
        <v>69</v>
      </c>
      <c r="DC12" s="262" t="s">
        <v>383</v>
      </c>
      <c r="DD12" s="297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0.46300000000000002</v>
      </c>
      <c r="C13" s="242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 t="e">
        <f>(H14/((1/H42)*(H50+H51+H52)))</f>
        <v>#DIV/0!</v>
      </c>
      <c r="I13" s="271" t="s">
        <v>313</v>
      </c>
      <c r="J13" s="266" t="s">
        <v>270</v>
      </c>
      <c r="K13" s="189">
        <f>B31</f>
        <v>1.04753425E-2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6.8000000000000005E-2</v>
      </c>
      <c r="BM13" s="249" t="s">
        <v>454</v>
      </c>
      <c r="BN13" s="287">
        <f>B6</f>
        <v>3.7100000000000001E-2</v>
      </c>
      <c r="BP13" s="249" t="s">
        <v>460</v>
      </c>
      <c r="BQ13" s="287">
        <f>B10</f>
        <v>5.8400000000000001E-2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 t="e">
        <f>((BZ5/(BZ6*BZ16*(1/BZ36)))*BZ10)*BZ12*BZ37*BZ38</f>
        <v>#DIV/0!</v>
      </c>
      <c r="CA13" s="271" t="s">
        <v>311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1720039.22544776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1.04753425E-2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 t="e">
        <f>(DA5/(DA6*DA23))*DA12*DA50*DA51</f>
        <v>#DIV/0!</v>
      </c>
      <c r="DB13" s="266" t="s">
        <v>313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 t="e">
        <f>(H5/(H9*(H22+H25)*H43))*H70*H68*H69</f>
        <v>#DIV/0!</v>
      </c>
      <c r="I14" s="271" t="s">
        <v>311</v>
      </c>
      <c r="J14" s="266" t="s">
        <v>80</v>
      </c>
      <c r="K14" s="294" t="e">
        <f>((K5/(K6*K19*(1/K49)))*K11)*K13*K54*K55</f>
        <v>#DIV/0!</v>
      </c>
      <c r="L14" s="271" t="s">
        <v>311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1.6230073680000001E-12</v>
      </c>
      <c r="X14" s="262" t="s">
        <v>64</v>
      </c>
      <c r="Y14" s="262" t="s">
        <v>63</v>
      </c>
      <c r="Z14" s="287">
        <f>B28</f>
        <v>1.6230073680000001E-12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0.75600000000000001</v>
      </c>
      <c r="BM14" s="249" t="s">
        <v>455</v>
      </c>
      <c r="BN14" s="287">
        <f>B7</f>
        <v>0.65</v>
      </c>
      <c r="BP14" s="249" t="s">
        <v>461</v>
      </c>
      <c r="BQ14" s="287">
        <f>B11</f>
        <v>0.70099999999999996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((BZ5/(BZ7*BZ17*(1/BZ9)*BZ35))*BZ10)*BZ12*BZ37*BZ38</f>
        <v>0.33097049737943374</v>
      </c>
      <c r="CA14" s="271" t="s">
        <v>311</v>
      </c>
      <c r="CB14" s="249" t="s">
        <v>71</v>
      </c>
      <c r="CC14" s="290">
        <f>B23</f>
        <v>1.6930652399999999E-9</v>
      </c>
      <c r="CD14" s="263" t="s">
        <v>72</v>
      </c>
      <c r="CE14" s="249" t="s">
        <v>71</v>
      </c>
      <c r="CF14" s="290">
        <f>B25</f>
        <v>3.5682809472000002E-10</v>
      </c>
      <c r="CG14" s="263" t="s">
        <v>72</v>
      </c>
      <c r="CH14" s="249" t="s">
        <v>71</v>
      </c>
      <c r="CI14" s="290">
        <f>B27</f>
        <v>1.5412731840000001E-9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 t="e">
        <f>((CU5/(CU6*CU24*(1/CU47)))*CU11)*CU13*CU48*CU49</f>
        <v>#DIV/0!</v>
      </c>
      <c r="CV14" s="271" t="s">
        <v>311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(DA5/(DA7*DA24*DA46))*DA12*DA50*DA51</f>
        <v>1.5713013750000002E-12</v>
      </c>
      <c r="DB14" s="266" t="s">
        <v>313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((K5/(K7*K20*(1/K10)*K48))*K11)*K13*K54*K55</f>
        <v>2.9550937266020869E-3</v>
      </c>
      <c r="L15" s="271" t="s">
        <v>311</v>
      </c>
      <c r="M15" s="249" t="s">
        <v>448</v>
      </c>
      <c r="N15" s="290">
        <f>B23</f>
        <v>1.6930652399999999E-9</v>
      </c>
      <c r="O15" s="263" t="s">
        <v>446</v>
      </c>
      <c r="P15" s="249" t="s">
        <v>449</v>
      </c>
      <c r="Q15" s="290">
        <f>B25</f>
        <v>3.5682809472000002E-10</v>
      </c>
      <c r="R15" s="263" t="s">
        <v>446</v>
      </c>
      <c r="S15" s="249" t="s">
        <v>453</v>
      </c>
      <c r="T15" s="290">
        <f>B27</f>
        <v>1.5412731840000001E-9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1.6930652399999999E-9</v>
      </c>
      <c r="AK15" s="263" t="s">
        <v>72</v>
      </c>
      <c r="AL15" s="262" t="s">
        <v>449</v>
      </c>
      <c r="AM15" s="290">
        <f>B25</f>
        <v>3.5682809472000002E-10</v>
      </c>
      <c r="AN15" s="263" t="s">
        <v>72</v>
      </c>
      <c r="AO15" s="262" t="s">
        <v>452</v>
      </c>
      <c r="AP15" s="290">
        <f>B27</f>
        <v>1.5412731840000001E-9</v>
      </c>
      <c r="AQ15" s="263" t="s">
        <v>72</v>
      </c>
      <c r="AR15" s="249" t="s">
        <v>448</v>
      </c>
      <c r="AS15" s="290">
        <f>B23</f>
        <v>1.6930652399999999E-9</v>
      </c>
      <c r="AT15" s="263" t="s">
        <v>72</v>
      </c>
      <c r="AU15" s="262" t="s">
        <v>449</v>
      </c>
      <c r="AV15" s="290">
        <f>B25</f>
        <v>3.5682809472000002E-10</v>
      </c>
      <c r="AW15" s="263" t="s">
        <v>72</v>
      </c>
      <c r="AX15" s="262" t="s">
        <v>452</v>
      </c>
      <c r="AY15" s="290">
        <f>B27</f>
        <v>1.5412731840000001E-9</v>
      </c>
      <c r="AZ15" s="263" t="s">
        <v>72</v>
      </c>
      <c r="BA15" s="249" t="s">
        <v>448</v>
      </c>
      <c r="BB15" s="290">
        <f>B23</f>
        <v>1.6930652399999999E-9</v>
      </c>
      <c r="BC15" s="263" t="s">
        <v>72</v>
      </c>
      <c r="BD15" s="262" t="s">
        <v>449</v>
      </c>
      <c r="BE15" s="290">
        <f>B25</f>
        <v>3.5682809472000002E-10</v>
      </c>
      <c r="BF15" s="263" t="s">
        <v>72</v>
      </c>
      <c r="BG15" s="262" t="s">
        <v>452</v>
      </c>
      <c r="BH15" s="290">
        <f>B27</f>
        <v>1.5412731840000001E-9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(((BZ5)/(BZ8*BZ22*(1/BZ34)*BZ25*BZ28*(1/24)*BZ31*BZ32))*BZ10)*BZ12*BZ37*BZ38</f>
        <v>5.7807299505933203E-4</v>
      </c>
      <c r="CA15" s="271" t="s">
        <v>311</v>
      </c>
      <c r="CB15" s="95" t="s">
        <v>315</v>
      </c>
      <c r="CC15" s="289">
        <f>B293</f>
        <v>222</v>
      </c>
      <c r="CD15" s="249" t="s">
        <v>309</v>
      </c>
      <c r="CE15" s="95" t="s">
        <v>315</v>
      </c>
      <c r="CF15" s="289">
        <f>B293</f>
        <v>222</v>
      </c>
      <c r="CG15" s="249" t="s">
        <v>309</v>
      </c>
      <c r="CH15" s="95" t="s">
        <v>315</v>
      </c>
      <c r="CI15" s="289">
        <f>B293</f>
        <v>222</v>
      </c>
      <c r="CJ15" s="249" t="s">
        <v>309</v>
      </c>
      <c r="CK15" s="267" t="s">
        <v>310</v>
      </c>
      <c r="CL15" s="289">
        <f>B294</f>
        <v>2.8000000000000002E-12</v>
      </c>
      <c r="CT15" s="266" t="s">
        <v>74</v>
      </c>
      <c r="CU15" s="295">
        <f>((CU5/(CU7*CU25*(1/CU10)*CU46))*CU11)*CU13*CU48*CU49</f>
        <v>2.8260771605758002E-3</v>
      </c>
      <c r="CV15" s="271" t="s">
        <v>311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(DA5/(DA8*DA25*(DA47/DA48)))*DA12*DA50*DA51</f>
        <v>1.6935954122283281E-3</v>
      </c>
      <c r="DB15" s="266" t="s">
        <v>313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95" t="s">
        <v>315</v>
      </c>
      <c r="HE15" s="292">
        <f>B293</f>
        <v>222</v>
      </c>
      <c r="HF15" s="249" t="s">
        <v>309</v>
      </c>
    </row>
    <row r="16" spans="1:214" x14ac:dyDescent="0.2">
      <c r="A16" s="585"/>
      <c r="B16" s="586"/>
      <c r="C16" s="6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((K5/(K8*K45*((K40*K44*(1/24))+(K41*K43*(1/24)))*K32*(1/K47)*K34))*K11)*K13*K54*K55</f>
        <v>7.6553809790026965E-7</v>
      </c>
      <c r="L16" s="271" t="s">
        <v>311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((W5)/((W11/W12)*W8*W9*W10*W13))*W7*W20*W21</f>
        <v>1.8087424716666669E-15</v>
      </c>
      <c r="X16" s="88" t="s">
        <v>15</v>
      </c>
      <c r="Y16" s="88" t="s">
        <v>74</v>
      </c>
      <c r="Z16" s="294">
        <f>((Z5)/((Z11/Z12)*Z8*Z9*Z10*Z13))*Z7*Z20*Z21</f>
        <v>1.6278682245000003E-15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6.8000000000000005E-2</v>
      </c>
      <c r="AG16" s="305">
        <f>B3</f>
        <v>6.8000000000000005E-2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1.6930652399999999E-9</v>
      </c>
      <c r="BL16" s="263" t="s">
        <v>72</v>
      </c>
      <c r="BM16" s="262" t="s">
        <v>449</v>
      </c>
      <c r="BN16" s="290">
        <f>B25</f>
        <v>3.5682809472000002E-10</v>
      </c>
      <c r="BO16" s="263" t="s">
        <v>72</v>
      </c>
      <c r="BP16" s="262" t="s">
        <v>452</v>
      </c>
      <c r="BQ16" s="290">
        <f>B27</f>
        <v>1.5412731840000001E-9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7" t="s">
        <v>310</v>
      </c>
      <c r="CC16" s="293">
        <f>B294</f>
        <v>2.8000000000000002E-12</v>
      </c>
      <c r="CD16" s="262"/>
      <c r="CE16" s="267" t="s">
        <v>310</v>
      </c>
      <c r="CF16" s="293">
        <f>B294</f>
        <v>2.8000000000000002E-12</v>
      </c>
      <c r="CG16" s="262"/>
      <c r="CH16" s="267" t="s">
        <v>310</v>
      </c>
      <c r="CI16" s="289">
        <f>B294</f>
        <v>2.8000000000000002E-12</v>
      </c>
      <c r="CK16" s="267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((CU5*CU44*CU12)/((1-EXP(-CU12*CU44))*CU8*CU31*(1/365)*CU32*((CU38*(1/24)*CU42)+(CU39*(1/24)*CU41))*CU43))*CU13*CU48*CU49</f>
        <v>3.9378970723097877E-7</v>
      </c>
      <c r="CV16" s="271" t="s">
        <v>311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 t="e">
        <f>DG2</f>
        <v>#DIV/0!</v>
      </c>
      <c r="DB16" s="266" t="s">
        <v>313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0.23091361256544501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0.23091361256544501</v>
      </c>
      <c r="DQ16" s="262" t="s">
        <v>82</v>
      </c>
      <c r="DR16" s="267" t="s">
        <v>400</v>
      </c>
      <c r="DS16" s="297">
        <f>B175</f>
        <v>1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0.23091361256544501</v>
      </c>
      <c r="EF16" s="262" t="s">
        <v>82</v>
      </c>
      <c r="EG16" s="267" t="s">
        <v>401</v>
      </c>
      <c r="EH16" s="297">
        <f>B176</f>
        <v>1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0.23091361256544501</v>
      </c>
      <c r="EU16" s="262" t="s">
        <v>82</v>
      </c>
      <c r="EV16" s="267" t="s">
        <v>402</v>
      </c>
      <c r="EW16" s="297">
        <f>B177</f>
        <v>1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0.23091361256544501</v>
      </c>
      <c r="FJ16" s="262" t="s">
        <v>82</v>
      </c>
      <c r="FK16" s="267" t="s">
        <v>403</v>
      </c>
      <c r="FL16" s="297">
        <f>B178</f>
        <v>1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0.23091361256544501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0.23091361256544501</v>
      </c>
      <c r="HC16" s="262" t="s">
        <v>82</v>
      </c>
      <c r="HD16" s="267" t="s">
        <v>310</v>
      </c>
      <c r="HE16" s="292">
        <f>B295</f>
        <v>2.8000000000000001E-15</v>
      </c>
      <c r="HF16" s="267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 t="e">
        <f>(K18/(K50+K51))*K11</f>
        <v>#DIV/0!</v>
      </c>
      <c r="L17" s="271" t="s">
        <v>311</v>
      </c>
      <c r="M17" s="95" t="s">
        <v>315</v>
      </c>
      <c r="N17" s="293">
        <f>B293</f>
        <v>222</v>
      </c>
      <c r="O17" s="249" t="s">
        <v>309</v>
      </c>
      <c r="P17" s="95" t="s">
        <v>315</v>
      </c>
      <c r="Q17" s="293">
        <f>B293</f>
        <v>222</v>
      </c>
      <c r="R17" s="249" t="s">
        <v>309</v>
      </c>
      <c r="S17" s="95" t="s">
        <v>315</v>
      </c>
      <c r="T17" s="293">
        <f>B293</f>
        <v>222</v>
      </c>
      <c r="U17" s="249" t="s">
        <v>309</v>
      </c>
      <c r="V17" s="88" t="s">
        <v>78</v>
      </c>
      <c r="W17" s="296">
        <f>((W5)/((W11/W12)*W8*W9*W14*(1/365)))*W7*W20*W21</f>
        <v>7.8099874907283838E-10</v>
      </c>
      <c r="X17" s="88" t="s">
        <v>15</v>
      </c>
      <c r="Y17" s="88" t="s">
        <v>78</v>
      </c>
      <c r="Z17" s="296">
        <f>((Z5)/((Z11/Z12)*Z8*Z9*Z14*(1/365)))*Z7*Z20*Z21</f>
        <v>7.0289887416555475E-10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95" t="s">
        <v>315</v>
      </c>
      <c r="AJ17" s="293">
        <f>B293</f>
        <v>222</v>
      </c>
      <c r="AK17" s="249" t="s">
        <v>309</v>
      </c>
      <c r="AL17" s="95" t="s">
        <v>315</v>
      </c>
      <c r="AM17" s="293">
        <f>B293</f>
        <v>222</v>
      </c>
      <c r="AN17" s="249" t="s">
        <v>309</v>
      </c>
      <c r="AO17" s="95" t="s">
        <v>315</v>
      </c>
      <c r="AP17" s="293">
        <f>B293</f>
        <v>222</v>
      </c>
      <c r="AQ17" s="249" t="s">
        <v>309</v>
      </c>
      <c r="AR17" s="95" t="s">
        <v>315</v>
      </c>
      <c r="AS17" s="293">
        <f>B293</f>
        <v>222</v>
      </c>
      <c r="AT17" s="249" t="s">
        <v>309</v>
      </c>
      <c r="AU17" s="95" t="s">
        <v>315</v>
      </c>
      <c r="AV17" s="293">
        <f>B293</f>
        <v>222</v>
      </c>
      <c r="AW17" s="249" t="s">
        <v>309</v>
      </c>
      <c r="AX17" s="95" t="s">
        <v>315</v>
      </c>
      <c r="AY17" s="293">
        <f>B293</f>
        <v>222</v>
      </c>
      <c r="AZ17" s="249" t="s">
        <v>309</v>
      </c>
      <c r="BA17" s="95" t="s">
        <v>315</v>
      </c>
      <c r="BB17" s="293">
        <f>B293</f>
        <v>222</v>
      </c>
      <c r="BC17" s="249" t="s">
        <v>309</v>
      </c>
      <c r="BD17" s="95" t="s">
        <v>315</v>
      </c>
      <c r="BE17" s="293">
        <f>B293</f>
        <v>222</v>
      </c>
      <c r="BF17" s="249" t="s">
        <v>309</v>
      </c>
      <c r="BG17" s="95" t="s">
        <v>315</v>
      </c>
      <c r="BH17" s="293">
        <f>B293</f>
        <v>222</v>
      </c>
      <c r="BI17" s="249" t="s">
        <v>309</v>
      </c>
      <c r="BJ17" s="95" t="s">
        <v>315</v>
      </c>
      <c r="BK17" s="293">
        <f>B293</f>
        <v>222</v>
      </c>
      <c r="BL17" s="249" t="s">
        <v>309</v>
      </c>
      <c r="BM17" s="95" t="s">
        <v>315</v>
      </c>
      <c r="BN17" s="293">
        <f>B293</f>
        <v>222</v>
      </c>
      <c r="BO17" s="249" t="s">
        <v>309</v>
      </c>
      <c r="BP17" s="95" t="s">
        <v>315</v>
      </c>
      <c r="BQ17" s="293">
        <f>B293</f>
        <v>222</v>
      </c>
      <c r="BR17" s="249" t="s">
        <v>309</v>
      </c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 t="e">
        <f>DJ2</f>
        <v>#DIV/0!</v>
      </c>
      <c r="CV17" s="271" t="s">
        <v>311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66.155354824913829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1.6230073680000001E-12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 t="e">
        <f>(K5/(K9*(K25+K28)*K39))*K13*K54*K55</f>
        <v>#DIV/0!</v>
      </c>
      <c r="L18" s="271" t="s">
        <v>311</v>
      </c>
      <c r="M18" s="267" t="s">
        <v>310</v>
      </c>
      <c r="N18" s="289">
        <f>B294</f>
        <v>2.8000000000000002E-12</v>
      </c>
      <c r="P18" s="267" t="s">
        <v>310</v>
      </c>
      <c r="Q18" s="289">
        <f>B294</f>
        <v>2.8000000000000002E-12</v>
      </c>
      <c r="S18" s="267" t="s">
        <v>310</v>
      </c>
      <c r="T18" s="289">
        <f>B294</f>
        <v>2.8000000000000002E-12</v>
      </c>
      <c r="V18" s="88" t="s">
        <v>74</v>
      </c>
      <c r="W18" s="294">
        <f>((W5*W6*W9)/((W11/W12)*(1-EXP(-W6*W9))*W10*W13*W8*W9))*W7*W20*W21</f>
        <v>2.9914499999999993E-12</v>
      </c>
      <c r="X18" s="88" t="s">
        <v>16</v>
      </c>
      <c r="Y18" s="88" t="s">
        <v>74</v>
      </c>
      <c r="Z18" s="294">
        <f>((Z5*Z6*Z9)/((Z11/Z12)*(1-EXP(-Z6*Z9))*Z10*Z13*Z8*Z9))*Z7*Z20*Z21</f>
        <v>2.6923049999999994E-12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AI18" s="267" t="s">
        <v>310</v>
      </c>
      <c r="AJ18" s="289">
        <f>B294</f>
        <v>2.8000000000000002E-12</v>
      </c>
      <c r="AL18" s="267" t="s">
        <v>310</v>
      </c>
      <c r="AM18" s="289">
        <f>B294</f>
        <v>2.8000000000000002E-12</v>
      </c>
      <c r="AO18" s="267" t="s">
        <v>310</v>
      </c>
      <c r="AP18" s="289">
        <f>B294</f>
        <v>2.8000000000000002E-12</v>
      </c>
      <c r="AR18" s="267" t="s">
        <v>310</v>
      </c>
      <c r="AS18" s="289">
        <f>B294</f>
        <v>2.8000000000000002E-12</v>
      </c>
      <c r="AU18" s="267" t="s">
        <v>310</v>
      </c>
      <c r="AV18" s="289">
        <f>B294</f>
        <v>2.8000000000000002E-12</v>
      </c>
      <c r="AX18" s="267" t="s">
        <v>310</v>
      </c>
      <c r="AY18" s="289">
        <f>B294</f>
        <v>2.8000000000000002E-12</v>
      </c>
      <c r="BA18" s="267" t="s">
        <v>310</v>
      </c>
      <c r="BB18" s="289">
        <f>B294</f>
        <v>2.8000000000000002E-12</v>
      </c>
      <c r="BD18" s="267" t="s">
        <v>310</v>
      </c>
      <c r="BE18" s="289">
        <f>B294</f>
        <v>2.8000000000000002E-12</v>
      </c>
      <c r="BG18" s="267" t="s">
        <v>310</v>
      </c>
      <c r="BH18" s="289">
        <f>B294</f>
        <v>2.8000000000000002E-12</v>
      </c>
      <c r="BJ18" s="267" t="s">
        <v>310</v>
      </c>
      <c r="BK18" s="289">
        <f>B294</f>
        <v>2.8000000000000002E-12</v>
      </c>
      <c r="BM18" s="267" t="s">
        <v>310</v>
      </c>
      <c r="BN18" s="289">
        <f>B294</f>
        <v>2.8000000000000002E-12</v>
      </c>
      <c r="BP18" s="267" t="s">
        <v>310</v>
      </c>
      <c r="BQ18" s="289">
        <f>B294</f>
        <v>2.8000000000000002E-12</v>
      </c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311</v>
      </c>
      <c r="CW18" s="266" t="s">
        <v>63</v>
      </c>
      <c r="CX18" s="189">
        <f>B28</f>
        <v>1.6230073680000001E-12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66.155354824913829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66.155354824913829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66.155354824913829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66.155354824913829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66.155354824913829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1.04753425E-2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3.1999999999999999E-11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((W5*W6*W9)/((W11/W12)*(1-EXP(-W6*W9))*W14*W8*W9*(1/365)))*W7*W20*W21</f>
        <v>1.2916812340681865E-6</v>
      </c>
      <c r="X19" s="88" t="s">
        <v>16</v>
      </c>
      <c r="Y19" s="88" t="s">
        <v>78</v>
      </c>
      <c r="Z19" s="296">
        <f>((Z5*Z6*Z9)/((Z11/Z12)*(1-EXP(-Z6*Z9))*Z14*Z8*Z9*(1/365)))*Z7*Z20*Z21</f>
        <v>1.162513110661368E-6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0.75600000000000001</v>
      </c>
      <c r="AG19" s="305">
        <f>B4</f>
        <v>0.75600000000000001</v>
      </c>
      <c r="AH19" s="267"/>
      <c r="BS19" s="262" t="s">
        <v>63</v>
      </c>
      <c r="BT19" s="287">
        <f>E18</f>
        <v>1.6230073680000001E-12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((CC22*CC23*CC24)/((1-EXP(-CC24*CC23))*CC27*CC31*(CC26/365)*CC29*(CC30/24)*CC28))*CC25*CC32*CC33</f>
        <v>1.3787852481726173E-2</v>
      </c>
      <c r="CD19" s="404" t="s">
        <v>314</v>
      </c>
      <c r="CE19" s="402" t="s">
        <v>562</v>
      </c>
      <c r="CF19" s="400">
        <f>((CF22*CF23*CF24)/((1-EXP(-CF24*CF23))*CF27*CF31*(CF26/365)*CF29*(CF30/24)*CF28))*CF25*CF32*CF33</f>
        <v>1.6184767756375769E-3</v>
      </c>
      <c r="CG19" s="398" t="s">
        <v>311</v>
      </c>
      <c r="CK19" s="410" t="s">
        <v>510</v>
      </c>
      <c r="CL19" s="400" t="e">
        <f>(CL22/(CL23*CL24*CL25*CL26))*CL28*CL27*CL32</f>
        <v>#DIV/0!</v>
      </c>
      <c r="CM19" s="404" t="s">
        <v>311</v>
      </c>
      <c r="CN19" s="402" t="s">
        <v>7</v>
      </c>
      <c r="CO19" s="400" t="e">
        <f>(CL19/(CO22*((CO27*CO29*CO30*(CO23+CO24))+(CO28*CO29))))*CL30</f>
        <v>#DIV/0!</v>
      </c>
      <c r="CP19" s="412" t="s">
        <v>311</v>
      </c>
      <c r="CQ19" s="402" t="s">
        <v>6</v>
      </c>
      <c r="CR19" s="400" t="e">
        <f>CL19/(CR22*CR23*(1/CR24))</f>
        <v>#DIV/0!</v>
      </c>
      <c r="CS19" s="415" t="s">
        <v>313</v>
      </c>
      <c r="CT19" s="266" t="s">
        <v>258</v>
      </c>
      <c r="CU19" s="295" t="e">
        <f>GV2</f>
        <v>#DIV/0!</v>
      </c>
      <c r="CV19" s="271" t="s">
        <v>311</v>
      </c>
      <c r="CW19" s="266" t="s">
        <v>255</v>
      </c>
      <c r="CX19" s="304">
        <f>B173</f>
        <v>1</v>
      </c>
      <c r="CY19" s="88"/>
      <c r="CZ19" s="266" t="s">
        <v>184</v>
      </c>
      <c r="DA19" s="295" t="e">
        <f>EK2</f>
        <v>#DIV/0!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1.04753425E-2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1.04753425E-2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1.04753425E-2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1.04753425E-2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1.04753425E-2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315</v>
      </c>
      <c r="GP19" s="292">
        <f>B293</f>
        <v>222</v>
      </c>
      <c r="GQ19" s="249" t="s">
        <v>309</v>
      </c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0</v>
      </c>
      <c r="C20" s="263" t="s">
        <v>35</v>
      </c>
      <c r="D20" s="88" t="s">
        <v>74</v>
      </c>
      <c r="E20" s="294">
        <f>((E5)/(E10*E11))*E7*E26*E27</f>
        <v>1.2638728451086958E-15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315</v>
      </c>
      <c r="W20" s="289">
        <f>B293</f>
        <v>222</v>
      </c>
      <c r="X20" s="249" t="s">
        <v>309</v>
      </c>
      <c r="Y20" s="95" t="s">
        <v>315</v>
      </c>
      <c r="Z20" s="289">
        <f>B293</f>
        <v>222</v>
      </c>
      <c r="AA20" s="249" t="s">
        <v>309</v>
      </c>
      <c r="AB20" s="262" t="s">
        <v>71</v>
      </c>
      <c r="AC20" s="287">
        <f>B23</f>
        <v>1.6930652399999999E-9</v>
      </c>
      <c r="AD20" s="287">
        <f>B23</f>
        <v>1.6930652399999999E-9</v>
      </c>
      <c r="AE20" s="287">
        <f>B23</f>
        <v>1.6930652399999999E-9</v>
      </c>
      <c r="AF20" s="287">
        <f>B23</f>
        <v>1.6930652399999999E-9</v>
      </c>
      <c r="AG20" s="287">
        <f>B23</f>
        <v>1.6930652399999999E-9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 t="e">
        <f>EN2</f>
        <v>#DIV/0!</v>
      </c>
      <c r="CV20" s="271" t="s">
        <v>311</v>
      </c>
      <c r="CW20" s="88" t="s">
        <v>74</v>
      </c>
      <c r="CX20" s="294">
        <f>((CX5)/((CX14/CX15)*CX10*CX11))*CX7*CX26*CX27</f>
        <v>7.8565068750000013E-16</v>
      </c>
      <c r="CY20" s="88" t="s">
        <v>15</v>
      </c>
      <c r="CZ20" s="266" t="s">
        <v>493</v>
      </c>
      <c r="DA20" s="295" t="e">
        <f>DV2</f>
        <v>#DIV/0!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0.18141361256544503</v>
      </c>
      <c r="DH20" s="249" t="s">
        <v>82</v>
      </c>
      <c r="DL20" s="267"/>
      <c r="DO20" s="267" t="s">
        <v>90</v>
      </c>
      <c r="DP20" s="288">
        <f>0.693/B35</f>
        <v>0.18141361256544503</v>
      </c>
      <c r="DQ20" s="249" t="s">
        <v>82</v>
      </c>
      <c r="DR20" s="95" t="s">
        <v>315</v>
      </c>
      <c r="DS20" s="289">
        <f>B293</f>
        <v>222</v>
      </c>
      <c r="DT20" s="249" t="s">
        <v>309</v>
      </c>
      <c r="DU20" s="267"/>
      <c r="EA20" s="267"/>
      <c r="EB20" s="307"/>
      <c r="EC20" s="263"/>
      <c r="ED20" s="267" t="s">
        <v>90</v>
      </c>
      <c r="EE20" s="299">
        <f>0.693/B35</f>
        <v>0.18141361256544503</v>
      </c>
      <c r="EF20" s="263" t="s">
        <v>82</v>
      </c>
      <c r="EG20" s="249" t="s">
        <v>315</v>
      </c>
      <c r="EH20" s="297">
        <f>B293</f>
        <v>222</v>
      </c>
      <c r="EI20" s="249" t="s">
        <v>309</v>
      </c>
      <c r="EJ20" s="267"/>
      <c r="EP20" s="267"/>
      <c r="EQ20" s="307"/>
      <c r="ER20" s="263"/>
      <c r="ES20" s="267" t="s">
        <v>90</v>
      </c>
      <c r="ET20" s="299">
        <f>0.693/B35</f>
        <v>0.18141361256544503</v>
      </c>
      <c r="EU20" s="263" t="s">
        <v>82</v>
      </c>
      <c r="EV20" s="95" t="s">
        <v>315</v>
      </c>
      <c r="EW20" s="297">
        <f>B293</f>
        <v>222</v>
      </c>
      <c r="EX20" s="249" t="s">
        <v>309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0.18141361256544503</v>
      </c>
      <c r="FJ20" s="263" t="s">
        <v>82</v>
      </c>
      <c r="FK20" s="95" t="s">
        <v>315</v>
      </c>
      <c r="FL20" s="297">
        <f>B293</f>
        <v>222</v>
      </c>
      <c r="FM20" s="249" t="s">
        <v>309</v>
      </c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315</v>
      </c>
      <c r="GA20" s="292">
        <f>B293</f>
        <v>222</v>
      </c>
      <c r="GB20" s="249" t="s">
        <v>309</v>
      </c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0.18141361256544503</v>
      </c>
      <c r="GN20" s="263" t="s">
        <v>82</v>
      </c>
      <c r="GO20" s="267" t="s">
        <v>310</v>
      </c>
      <c r="GP20" s="292">
        <f>B294</f>
        <v>2.8000000000000002E-12</v>
      </c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0.18141361256544503</v>
      </c>
      <c r="HC20" s="263" t="s">
        <v>82</v>
      </c>
    </row>
    <row r="21" spans="1:214" ht="15" thickTop="1" thickBot="1" x14ac:dyDescent="0.25">
      <c r="A21" s="262" t="s">
        <v>316</v>
      </c>
      <c r="B21" s="315">
        <v>0</v>
      </c>
      <c r="C21" s="262" t="s">
        <v>35</v>
      </c>
      <c r="D21" s="88" t="s">
        <v>78</v>
      </c>
      <c r="E21" s="295">
        <f>((E5)/((E14/E15)*E8*E9*E18*(1/365)*E19))*E7*E26*E27</f>
        <v>1.6092007192434858E-10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((N24*N25*N26)/((1-EXP(-N26*N25))*N29*N34*(N28/365)*N32*(((N33/24)*N31)+((N35/24)*N30))))*N27*N36*N37</f>
        <v>3.7001008065179701E-6</v>
      </c>
      <c r="O21" s="637" t="s">
        <v>314</v>
      </c>
      <c r="P21" s="639" t="s">
        <v>516</v>
      </c>
      <c r="Q21" s="647">
        <f>((Q24*Q25*Q26)/((1-EXP(-Q26*Q25))*Q29*Q34*(Q28/365)*Q32*(((Q33/24)*Q31)+((Q35/24)*Q30))))*Q27*Q36*Q37</f>
        <v>1.2871408185939134E-6</v>
      </c>
      <c r="R21" s="643" t="s">
        <v>311</v>
      </c>
      <c r="V21" s="267" t="s">
        <v>310</v>
      </c>
      <c r="W21" s="289">
        <f>B295</f>
        <v>2.8000000000000001E-15</v>
      </c>
      <c r="Y21" s="267" t="s">
        <v>310</v>
      </c>
      <c r="Z21" s="289">
        <f>B295</f>
        <v>2.8000000000000001E-15</v>
      </c>
      <c r="AB21" s="262" t="s">
        <v>43</v>
      </c>
      <c r="AC21" s="290">
        <f>B19</f>
        <v>3.1999999999999999E-11</v>
      </c>
      <c r="AD21" s="290">
        <f>B19</f>
        <v>3.1999999999999999E-11</v>
      </c>
      <c r="AE21" s="290">
        <f>B19</f>
        <v>3.1999999999999999E-11</v>
      </c>
      <c r="AF21" s="290">
        <f>B19</f>
        <v>3.1999999999999999E-11</v>
      </c>
      <c r="AG21" s="290">
        <f>B19</f>
        <v>3.1999999999999999E-11</v>
      </c>
      <c r="AH21" s="263" t="s">
        <v>35</v>
      </c>
      <c r="AI21" s="381" t="s">
        <v>516</v>
      </c>
      <c r="AJ21" s="387">
        <f>((AJ24*AJ25*AJ26)/((1-EXP(-AJ26*AJ25))*AJ34*(AJ28/365)*AJ29*(AJ35/24)*AJ30*AJ32))*AJ27*AJ36*AJ37</f>
        <v>1.3465776865160848E-5</v>
      </c>
      <c r="AK21" s="629" t="s">
        <v>314</v>
      </c>
      <c r="AL21" s="383" t="s">
        <v>516</v>
      </c>
      <c r="AM21" s="387">
        <f>((AM24*AM25*AM26)/((1-EXP(-AM26*AM25))*AM34*(AM28/365)*AM29*(AM35/24)*AM30*AM32))*AM27*AM36*AM37</f>
        <v>4.6842915811088277E-6</v>
      </c>
      <c r="AN21" s="635" t="s">
        <v>311</v>
      </c>
      <c r="AR21" s="381" t="s">
        <v>516</v>
      </c>
      <c r="AS21" s="387">
        <f>((AS24*AS25*AS26)/((1-EXP(-AS26*AS25))*AS34*(AS28/365)*AS29*(AS33/24)*AS31*AS32))*AS27*AS36*AS37</f>
        <v>5.9847897178492654E-6</v>
      </c>
      <c r="AT21" s="391" t="s">
        <v>314</v>
      </c>
      <c r="AU21" s="383" t="s">
        <v>516</v>
      </c>
      <c r="AV21" s="387">
        <f>((AV24*AV25*AV26)/((1-EXP(-AV26*AV25))*AV34*(AV28/365)*AV29*(AV33/24)*AV31*AV32))*AV27*AV36*AV37</f>
        <v>2.0819073693817017E-6</v>
      </c>
      <c r="AW21" s="385" t="s">
        <v>311</v>
      </c>
      <c r="BA21" s="381" t="s">
        <v>516</v>
      </c>
      <c r="BB21" s="387">
        <f>((BB24*BB25*BB26)/((1-EXP(-BB26*BB25))*BB34*(BB28/365)*BB29*((BB33+BB35)/24)*BB31*BB32))*BB27*BB36*BB37</f>
        <v>5.3863107460643392E-6</v>
      </c>
      <c r="BC21" s="391" t="s">
        <v>314</v>
      </c>
      <c r="BD21" s="383" t="s">
        <v>516</v>
      </c>
      <c r="BE21" s="387">
        <f>((BE24*BE25*BE26)/((1-EXP(-BE26*BE25))*BE34*(BE28/365)*BE29*((BE33+BE35)/24)*BE31*BE32))*BE27*BE36*BE37</f>
        <v>1.8737166324435316E-6</v>
      </c>
      <c r="BF21" s="385" t="s">
        <v>311</v>
      </c>
      <c r="BJ21" s="381" t="s">
        <v>561</v>
      </c>
      <c r="BK21" s="389">
        <f>((BK24*BK25*BK26)/((1-EXP(-BK26*BK25))*BK31*BK35*(BK28/365)*BK33*(BK34/24)*BK32))*BK27*BK36*BK37</f>
        <v>9.9431628473986827E-4</v>
      </c>
      <c r="BL21" s="391" t="s">
        <v>314</v>
      </c>
      <c r="BM21" s="383" t="s">
        <v>562</v>
      </c>
      <c r="BN21" s="389">
        <f>((BN24*BN25*BN26)/((1-EXP(-BN26*BN25))*BN31*BN35*(BN28/365)*BN33*(BN34/24)*BN32))*BN27*BN36*BN37</f>
        <v>1.1671707516617142E-4</v>
      </c>
      <c r="BO21" s="385" t="s">
        <v>311</v>
      </c>
      <c r="BS21" s="88" t="s">
        <v>74</v>
      </c>
      <c r="BT21" s="294">
        <f>((BT5)/(BT10*BT11))*BT7*BT29*BT30</f>
        <v>1.4155375865217391E-13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 t="e">
        <f>DY2</f>
        <v>#DIV/0!</v>
      </c>
      <c r="CV21" s="271" t="s">
        <v>311</v>
      </c>
      <c r="CW21" s="88" t="s">
        <v>78</v>
      </c>
      <c r="CX21" s="296">
        <f>((CX5)/((CX14/CX15)*CX8*CX9*CX18*(1/365)*CX19))*CX7*CX26*CX27</f>
        <v>1.0459804675082657E-10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66.155354824913829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R21" s="267" t="s">
        <v>310</v>
      </c>
      <c r="DS21" s="289">
        <f>B294</f>
        <v>2.8000000000000002E-12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G21" s="267" t="s">
        <v>310</v>
      </c>
      <c r="EH21" s="289">
        <f>B294</f>
        <v>2.8000000000000002E-12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V21" s="267" t="s">
        <v>310</v>
      </c>
      <c r="EW21" s="289">
        <f>B294</f>
        <v>2.8000000000000002E-12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 t="s">
        <v>310</v>
      </c>
      <c r="FL21" s="292">
        <f>B294</f>
        <v>2.8000000000000002E-12</v>
      </c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FZ21" s="267" t="s">
        <v>310</v>
      </c>
      <c r="GA21" s="289">
        <f>B294</f>
        <v>2.8000000000000002E-12</v>
      </c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0</v>
      </c>
      <c r="C22" s="262" t="s">
        <v>35</v>
      </c>
      <c r="D22" s="88" t="s">
        <v>74</v>
      </c>
      <c r="E22" s="295">
        <f>((E5*E9*E6)/((1-EXP(-E6*E9))*E10*E11))*E7*E26*E27</f>
        <v>2.1739108695652175E-12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((BT5)/((BT14/24)*(BT8/365)*BT9*BT19*BT20))*BT7*BT29*BT30</f>
        <v>1.802304805552704E-8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0</v>
      </c>
      <c r="CQ22" s="262" t="s">
        <v>265</v>
      </c>
      <c r="CR22" s="287">
        <f>CO22</f>
        <v>0</v>
      </c>
      <c r="CT22" s="266" t="s">
        <v>492</v>
      </c>
      <c r="CU22" s="295" t="e">
        <f>GG2</f>
        <v>#DIV/0!</v>
      </c>
      <c r="CV22" s="271" t="s">
        <v>311</v>
      </c>
      <c r="CW22" s="88" t="s">
        <v>74</v>
      </c>
      <c r="CX22" s="294">
        <f>((CX5*CX9*CX6)/((CX14/CX15)*(1-EXP(-CX6*CX9))*CX10*CX11))*CX7*CX26*CX27</f>
        <v>2.0789999999999999E-12</v>
      </c>
      <c r="CY22" s="88" t="s">
        <v>16</v>
      </c>
      <c r="CZ22" s="266" t="s">
        <v>183</v>
      </c>
      <c r="DA22" s="296" t="e">
        <f>FO2</f>
        <v>#DIV/0!</v>
      </c>
      <c r="DB22" s="88"/>
      <c r="DC22" s="266" t="s">
        <v>270</v>
      </c>
      <c r="DD22" s="287">
        <f>B31</f>
        <v>1.04753425E-2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1.6930652399999999E-9</v>
      </c>
      <c r="C23" s="262" t="s">
        <v>95</v>
      </c>
      <c r="D23" s="88" t="s">
        <v>78</v>
      </c>
      <c r="E23" s="296">
        <f>((E5*E9*E6)/((E14/E15)*E8*E9*(1-EXP(-E6*E9))*E18*(1/365)*E19))*E7*E26*E27</f>
        <v>2.7678883587175428E-7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((BT5*BT28*BT6)/((1-EXP(-BT6*BT28))*BT10*BT11))*BT7*BT29*BT30</f>
        <v>2.4347801739130431E-10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0</v>
      </c>
      <c r="CM23" s="266" t="s">
        <v>13</v>
      </c>
      <c r="CN23" s="249" t="s">
        <v>21</v>
      </c>
      <c r="CO23" s="290">
        <f>CO25</f>
        <v>0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 t="e">
        <f>FR2</f>
        <v>#DIV/0!</v>
      </c>
      <c r="CV23" s="271" t="s">
        <v>311</v>
      </c>
      <c r="CW23" s="88" t="s">
        <v>78</v>
      </c>
      <c r="CX23" s="296">
        <f>((CX5*CX9*CX6)/((CX14/CX15)*CX8*CX9*(1-EXP(-CX6*CX9))*CX18*(1/365)*CX19))*CX7*CX26*CX27</f>
        <v>2.7678883587175428E-7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C23" s="95" t="s">
        <v>315</v>
      </c>
      <c r="DD23" s="297">
        <f>B293</f>
        <v>222</v>
      </c>
      <c r="DE23" s="249" t="s">
        <v>309</v>
      </c>
      <c r="DF23" s="262" t="s">
        <v>17</v>
      </c>
      <c r="DG23" s="287">
        <f>B35</f>
        <v>3.82</v>
      </c>
      <c r="DH23" s="249" t="s">
        <v>257</v>
      </c>
      <c r="DO23" s="262" t="s">
        <v>20</v>
      </c>
      <c r="DP23" s="305">
        <f>DP25</f>
        <v>0</v>
      </c>
      <c r="EA23" s="262"/>
      <c r="EB23" s="293"/>
      <c r="EC23" s="263"/>
      <c r="ED23" s="262" t="s">
        <v>20</v>
      </c>
      <c r="EE23" s="305">
        <f>EE25</f>
        <v>0</v>
      </c>
      <c r="EF23" s="263"/>
      <c r="EP23" s="262"/>
      <c r="EQ23" s="293"/>
      <c r="ER23" s="263"/>
      <c r="ES23" s="262" t="s">
        <v>20</v>
      </c>
      <c r="ET23" s="305">
        <f>ET25</f>
        <v>0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0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0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0</v>
      </c>
      <c r="HC23" s="263"/>
      <c r="HD23" s="219" t="s">
        <v>574</v>
      </c>
      <c r="HE23" s="348">
        <f>((HE25*HE33*HE38*HE32*10^-3*HE31*HE27)/(HE30*HE41*(1-EXP(-HE27*HE31))))*HE28*HE15*HE16</f>
        <v>0</v>
      </c>
      <c r="HF23" s="252" t="s">
        <v>311</v>
      </c>
    </row>
    <row r="24" spans="1:214" ht="14.25" thickTop="1" thickBot="1" x14ac:dyDescent="0.25">
      <c r="A24" s="262" t="s">
        <v>450</v>
      </c>
      <c r="B24" s="315">
        <v>3.5028935999999998E-10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((BT5*BT28*BT6)/((BT14/24)*(BT8/365)*BT9*(1-EXP(-BT6*BT28))*BT19*BT20))*BT7*BT29*BT30</f>
        <v>3.1000349617636479E-5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66.155354824913829</v>
      </c>
      <c r="CE24" s="262" t="s">
        <v>23</v>
      </c>
      <c r="CF24" s="288">
        <f>0.693/CF25</f>
        <v>66.155354824913829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C24" s="267" t="s">
        <v>310</v>
      </c>
      <c r="DD24" s="289">
        <f>B294</f>
        <v>2.8000000000000002E-12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9.1417847255127872E-14</v>
      </c>
      <c r="HF24" s="75" t="s">
        <v>311</v>
      </c>
    </row>
    <row r="25" spans="1:214" ht="13.5" thickTop="1" x14ac:dyDescent="0.2">
      <c r="A25" s="262" t="s">
        <v>449</v>
      </c>
      <c r="B25" s="315">
        <v>3.5682809472000002E-10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2.6922987648105988E-12</v>
      </c>
      <c r="X25" s="254" t="s">
        <v>312</v>
      </c>
      <c r="Y25" s="321" t="s">
        <v>16</v>
      </c>
      <c r="Z25" s="358">
        <f>1/((1/Z38)+(1/Z39))</f>
        <v>5.1774976246357674E-12</v>
      </c>
      <c r="AA25" s="255" t="s">
        <v>312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1.04753425E-2</v>
      </c>
      <c r="CD25" s="249" t="s">
        <v>69</v>
      </c>
      <c r="CE25" s="266" t="s">
        <v>270</v>
      </c>
      <c r="CF25" s="287">
        <f>B31</f>
        <v>1.04753425E-2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0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0</v>
      </c>
      <c r="EA25" s="262"/>
      <c r="EC25" s="263"/>
      <c r="ED25" s="262" t="s">
        <v>38</v>
      </c>
      <c r="EE25" s="287">
        <f>B45</f>
        <v>0</v>
      </c>
      <c r="EF25" s="263"/>
      <c r="EP25" s="262"/>
      <c r="ER25" s="263"/>
      <c r="ES25" s="263" t="s">
        <v>37</v>
      </c>
      <c r="ET25" s="287">
        <f>B45</f>
        <v>0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0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0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0</v>
      </c>
      <c r="HC25" s="263"/>
      <c r="HD25" s="265" t="s">
        <v>22</v>
      </c>
      <c r="HE25" s="292">
        <f>B47</f>
        <v>0</v>
      </c>
      <c r="HF25" s="262" t="s">
        <v>580</v>
      </c>
    </row>
    <row r="26" spans="1:214" ht="13.5" thickBot="1" x14ac:dyDescent="0.25">
      <c r="A26" s="262" t="s">
        <v>451</v>
      </c>
      <c r="B26" s="315">
        <v>1.00696514688E-9</v>
      </c>
      <c r="C26" s="262" t="s">
        <v>95</v>
      </c>
      <c r="D26" s="263" t="s">
        <v>315</v>
      </c>
      <c r="E26" s="289">
        <f>B293</f>
        <v>222</v>
      </c>
      <c r="F26" s="249" t="s">
        <v>309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66.155354824913829</v>
      </c>
      <c r="P26" s="262" t="s">
        <v>23</v>
      </c>
      <c r="Q26" s="288">
        <f>0.693/Q27</f>
        <v>66.155354824913829</v>
      </c>
      <c r="V26" s="320" t="s">
        <v>15</v>
      </c>
      <c r="W26" s="359">
        <f>1/((1/W38)+(1/W39))</f>
        <v>1.6278644544714561E-15</v>
      </c>
      <c r="X26" s="258" t="s">
        <v>312</v>
      </c>
      <c r="Y26" s="322" t="s">
        <v>15</v>
      </c>
      <c r="Z26" s="360">
        <f>1/((1/Z40)+(1/Z41))</f>
        <v>7.8262714157281538E-14</v>
      </c>
      <c r="AA26" s="259" t="s">
        <v>312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66.155354824913829</v>
      </c>
      <c r="AL26" s="262" t="s">
        <v>23</v>
      </c>
      <c r="AM26" s="288">
        <f>0.693/AM27</f>
        <v>66.155354824913829</v>
      </c>
      <c r="AR26" s="262" t="s">
        <v>23</v>
      </c>
      <c r="AS26" s="288">
        <f>0.693/AS27</f>
        <v>66.155354824913829</v>
      </c>
      <c r="AU26" s="262" t="s">
        <v>23</v>
      </c>
      <c r="AV26" s="288">
        <f>0.693/AV27</f>
        <v>66.155354824913829</v>
      </c>
      <c r="BA26" s="262" t="s">
        <v>23</v>
      </c>
      <c r="BB26" s="288">
        <f>0.693/BB27</f>
        <v>66.155354824913829</v>
      </c>
      <c r="BD26" s="262" t="s">
        <v>23</v>
      </c>
      <c r="BE26" s="288">
        <f>0.693/BE27</f>
        <v>66.155354824913829</v>
      </c>
      <c r="BJ26" s="262" t="s">
        <v>23</v>
      </c>
      <c r="BK26" s="288">
        <f>0.693/BK27</f>
        <v>66.155354824913829</v>
      </c>
      <c r="BM26" s="262" t="s">
        <v>23</v>
      </c>
      <c r="BN26" s="288">
        <f>0.693/BN27</f>
        <v>66.155354824913829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95" t="s">
        <v>315</v>
      </c>
      <c r="CX26" s="194">
        <f>B293</f>
        <v>222</v>
      </c>
      <c r="CY26" s="249" t="s">
        <v>309</v>
      </c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0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2.5277456878143012E-15</v>
      </c>
      <c r="HF26" s="262" t="s">
        <v>313</v>
      </c>
    </row>
    <row r="27" spans="1:214" ht="15" thickTop="1" x14ac:dyDescent="0.2">
      <c r="A27" s="262" t="s">
        <v>452</v>
      </c>
      <c r="B27" s="315">
        <v>1.5412731840000001E-9</v>
      </c>
      <c r="C27" s="262" t="s">
        <v>95</v>
      </c>
      <c r="D27" s="249" t="s">
        <v>310</v>
      </c>
      <c r="E27" s="289">
        <f>B295</f>
        <v>2.8000000000000001E-15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1.04753425E-2</v>
      </c>
      <c r="O27" s="249" t="s">
        <v>69</v>
      </c>
      <c r="P27" s="266" t="s">
        <v>270</v>
      </c>
      <c r="Q27" s="287">
        <f>B31</f>
        <v>1.04753425E-2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66.155354824913829</v>
      </c>
      <c r="AD27" s="288">
        <f>0.693/AD28</f>
        <v>66.155354824913829</v>
      </c>
      <c r="AE27" s="288">
        <f>0.693/AE28</f>
        <v>66.155354824913829</v>
      </c>
      <c r="AF27" s="288">
        <f>0.693/AF28</f>
        <v>66.155354824913829</v>
      </c>
      <c r="AG27" s="288">
        <f>0.693/AG28</f>
        <v>66.155354824913829</v>
      </c>
      <c r="AI27" s="266" t="s">
        <v>270</v>
      </c>
      <c r="AJ27" s="287">
        <f>B31</f>
        <v>1.04753425E-2</v>
      </c>
      <c r="AK27" s="249" t="s">
        <v>69</v>
      </c>
      <c r="AL27" s="266" t="s">
        <v>270</v>
      </c>
      <c r="AM27" s="287">
        <f>B31</f>
        <v>1.04753425E-2</v>
      </c>
      <c r="AN27" s="249" t="s">
        <v>69</v>
      </c>
      <c r="AR27" s="266" t="s">
        <v>270</v>
      </c>
      <c r="AS27" s="287">
        <f>B31</f>
        <v>1.04753425E-2</v>
      </c>
      <c r="AT27" s="249" t="s">
        <v>69</v>
      </c>
      <c r="AU27" s="266" t="s">
        <v>270</v>
      </c>
      <c r="AV27" s="287">
        <f>B31</f>
        <v>1.04753425E-2</v>
      </c>
      <c r="AW27" s="249" t="s">
        <v>69</v>
      </c>
      <c r="BA27" s="266" t="s">
        <v>270</v>
      </c>
      <c r="BB27" s="287">
        <f>B31</f>
        <v>1.04753425E-2</v>
      </c>
      <c r="BC27" s="249" t="s">
        <v>69</v>
      </c>
      <c r="BD27" s="266" t="s">
        <v>270</v>
      </c>
      <c r="BE27" s="287">
        <f>B31</f>
        <v>1.04753425E-2</v>
      </c>
      <c r="BF27" s="249" t="s">
        <v>69</v>
      </c>
      <c r="BJ27" s="266" t="s">
        <v>270</v>
      </c>
      <c r="BK27" s="287">
        <f>B31</f>
        <v>1.04753425E-2</v>
      </c>
      <c r="BL27" s="249" t="s">
        <v>69</v>
      </c>
      <c r="BM27" s="266" t="s">
        <v>270</v>
      </c>
      <c r="BN27" s="287">
        <f>B31</f>
        <v>1.04753425E-2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315</v>
      </c>
      <c r="CL27" s="289">
        <f>B293</f>
        <v>222</v>
      </c>
      <c r="CM27" s="249" t="s">
        <v>309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7" t="s">
        <v>310</v>
      </c>
      <c r="CX27" s="304">
        <f>B295</f>
        <v>2.8000000000000001E-15</v>
      </c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0</v>
      </c>
      <c r="EP27" s="262"/>
      <c r="EQ27" s="310"/>
      <c r="ES27" s="262" t="s">
        <v>275</v>
      </c>
      <c r="ET27" s="310">
        <f>B38</f>
        <v>0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66.155354824913829</v>
      </c>
    </row>
    <row r="28" spans="1:214" ht="15.75" thickBot="1" x14ac:dyDescent="0.25">
      <c r="A28" s="262" t="s">
        <v>63</v>
      </c>
      <c r="B28" s="315">
        <v>1.6230073680000001E-12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66.155354824913829</v>
      </c>
      <c r="Y28" s="262" t="s">
        <v>23</v>
      </c>
      <c r="Z28" s="288">
        <f>0.693/Z29</f>
        <v>66.155354824913829</v>
      </c>
      <c r="AB28" s="266" t="s">
        <v>270</v>
      </c>
      <c r="AC28" s="287">
        <f>B31</f>
        <v>1.04753425E-2</v>
      </c>
      <c r="AD28" s="287">
        <f>B31</f>
        <v>1.04753425E-2</v>
      </c>
      <c r="AE28" s="287">
        <f>B31</f>
        <v>1.04753425E-2</v>
      </c>
      <c r="AF28" s="287">
        <f>B31</f>
        <v>1.04753425E-2</v>
      </c>
      <c r="AG28" s="287">
        <f>B31</f>
        <v>1.04753425E-2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2.2499999999999999E-2</v>
      </c>
      <c r="CE28" s="249" t="s">
        <v>458</v>
      </c>
      <c r="CF28" s="287">
        <f>B8</f>
        <v>4.2700000000000002E-2</v>
      </c>
      <c r="CK28" s="266" t="s">
        <v>270</v>
      </c>
      <c r="CL28" s="287">
        <f>B31</f>
        <v>1.04753425E-2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1.04753425E-2</v>
      </c>
      <c r="HF28" s="249" t="s">
        <v>69</v>
      </c>
    </row>
    <row r="29" spans="1:214" ht="18.75" thickTop="1" x14ac:dyDescent="0.2">
      <c r="A29" s="266" t="s">
        <v>161</v>
      </c>
      <c r="B29" s="315">
        <v>3.5145699120000001E-15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1.04753425E-2</v>
      </c>
      <c r="X29" s="249" t="s">
        <v>69</v>
      </c>
      <c r="Y29" s="266" t="s">
        <v>270</v>
      </c>
      <c r="Z29" s="287">
        <f>B31</f>
        <v>1.04753425E-2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95" t="s">
        <v>315</v>
      </c>
      <c r="BT29" s="313">
        <f>B293</f>
        <v>222</v>
      </c>
      <c r="BU29" s="249" t="s">
        <v>309</v>
      </c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0.46300000000000002</v>
      </c>
      <c r="CE29" s="249" t="s">
        <v>459</v>
      </c>
      <c r="CF29" s="287">
        <f>B9</f>
        <v>0.72299999999999998</v>
      </c>
      <c r="CK29" s="249" t="s">
        <v>23</v>
      </c>
      <c r="CL29" s="288">
        <f>693/CL28</f>
        <v>66155.35482491384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0</v>
      </c>
      <c r="C30" s="267" t="s">
        <v>35</v>
      </c>
      <c r="D30" s="203" t="s">
        <v>510</v>
      </c>
      <c r="E30" s="204" t="e">
        <f>E37</f>
        <v>#DIV/0!</v>
      </c>
      <c r="F30" s="184" t="s">
        <v>311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288">
        <f>(AC26*AC27)/(1-EXP(-AC27*AC26))</f>
        <v>1653.8838706228457</v>
      </c>
      <c r="AD30" s="288">
        <f>(AD26*AD27)/(1-EXP(-AD27*AD26))</f>
        <v>1653.8838706228457</v>
      </c>
      <c r="AE30" s="288">
        <f>(AE26*AE27)/(1-EXP(-AE27*AE26))</f>
        <v>1653.8838706228457</v>
      </c>
      <c r="AF30" s="288">
        <f>(AF26*AF27)/(1-EXP(-AF27*AF26))</f>
        <v>66.155354824913829</v>
      </c>
      <c r="AG30" s="288">
        <f>(AG26*AG27)/(1-EXP(-AG27*AG26))</f>
        <v>66.155354824913829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7" t="s">
        <v>310</v>
      </c>
      <c r="BT30" s="137">
        <f>B295</f>
        <v>2.8000000000000001E-15</v>
      </c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1720039.22544776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315">
        <v>1.04753425E-2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6.8000000000000005E-2</v>
      </c>
      <c r="CB31" s="249" t="s">
        <v>71</v>
      </c>
      <c r="CC31" s="290">
        <f>B24</f>
        <v>3.5028935999999998E-10</v>
      </c>
      <c r="CD31" s="262" t="s">
        <v>282</v>
      </c>
      <c r="CE31" s="249" t="s">
        <v>71</v>
      </c>
      <c r="CF31" s="290">
        <f>B26</f>
        <v>1.00696514688E-9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3.1999999999999999E-11</v>
      </c>
      <c r="X32" s="263" t="s">
        <v>44</v>
      </c>
      <c r="Y32" s="249" t="s">
        <v>43</v>
      </c>
      <c r="Z32" s="290">
        <f>B19</f>
        <v>3.1999999999999999E-11</v>
      </c>
      <c r="AA32" s="263" t="s">
        <v>44</v>
      </c>
      <c r="AB32" s="266" t="s">
        <v>80</v>
      </c>
      <c r="AC32" s="294" t="e">
        <f>((AC5/(AC9*AC14*AC8*AC11*(1/AC6)))*AC30)*AC28*AC38*AC39</f>
        <v>#DIV/0!</v>
      </c>
      <c r="AD32" s="294" t="e">
        <f>((AD5/(AD9*AD14*AD8*AD11*(1/AD6)))*AD30)*AD28*AD38*AD39</f>
        <v>#DIV/0!</v>
      </c>
      <c r="AE32" s="294" t="e">
        <f>((AE5/(AE9*AE14*AE8*AE11*(1/AE6)))*AE30)*AE28*AE38*AE39</f>
        <v>#DIV/0!</v>
      </c>
      <c r="AF32" s="294" t="e">
        <f>((AF5/(AF9*AF14*AF8*AF11*(1/AF6)))*AF30)*AF28*AF38*AF39</f>
        <v>#DIV/0!</v>
      </c>
      <c r="AG32" s="294" t="e">
        <f>((AG5/(AG9*AG14*AG8*AG11*(1/AG6)))*AG30)*AG28*AG38*AG39</f>
        <v>#DIV/0!</v>
      </c>
      <c r="AH32" s="266" t="s">
        <v>311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2.2499999999999999E-2</v>
      </c>
      <c r="BM32" s="249" t="s">
        <v>458</v>
      </c>
      <c r="BN32" s="287">
        <f>B8</f>
        <v>4.2700000000000002E-2</v>
      </c>
      <c r="BV32" s="95" t="s">
        <v>315</v>
      </c>
      <c r="BW32" s="289">
        <f>B293</f>
        <v>222</v>
      </c>
      <c r="BX32" s="249" t="s">
        <v>309</v>
      </c>
      <c r="BY32" s="262" t="s">
        <v>62</v>
      </c>
      <c r="BZ32" s="305">
        <f>B4</f>
        <v>0.75600000000000001</v>
      </c>
      <c r="CB32" s="95" t="s">
        <v>315</v>
      </c>
      <c r="CC32" s="289">
        <f>B293</f>
        <v>222</v>
      </c>
      <c r="CD32" s="249" t="s">
        <v>309</v>
      </c>
      <c r="CE32" s="95" t="s">
        <v>315</v>
      </c>
      <c r="CF32" s="289">
        <f>B293</f>
        <v>222</v>
      </c>
      <c r="CG32" s="249" t="s">
        <v>309</v>
      </c>
      <c r="CK32" s="267" t="s">
        <v>310</v>
      </c>
      <c r="CL32" s="289">
        <f>B294</f>
        <v>2.8000000000000002E-12</v>
      </c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70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((AC5/(AC21*AC17*AC8*AC11*(1/AC35)*((8/1)/(24/1))*AC31))*AC30)*AC28*AC38*AC39</f>
        <v>3.659769922945662E-3</v>
      </c>
      <c r="AD33" s="295">
        <f>((AD5/(AD21*AD17*AD8*((8/1)/(24/1))*AD11*(1/AD35)*AD31))*AD30)*AD28*AD38*AD39</f>
        <v>3.659769922945662E-3</v>
      </c>
      <c r="AE33" s="295">
        <f>((AE5/(AE21*AE17*AE8*((8/1)/(24/1))*AE11*(1/AE35)*AE31))*AE30)*AE28*AE38*AE39</f>
        <v>4.0664110254951796E-3</v>
      </c>
      <c r="AF33" s="295">
        <f>((AF5/(AF21*AF17*AF8*AF11*(1/AF36)*(AF23/24)*AF31))*AF30)*AF28*AF38*AF39</f>
        <v>4.0057441286130151E-6</v>
      </c>
      <c r="AG33" s="295">
        <f>((AG5/(AG21*AG17*AG8*AG11*(1/AG37)*(AG23/24)*AG31))*AG30)*AG28*AG38*AG39</f>
        <v>1.8667956680645304E-4</v>
      </c>
      <c r="AH33" s="88" t="s">
        <v>311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0.46300000000000002</v>
      </c>
      <c r="BM33" s="249" t="s">
        <v>459</v>
      </c>
      <c r="BN33" s="287">
        <f>B9</f>
        <v>0.72299999999999998</v>
      </c>
      <c r="BV33" s="267" t="s">
        <v>310</v>
      </c>
      <c r="BW33" s="289">
        <f>B295</f>
        <v>2.8000000000000001E-15</v>
      </c>
      <c r="BY33" s="269" t="s">
        <v>111</v>
      </c>
      <c r="BZ33" s="298">
        <f>BZ25</f>
        <v>26</v>
      </c>
      <c r="CA33" s="249" t="s">
        <v>69</v>
      </c>
      <c r="CB33" s="267" t="s">
        <v>310</v>
      </c>
      <c r="CC33" s="289">
        <f>B294</f>
        <v>2.8000000000000002E-12</v>
      </c>
      <c r="CE33" s="267" t="s">
        <v>310</v>
      </c>
      <c r="CF33" s="289">
        <f>B294</f>
        <v>2.8000000000000002E-12</v>
      </c>
      <c r="CK33" s="267"/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0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3.5028935999999998E-10</v>
      </c>
      <c r="O34" s="263" t="s">
        <v>447</v>
      </c>
      <c r="P34" s="249" t="s">
        <v>451</v>
      </c>
      <c r="Q34" s="290">
        <f>B26</f>
        <v>1.00696514688E-9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((AC5/(AC20*(AC8/365)*AC11*((AC23+AC24)/24)*AC16*AC19))*AC30)*AC28*AC38*AC39</f>
        <v>1.1144091198753806E-6</v>
      </c>
      <c r="AD34" s="296">
        <f>((AD5/(AD20*(AD8/365)*AD11*(AD24/24)*AD18*AD19))*AD30)*AD28*AD38*AD39</f>
        <v>2.7860227996884522E-6</v>
      </c>
      <c r="AE34" s="296">
        <f>((AE5/(AE20*(AE8/365)*AE11*(AE23/24)*AE16*AE19))*AE30)*AE28*AE38*AE39</f>
        <v>1.2382323554170896E-6</v>
      </c>
      <c r="AF34" s="296">
        <f>((AF5/(AF20*(AF8/365)*AF11*(AF23/24)*AF16*AF19))*AF30)*AF28*AF38*AF39</f>
        <v>4.1687956374471068E-5</v>
      </c>
      <c r="AG34" s="296">
        <f>((AG5/(AG20*(AG8/365)*AG11*(AG23/24)*AG16*AG19))*AG30)*AG28*AG38*AG39</f>
        <v>4.1687956374471068E-5</v>
      </c>
      <c r="AH34" s="266" t="s">
        <v>311</v>
      </c>
      <c r="AI34" s="262" t="s">
        <v>450</v>
      </c>
      <c r="AJ34" s="290">
        <f>B24</f>
        <v>3.5028935999999998E-10</v>
      </c>
      <c r="AK34" s="262" t="s">
        <v>282</v>
      </c>
      <c r="AL34" s="262" t="s">
        <v>451</v>
      </c>
      <c r="AM34" s="290">
        <f>B26</f>
        <v>1.00696514688E-9</v>
      </c>
      <c r="AN34" s="263" t="s">
        <v>72</v>
      </c>
      <c r="AR34" s="262" t="s">
        <v>450</v>
      </c>
      <c r="AS34" s="290">
        <f>B24</f>
        <v>3.5028935999999998E-10</v>
      </c>
      <c r="AT34" s="262" t="s">
        <v>282</v>
      </c>
      <c r="AU34" s="262" t="s">
        <v>451</v>
      </c>
      <c r="AV34" s="290">
        <f>B26</f>
        <v>1.00696514688E-9</v>
      </c>
      <c r="AW34" s="263" t="s">
        <v>72</v>
      </c>
      <c r="BA34" s="262" t="s">
        <v>450</v>
      </c>
      <c r="BB34" s="290">
        <f>B24</f>
        <v>3.5028935999999998E-10</v>
      </c>
      <c r="BC34" s="262" t="s">
        <v>282</v>
      </c>
      <c r="BD34" s="262" t="s">
        <v>451</v>
      </c>
      <c r="BE34" s="290">
        <f>B26</f>
        <v>1.00696514688E-9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V34" s="249" t="s">
        <v>270</v>
      </c>
      <c r="BW34" s="287">
        <f>B31</f>
        <v>1.04753425E-2</v>
      </c>
      <c r="BX34" s="249" t="s">
        <v>69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0</v>
      </c>
      <c r="HF34" s="249" t="s">
        <v>19</v>
      </c>
    </row>
    <row r="35" spans="1:214" ht="12.75" customHeight="1" x14ac:dyDescent="0.2">
      <c r="A35" s="266" t="s">
        <v>270</v>
      </c>
      <c r="B35" s="315">
        <v>3.82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3.5028935999999998E-10</v>
      </c>
      <c r="BL35" s="262" t="s">
        <v>282</v>
      </c>
      <c r="BM35" s="262" t="s">
        <v>451</v>
      </c>
      <c r="BN35" s="290">
        <f>B26</f>
        <v>1.00696514688E-9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ht="13.5" customHeight="1" x14ac:dyDescent="0.2">
      <c r="A36" s="262" t="s">
        <v>122</v>
      </c>
      <c r="B36" s="314">
        <v>0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95" t="s">
        <v>315</v>
      </c>
      <c r="N36" s="361">
        <f>B293</f>
        <v>222</v>
      </c>
      <c r="O36" s="249" t="s">
        <v>309</v>
      </c>
      <c r="P36" s="95" t="s">
        <v>315</v>
      </c>
      <c r="Q36" s="361">
        <f>B293</f>
        <v>222</v>
      </c>
      <c r="R36" s="249" t="s">
        <v>309</v>
      </c>
      <c r="V36" s="262" t="s">
        <v>63</v>
      </c>
      <c r="W36" s="287">
        <f>B28</f>
        <v>1.6230073680000001E-12</v>
      </c>
      <c r="X36" s="262" t="s">
        <v>64</v>
      </c>
      <c r="Y36" s="262" t="s">
        <v>63</v>
      </c>
      <c r="Z36" s="287">
        <f>B28</f>
        <v>1.6230073680000001E-12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315</v>
      </c>
      <c r="AJ36" s="289">
        <f>B293</f>
        <v>222</v>
      </c>
      <c r="AK36" s="249" t="s">
        <v>309</v>
      </c>
      <c r="AL36" s="95" t="s">
        <v>315</v>
      </c>
      <c r="AM36" s="289">
        <f>B293</f>
        <v>222</v>
      </c>
      <c r="AN36" s="249" t="s">
        <v>309</v>
      </c>
      <c r="AR36" s="95" t="s">
        <v>315</v>
      </c>
      <c r="AS36" s="289">
        <f>B293</f>
        <v>222</v>
      </c>
      <c r="AT36" s="249" t="s">
        <v>309</v>
      </c>
      <c r="AU36" s="95" t="s">
        <v>315</v>
      </c>
      <c r="AV36" s="289">
        <f>B293</f>
        <v>222</v>
      </c>
      <c r="AW36" s="249" t="s">
        <v>309</v>
      </c>
      <c r="BA36" s="95" t="s">
        <v>315</v>
      </c>
      <c r="BB36" s="289">
        <f>B293</f>
        <v>222</v>
      </c>
      <c r="BC36" s="249" t="s">
        <v>309</v>
      </c>
      <c r="BD36" s="95" t="s">
        <v>315</v>
      </c>
      <c r="BE36" s="289">
        <f>B293</f>
        <v>222</v>
      </c>
      <c r="BJ36" s="95" t="s">
        <v>315</v>
      </c>
      <c r="BK36" s="289">
        <f>B293</f>
        <v>222</v>
      </c>
      <c r="BL36" s="249" t="s">
        <v>309</v>
      </c>
      <c r="BM36" s="95" t="s">
        <v>315</v>
      </c>
      <c r="BN36" s="289">
        <f>B293</f>
        <v>222</v>
      </c>
      <c r="BO36" s="249" t="s">
        <v>309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x14ac:dyDescent="0.2">
      <c r="A37" s="262" t="s">
        <v>278</v>
      </c>
      <c r="B37" s="315">
        <v>0</v>
      </c>
      <c r="C37" s="263" t="s">
        <v>298</v>
      </c>
      <c r="D37" s="262" t="s">
        <v>80</v>
      </c>
      <c r="E37" s="300" t="e">
        <f>(E32/(E34*E33*E35*E36))*E7*E38*E39</f>
        <v>#DIV/0!</v>
      </c>
      <c r="F37" s="263" t="s">
        <v>311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M37" s="267" t="s">
        <v>310</v>
      </c>
      <c r="N37" s="289">
        <f>B294</f>
        <v>2.8000000000000002E-12</v>
      </c>
      <c r="P37" s="267" t="s">
        <v>310</v>
      </c>
      <c r="Q37" s="289">
        <f>B294</f>
        <v>2.8000000000000002E-12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AI37" s="267" t="s">
        <v>310</v>
      </c>
      <c r="AJ37" s="289">
        <f>B294</f>
        <v>2.8000000000000002E-12</v>
      </c>
      <c r="AL37" s="267" t="s">
        <v>310</v>
      </c>
      <c r="AM37" s="289">
        <f>B294</f>
        <v>2.8000000000000002E-12</v>
      </c>
      <c r="AR37" s="267" t="s">
        <v>310</v>
      </c>
      <c r="AS37" s="289">
        <f>B294</f>
        <v>2.8000000000000002E-12</v>
      </c>
      <c r="AU37" s="267" t="s">
        <v>310</v>
      </c>
      <c r="AV37" s="289">
        <f>B294</f>
        <v>2.8000000000000002E-12</v>
      </c>
      <c r="BA37" s="267" t="s">
        <v>310</v>
      </c>
      <c r="BB37" s="289">
        <f>B294</f>
        <v>2.8000000000000002E-12</v>
      </c>
      <c r="BD37" s="267" t="s">
        <v>310</v>
      </c>
      <c r="BE37" s="289">
        <f>B294</f>
        <v>2.8000000000000002E-12</v>
      </c>
      <c r="BJ37" s="267" t="s">
        <v>310</v>
      </c>
      <c r="BK37" s="289">
        <f>B294</f>
        <v>2.8000000000000002E-12</v>
      </c>
      <c r="BM37" s="267" t="s">
        <v>310</v>
      </c>
      <c r="BN37" s="289">
        <f>B294</f>
        <v>2.8000000000000002E-12</v>
      </c>
      <c r="BY37" s="95" t="s">
        <v>315</v>
      </c>
      <c r="BZ37" s="297">
        <f>B293</f>
        <v>222</v>
      </c>
      <c r="CA37" s="249" t="s">
        <v>309</v>
      </c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0</v>
      </c>
      <c r="C38" s="263" t="s">
        <v>298</v>
      </c>
      <c r="D38" s="95" t="s">
        <v>315</v>
      </c>
      <c r="E38" s="289">
        <f>B293</f>
        <v>222</v>
      </c>
      <c r="F38" s="249" t="s">
        <v>309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((W27)/((W33/W34)*W30*W31*W32*W35))*W29*W42*W43</f>
        <v>1.6278682245000003E-15</v>
      </c>
      <c r="X38" s="88" t="s">
        <v>15</v>
      </c>
      <c r="Y38" s="88" t="s">
        <v>74</v>
      </c>
      <c r="Z38" s="294">
        <f>((Z27*Z31*Z28)/((1-EXP(-Z28))*Z31*Z32*Z30*Z44*(Z33/Z34)*Z35))*Z29*Z46*Z47</f>
        <v>5.1775096153846155E-12</v>
      </c>
      <c r="AA38" s="88" t="s">
        <v>16</v>
      </c>
      <c r="AB38" s="95" t="s">
        <v>315</v>
      </c>
      <c r="AC38" s="297">
        <f>B293</f>
        <v>222</v>
      </c>
      <c r="AD38" s="297">
        <f>B293</f>
        <v>222</v>
      </c>
      <c r="AE38" s="297">
        <f>B293</f>
        <v>222</v>
      </c>
      <c r="AF38" s="297">
        <f>B293</f>
        <v>222</v>
      </c>
      <c r="AG38" s="297">
        <f>B293</f>
        <v>222</v>
      </c>
      <c r="AH38" s="249" t="s">
        <v>309</v>
      </c>
      <c r="AL38" s="262"/>
      <c r="AM38" s="293"/>
      <c r="AN38" s="262"/>
      <c r="BD38" s="262"/>
      <c r="BE38" s="293"/>
      <c r="BF38" s="262"/>
      <c r="BY38" s="267" t="s">
        <v>310</v>
      </c>
      <c r="BZ38" s="289">
        <f>B294</f>
        <v>2.8000000000000002E-12</v>
      </c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x14ac:dyDescent="0.2">
      <c r="A39" s="262" t="s">
        <v>276</v>
      </c>
      <c r="B39" s="315">
        <v>0</v>
      </c>
      <c r="C39" s="263" t="s">
        <v>298</v>
      </c>
      <c r="D39" s="267" t="s">
        <v>310</v>
      </c>
      <c r="E39" s="289">
        <f>B294</f>
        <v>2.8000000000000002E-12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((W27)/((W33/W34)*W30*W31*W36*(1/365)))*W29*W42*W43</f>
        <v>7.0289887416555475E-10</v>
      </c>
      <c r="X39" s="88" t="s">
        <v>15</v>
      </c>
      <c r="Y39" s="88" t="s">
        <v>78</v>
      </c>
      <c r="Z39" s="296">
        <f>((Z27*Z31*Z28)/((1-EXP(-Z28*Z31))*Z36*Z30*Z44*(Z33/Z34)*Z37*(Z44/Z45)))*Z29*Z46*Z47</f>
        <v>2.2356021358872463E-6</v>
      </c>
      <c r="AA39" s="88" t="s">
        <v>16</v>
      </c>
      <c r="AB39" s="267" t="s">
        <v>310</v>
      </c>
      <c r="AC39" s="289">
        <f>B294</f>
        <v>2.8000000000000002E-12</v>
      </c>
      <c r="AD39" s="289">
        <f>B294</f>
        <v>2.8000000000000002E-12</v>
      </c>
      <c r="AE39" s="289">
        <f>B294</f>
        <v>2.8000000000000002E-12</v>
      </c>
      <c r="AF39" s="289">
        <f>B294</f>
        <v>2.8000000000000002E-12</v>
      </c>
      <c r="AG39" s="289">
        <f>B294</f>
        <v>2.8000000000000002E-12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4.2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((W27*W28*W31)/((W33/W34)*(1-EXP(-W28*W31))*W32*W35*W30*W31))*W29*W42*W43</f>
        <v>2.6923049999999994E-12</v>
      </c>
      <c r="X40" s="88" t="s">
        <v>16</v>
      </c>
      <c r="Y40" s="88" t="s">
        <v>74</v>
      </c>
      <c r="Z40" s="294">
        <f>(Z27/((Z32*Z30*Z44*(Z33/Z34)*Z35)))*Z29*Z46*Z47</f>
        <v>7.8262895408653856E-14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((W27*W28*W31)/((W33/W34)*(1-EXP(-W28*W31))*W36*W30*W31*(1/365)))*W29*W42*W43</f>
        <v>1.162513110661368E-6</v>
      </c>
      <c r="X41" s="88" t="s">
        <v>16</v>
      </c>
      <c r="Y41" s="88" t="s">
        <v>78</v>
      </c>
      <c r="Z41" s="296">
        <f>(Z27/(Z36*Z30*(1/Z45)*Z44*(Z33/Z34)*Z37))*Z29*Z46*Z47</f>
        <v>3.3793215104113203E-8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1</v>
      </c>
      <c r="HF41" s="249" t="s">
        <v>113</v>
      </c>
    </row>
    <row r="42" spans="1:214" x14ac:dyDescent="0.2">
      <c r="A42" s="249" t="s">
        <v>265</v>
      </c>
      <c r="B42" s="315">
        <f>B38</f>
        <v>0</v>
      </c>
      <c r="C42" s="263" t="s">
        <v>298</v>
      </c>
      <c r="D42" s="203" t="s">
        <v>510</v>
      </c>
      <c r="E42" s="204" t="e">
        <f>E52</f>
        <v>#DIV/0!</v>
      </c>
      <c r="F42" s="184" t="s">
        <v>313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315</v>
      </c>
      <c r="W42" s="289">
        <f>B293</f>
        <v>222</v>
      </c>
      <c r="X42" s="249" t="s">
        <v>309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V43" s="267" t="s">
        <v>310</v>
      </c>
      <c r="W43" s="289">
        <f>B295</f>
        <v>2.8000000000000001E-15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0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0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.75" customHeight="1" x14ac:dyDescent="0.2">
      <c r="A46" s="249" t="s">
        <v>284</v>
      </c>
      <c r="B46" s="315">
        <v>0</v>
      </c>
      <c r="C46" s="249" t="s">
        <v>19</v>
      </c>
      <c r="D46" s="262" t="s">
        <v>438</v>
      </c>
      <c r="E46" s="287">
        <f>B30</f>
        <v>0</v>
      </c>
      <c r="F46" s="262" t="s">
        <v>289</v>
      </c>
      <c r="G46" s="249" t="s">
        <v>20</v>
      </c>
      <c r="H46" s="287">
        <f>H48</f>
        <v>0</v>
      </c>
      <c r="I46" s="263"/>
      <c r="J46" s="269" t="s">
        <v>107</v>
      </c>
      <c r="K46" s="292">
        <f>K34</f>
        <v>26</v>
      </c>
      <c r="L46" s="269" t="s">
        <v>69</v>
      </c>
      <c r="Y46" s="95" t="s">
        <v>315</v>
      </c>
      <c r="Z46" s="289">
        <f>B293</f>
        <v>222</v>
      </c>
      <c r="AA46" s="249" t="s">
        <v>309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0</v>
      </c>
      <c r="C47" s="262" t="s">
        <v>14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Y47" s="267" t="s">
        <v>310</v>
      </c>
      <c r="Z47" s="289">
        <f>B295</f>
        <v>2.8000000000000001E-15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0</v>
      </c>
      <c r="K48" s="289">
        <v>1000</v>
      </c>
      <c r="L48" s="249" t="s">
        <v>115</v>
      </c>
      <c r="CT48" s="95" t="s">
        <v>315</v>
      </c>
      <c r="CU48" s="289">
        <f>B293</f>
        <v>222</v>
      </c>
      <c r="CV48" s="249" t="s">
        <v>309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BY49" s="262"/>
      <c r="BZ49" s="293"/>
      <c r="CT49" s="267" t="s">
        <v>310</v>
      </c>
      <c r="CU49" s="289">
        <f>B294</f>
        <v>2.8000000000000002E-12</v>
      </c>
      <c r="DA49" s="292">
        <v>1000</v>
      </c>
      <c r="DB49" s="267" t="s">
        <v>115</v>
      </c>
      <c r="DW49" s="264"/>
      <c r="DX49" s="264"/>
      <c r="DY49" s="328"/>
      <c r="DZ49" s="264"/>
    </row>
    <row r="50" spans="1:130" ht="15" x14ac:dyDescent="0.2">
      <c r="A50" s="516" t="s">
        <v>2</v>
      </c>
      <c r="B50" s="516"/>
      <c r="C50" s="516"/>
      <c r="D50" s="262" t="s">
        <v>122</v>
      </c>
      <c r="E50" s="298">
        <f>B36</f>
        <v>0</v>
      </c>
      <c r="F50" s="263" t="s">
        <v>19</v>
      </c>
      <c r="G50" s="249" t="s">
        <v>18</v>
      </c>
      <c r="H50" s="288">
        <f>(H53*H54*H48*((1-EXP(-H55*H56))))/(H57*H55)</f>
        <v>0</v>
      </c>
      <c r="I50" s="249" t="s">
        <v>19</v>
      </c>
      <c r="J50" s="249" t="s">
        <v>20</v>
      </c>
      <c r="K50" s="287">
        <f>K52</f>
        <v>0</v>
      </c>
      <c r="BY50" s="263"/>
      <c r="BZ50" s="307"/>
      <c r="CT50" s="263"/>
      <c r="CU50" s="307"/>
      <c r="CZ50" s="95" t="s">
        <v>315</v>
      </c>
      <c r="DA50" s="289">
        <f>B293</f>
        <v>222</v>
      </c>
      <c r="DB50" s="249" t="s">
        <v>309</v>
      </c>
      <c r="DW50" s="264"/>
      <c r="DX50" s="264"/>
      <c r="DY50" s="328"/>
      <c r="DZ50" s="264"/>
    </row>
    <row r="51" spans="1:130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5.4035127681958941E-3</v>
      </c>
      <c r="I51" s="249" t="s">
        <v>19</v>
      </c>
      <c r="J51" s="262" t="s">
        <v>28</v>
      </c>
      <c r="K51" s="293">
        <f>K53</f>
        <v>0.26</v>
      </c>
      <c r="BW51" s="287"/>
      <c r="BY51" s="262"/>
      <c r="BZ51" s="293"/>
      <c r="CT51" s="262"/>
      <c r="CU51" s="293"/>
      <c r="CZ51" s="267" t="s">
        <v>310</v>
      </c>
      <c r="DA51" s="289">
        <f>B294</f>
        <v>2.8000000000000002E-12</v>
      </c>
      <c r="DW51" s="264"/>
      <c r="DX51" s="264"/>
      <c r="DY51" s="328"/>
      <c r="DZ51" s="264"/>
    </row>
    <row r="52" spans="1:130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 t="e">
        <f>(E44/(E46*E45*E47*E48*E50*E51*(1/E49)))*E7*E53*E54</f>
        <v>#DIV/0!</v>
      </c>
      <c r="F52" s="249" t="s">
        <v>313</v>
      </c>
      <c r="G52" s="249" t="s">
        <v>36</v>
      </c>
      <c r="H52" s="288">
        <f>(H53*H54*H58*H64*((1-EXP(-H59*H60))))/(H61*H59)</f>
        <v>0.82303427313698274</v>
      </c>
      <c r="I52" s="249" t="s">
        <v>19</v>
      </c>
      <c r="J52" s="263" t="s">
        <v>37</v>
      </c>
      <c r="K52" s="290">
        <f>B44</f>
        <v>0</v>
      </c>
      <c r="BW52" s="287"/>
      <c r="CZ52" s="267"/>
      <c r="DW52" s="264"/>
      <c r="DX52" s="264"/>
      <c r="DY52" s="328"/>
      <c r="DZ52" s="264"/>
    </row>
    <row r="53" spans="1:130" x14ac:dyDescent="0.2">
      <c r="A53" s="262" t="s">
        <v>320</v>
      </c>
      <c r="B53" s="283">
        <v>200</v>
      </c>
      <c r="C53" s="263" t="s">
        <v>54</v>
      </c>
      <c r="D53" s="95" t="s">
        <v>315</v>
      </c>
      <c r="E53" s="289">
        <f>B293</f>
        <v>222</v>
      </c>
      <c r="F53" s="249" t="s">
        <v>309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BV53" s="262"/>
      <c r="CZ53" s="267"/>
    </row>
    <row r="54" spans="1:130" x14ac:dyDescent="0.2">
      <c r="A54" s="262" t="s">
        <v>321</v>
      </c>
      <c r="B54" s="283">
        <v>100</v>
      </c>
      <c r="C54" s="263" t="s">
        <v>54</v>
      </c>
      <c r="D54" s="267" t="s">
        <v>310</v>
      </c>
      <c r="E54" s="289">
        <f>B295</f>
        <v>2.8000000000000001E-15</v>
      </c>
      <c r="G54" s="262" t="s">
        <v>46</v>
      </c>
      <c r="H54" s="287">
        <f>B86</f>
        <v>0.25</v>
      </c>
      <c r="I54" s="249" t="s">
        <v>47</v>
      </c>
      <c r="J54" s="267" t="s">
        <v>315</v>
      </c>
      <c r="K54" s="289">
        <f>B293</f>
        <v>222</v>
      </c>
      <c r="L54" s="249" t="s">
        <v>309</v>
      </c>
      <c r="BV54" s="262"/>
      <c r="CZ54" s="267"/>
    </row>
    <row r="55" spans="1:130" x14ac:dyDescent="0.2">
      <c r="A55" s="262" t="s">
        <v>322</v>
      </c>
      <c r="B55" s="283">
        <v>0.78</v>
      </c>
      <c r="C55" s="262" t="s">
        <v>30</v>
      </c>
      <c r="G55" s="267" t="s">
        <v>55</v>
      </c>
      <c r="H55" s="303">
        <f>H62+H63</f>
        <v>0.18144061256544503</v>
      </c>
      <c r="J55" s="267" t="s">
        <v>310</v>
      </c>
      <c r="K55" s="289">
        <f>B294</f>
        <v>2.8000000000000002E-12</v>
      </c>
      <c r="BV55" s="267"/>
      <c r="CZ55" s="267"/>
    </row>
    <row r="56" spans="1:130" x14ac:dyDescent="0.2">
      <c r="A56" s="262" t="s">
        <v>323</v>
      </c>
      <c r="B56" s="283">
        <v>2.5</v>
      </c>
      <c r="C56" s="262" t="s">
        <v>30</v>
      </c>
      <c r="G56" s="267" t="s">
        <v>60</v>
      </c>
      <c r="H56" s="289">
        <f>B87</f>
        <v>10950</v>
      </c>
      <c r="I56" s="249" t="s">
        <v>61</v>
      </c>
      <c r="BV56" s="267"/>
      <c r="CZ56" s="267"/>
    </row>
    <row r="57" spans="1:130" x14ac:dyDescent="0.2">
      <c r="A57" s="262" t="s">
        <v>337</v>
      </c>
      <c r="B57" s="283">
        <v>54</v>
      </c>
      <c r="C57" s="249" t="s">
        <v>54</v>
      </c>
      <c r="G57" s="267" t="s">
        <v>65</v>
      </c>
      <c r="H57" s="289">
        <f>B88</f>
        <v>240</v>
      </c>
      <c r="I57" s="249" t="s">
        <v>66</v>
      </c>
      <c r="BV57" s="267"/>
      <c r="CZ57" s="267"/>
      <c r="DA57" s="293"/>
      <c r="DB57" s="262"/>
    </row>
    <row r="58" spans="1:130" x14ac:dyDescent="0.2">
      <c r="A58" s="249" t="s">
        <v>357</v>
      </c>
      <c r="B58" s="283">
        <v>32.799999999999997</v>
      </c>
      <c r="C58" s="249" t="s">
        <v>54</v>
      </c>
      <c r="G58" s="267" t="s">
        <v>76</v>
      </c>
      <c r="H58" s="289">
        <f>B89</f>
        <v>0.42</v>
      </c>
      <c r="I58" s="249" t="s">
        <v>47</v>
      </c>
      <c r="BV58" s="267"/>
      <c r="CZ58" s="267"/>
      <c r="DA58" s="293"/>
      <c r="DB58" s="262"/>
    </row>
    <row r="59" spans="1:130" x14ac:dyDescent="0.2">
      <c r="A59" s="249" t="s">
        <v>336</v>
      </c>
      <c r="B59" s="283">
        <v>157.69999999999999</v>
      </c>
      <c r="C59" s="249" t="s">
        <v>54</v>
      </c>
      <c r="G59" s="267" t="s">
        <v>81</v>
      </c>
      <c r="H59" s="299">
        <f>H63+(0.693/H65)</f>
        <v>0.23091361256544501</v>
      </c>
      <c r="I59" s="262" t="s">
        <v>82</v>
      </c>
      <c r="BV59" s="267"/>
      <c r="CZ59" s="267"/>
      <c r="DA59" s="293"/>
      <c r="DB59" s="262"/>
    </row>
    <row r="60" spans="1:130" x14ac:dyDescent="0.2">
      <c r="A60" s="262" t="s">
        <v>332</v>
      </c>
      <c r="B60" s="283">
        <v>68.099999999999994</v>
      </c>
      <c r="C60" s="267" t="s">
        <v>254</v>
      </c>
      <c r="G60" s="267" t="s">
        <v>85</v>
      </c>
      <c r="H60" s="293">
        <f>B90</f>
        <v>60</v>
      </c>
      <c r="I60" s="262" t="s">
        <v>61</v>
      </c>
      <c r="BV60" s="267"/>
      <c r="CZ60" s="267"/>
    </row>
    <row r="61" spans="1:130" x14ac:dyDescent="0.2">
      <c r="A61" s="262" t="s">
        <v>333</v>
      </c>
      <c r="B61" s="283">
        <v>188.5</v>
      </c>
      <c r="C61" s="267" t="s">
        <v>254</v>
      </c>
      <c r="G61" s="267" t="s">
        <v>87</v>
      </c>
      <c r="H61" s="293">
        <f>B91</f>
        <v>2</v>
      </c>
      <c r="I61" s="262" t="s">
        <v>66</v>
      </c>
      <c r="BV61" s="267"/>
      <c r="BW61" s="293"/>
      <c r="BX61" s="262"/>
      <c r="CZ61" s="267"/>
      <c r="DA61" s="287"/>
    </row>
    <row r="62" spans="1:130" x14ac:dyDescent="0.2">
      <c r="A62" s="262" t="s">
        <v>334</v>
      </c>
      <c r="B62" s="283">
        <v>41.7</v>
      </c>
      <c r="C62" s="267" t="s">
        <v>254</v>
      </c>
      <c r="G62" s="267" t="s">
        <v>89</v>
      </c>
      <c r="H62" s="289">
        <f>B92</f>
        <v>2.6999999999999999E-5</v>
      </c>
      <c r="I62" s="249" t="s">
        <v>82</v>
      </c>
      <c r="BV62" s="267"/>
      <c r="BW62" s="293"/>
      <c r="BX62" s="262"/>
      <c r="CZ62" s="267"/>
    </row>
    <row r="63" spans="1:130" x14ac:dyDescent="0.2">
      <c r="A63" s="262" t="s">
        <v>335</v>
      </c>
      <c r="B63" s="283">
        <v>128.9</v>
      </c>
      <c r="C63" s="267" t="s">
        <v>254</v>
      </c>
      <c r="G63" s="267" t="s">
        <v>90</v>
      </c>
      <c r="H63" s="288">
        <f>0.693/H67</f>
        <v>0.18141361256544503</v>
      </c>
      <c r="I63" s="249" t="s">
        <v>82</v>
      </c>
      <c r="BV63" s="267"/>
      <c r="BW63" s="293"/>
      <c r="BX63" s="262"/>
      <c r="CZ63" s="267"/>
    </row>
    <row r="64" spans="1:130" x14ac:dyDescent="0.2">
      <c r="A64" s="262" t="s">
        <v>343</v>
      </c>
      <c r="B64" s="283">
        <v>6</v>
      </c>
      <c r="C64" s="264" t="s">
        <v>69</v>
      </c>
      <c r="G64" s="267" t="s">
        <v>91</v>
      </c>
      <c r="H64" s="289">
        <f>B93</f>
        <v>1</v>
      </c>
      <c r="I64" s="249" t="s">
        <v>47</v>
      </c>
      <c r="AI64" s="275"/>
      <c r="AJ64" s="353"/>
      <c r="AK64" s="275"/>
      <c r="BV64" s="267"/>
    </row>
    <row r="65" spans="1:105" x14ac:dyDescent="0.2">
      <c r="A65" s="262" t="s">
        <v>342</v>
      </c>
      <c r="B65" s="283">
        <v>20</v>
      </c>
      <c r="C65" s="264" t="s">
        <v>69</v>
      </c>
      <c r="G65" s="267" t="s">
        <v>92</v>
      </c>
      <c r="H65" s="289">
        <f>B94</f>
        <v>14</v>
      </c>
      <c r="I65" s="249" t="s">
        <v>93</v>
      </c>
      <c r="AI65" s="275"/>
      <c r="AJ65" s="353"/>
      <c r="AK65" s="275"/>
      <c r="BV65" s="267"/>
    </row>
    <row r="66" spans="1:105" x14ac:dyDescent="0.2">
      <c r="A66" s="262" t="s">
        <v>341</v>
      </c>
      <c r="B66" s="283">
        <v>26</v>
      </c>
      <c r="C66" s="264" t="s">
        <v>69</v>
      </c>
      <c r="G66" s="249" t="s">
        <v>38</v>
      </c>
      <c r="H66" s="287">
        <f>B45</f>
        <v>0</v>
      </c>
      <c r="AI66" s="275"/>
      <c r="AJ66" s="353"/>
      <c r="AK66" s="275"/>
      <c r="BV66" s="267"/>
      <c r="CZ66" s="262"/>
      <c r="DA66" s="287"/>
    </row>
    <row r="67" spans="1:105" x14ac:dyDescent="0.2">
      <c r="A67" s="262" t="s">
        <v>340</v>
      </c>
      <c r="B67" s="283">
        <v>350</v>
      </c>
      <c r="C67" s="264" t="s">
        <v>26</v>
      </c>
      <c r="G67" s="262" t="s">
        <v>273</v>
      </c>
      <c r="H67" s="287">
        <f>B35</f>
        <v>3.82</v>
      </c>
      <c r="I67" s="249" t="s">
        <v>257</v>
      </c>
      <c r="AI67" s="275"/>
      <c r="AJ67" s="353"/>
      <c r="AK67" s="275"/>
      <c r="BV67" s="267"/>
    </row>
    <row r="68" spans="1:105" x14ac:dyDescent="0.2">
      <c r="A68" s="262" t="s">
        <v>339</v>
      </c>
      <c r="B68" s="283">
        <v>350</v>
      </c>
      <c r="C68" s="264" t="s">
        <v>26</v>
      </c>
      <c r="G68" s="95" t="s">
        <v>315</v>
      </c>
      <c r="H68" s="297">
        <f>B293</f>
        <v>222</v>
      </c>
      <c r="I68" s="249" t="s">
        <v>309</v>
      </c>
      <c r="AI68" s="275"/>
      <c r="AJ68" s="353"/>
      <c r="AK68" s="275"/>
    </row>
    <row r="69" spans="1:105" x14ac:dyDescent="0.2">
      <c r="A69" s="262" t="s">
        <v>338</v>
      </c>
      <c r="B69" s="283">
        <v>350</v>
      </c>
      <c r="C69" s="264" t="s">
        <v>26</v>
      </c>
      <c r="G69" s="267" t="s">
        <v>310</v>
      </c>
      <c r="H69" s="289">
        <f>B295</f>
        <v>2.8000000000000001E-15</v>
      </c>
      <c r="AI69" s="275"/>
      <c r="AJ69" s="353"/>
      <c r="AK69" s="275"/>
      <c r="BV69" s="262"/>
      <c r="BW69" s="287"/>
    </row>
    <row r="70" spans="1:105" x14ac:dyDescent="0.2">
      <c r="A70" s="249" t="s">
        <v>344</v>
      </c>
      <c r="B70" s="284">
        <v>0.54</v>
      </c>
      <c r="C70" s="92" t="s">
        <v>104</v>
      </c>
      <c r="G70" s="249" t="s">
        <v>270</v>
      </c>
      <c r="H70" s="287">
        <f>B31</f>
        <v>1.04753425E-2</v>
      </c>
      <c r="I70" s="249" t="s">
        <v>69</v>
      </c>
      <c r="AI70" s="275"/>
      <c r="AJ70" s="353"/>
      <c r="AK70" s="275"/>
      <c r="BV70" s="262"/>
    </row>
    <row r="71" spans="1:105" x14ac:dyDescent="0.2">
      <c r="A71" s="249" t="s">
        <v>345</v>
      </c>
      <c r="B71" s="284">
        <v>0.71</v>
      </c>
      <c r="C71" s="92" t="s">
        <v>104</v>
      </c>
      <c r="AI71" s="275"/>
      <c r="AJ71" s="353"/>
      <c r="AK71" s="275"/>
      <c r="BV71" s="262"/>
    </row>
    <row r="72" spans="1:105" x14ac:dyDescent="0.2">
      <c r="A72" s="262" t="s">
        <v>347</v>
      </c>
      <c r="B72" s="283">
        <v>24</v>
      </c>
      <c r="C72" s="264" t="s">
        <v>224</v>
      </c>
      <c r="AF72" s="277"/>
      <c r="AG72" s="353"/>
      <c r="AH72" s="275"/>
      <c r="AI72" s="275"/>
      <c r="AJ72" s="353"/>
      <c r="AK72" s="275"/>
    </row>
    <row r="73" spans="1:105" x14ac:dyDescent="0.2">
      <c r="A73" s="262" t="s">
        <v>348</v>
      </c>
      <c r="B73" s="283">
        <v>24</v>
      </c>
      <c r="C73" s="264" t="s">
        <v>224</v>
      </c>
      <c r="AF73" s="277"/>
      <c r="AG73" s="353"/>
      <c r="AH73" s="275"/>
      <c r="AI73" s="275"/>
      <c r="AJ73" s="353"/>
      <c r="AK73" s="275"/>
    </row>
    <row r="74" spans="1:105" x14ac:dyDescent="0.2">
      <c r="A74" s="262" t="s">
        <v>346</v>
      </c>
      <c r="B74" s="283">
        <v>24</v>
      </c>
      <c r="C74" s="264" t="s">
        <v>224</v>
      </c>
      <c r="AF74" s="277"/>
      <c r="AG74" s="353"/>
      <c r="AH74" s="275"/>
      <c r="AI74" s="275"/>
      <c r="AJ74" s="353"/>
      <c r="AK74" s="275"/>
    </row>
    <row r="75" spans="1:105" x14ac:dyDescent="0.2">
      <c r="A75" s="249" t="s">
        <v>349</v>
      </c>
      <c r="B75" s="284">
        <v>1</v>
      </c>
      <c r="C75" s="92" t="s">
        <v>98</v>
      </c>
      <c r="AF75" s="277"/>
      <c r="AG75" s="353"/>
      <c r="AH75" s="275"/>
      <c r="AI75" s="275"/>
      <c r="AJ75" s="353"/>
      <c r="AK75" s="275"/>
    </row>
    <row r="76" spans="1:105" x14ac:dyDescent="0.2">
      <c r="A76" s="249" t="s">
        <v>350</v>
      </c>
      <c r="B76" s="284">
        <v>1</v>
      </c>
      <c r="C76" s="92" t="s">
        <v>98</v>
      </c>
      <c r="AF76" s="277"/>
      <c r="AG76" s="353"/>
      <c r="AH76" s="275"/>
      <c r="AI76" s="275"/>
      <c r="AJ76" s="353"/>
      <c r="AK76" s="275"/>
    </row>
    <row r="77" spans="1:105" x14ac:dyDescent="0.2">
      <c r="A77" s="262" t="s">
        <v>103</v>
      </c>
      <c r="B77" s="283">
        <v>0.4</v>
      </c>
      <c r="AF77" s="277"/>
      <c r="AG77" s="353"/>
      <c r="AH77" s="275"/>
      <c r="AI77" s="275"/>
      <c r="AJ77" s="353"/>
      <c r="AK77" s="275"/>
    </row>
    <row r="78" spans="1:105" x14ac:dyDescent="0.2">
      <c r="A78" s="249" t="s">
        <v>353</v>
      </c>
      <c r="B78" s="284">
        <v>1</v>
      </c>
      <c r="C78" s="247"/>
      <c r="AF78" s="277"/>
      <c r="AG78" s="353"/>
    </row>
    <row r="79" spans="1:105" x14ac:dyDescent="0.2">
      <c r="A79" s="249" t="s">
        <v>158</v>
      </c>
      <c r="B79" s="284">
        <v>0.4</v>
      </c>
      <c r="C79" s="247"/>
      <c r="AF79" s="277"/>
      <c r="AG79" s="353"/>
      <c r="AH79" s="275"/>
      <c r="AI79" s="275"/>
      <c r="AJ79" s="353"/>
      <c r="AK79" s="275"/>
    </row>
    <row r="80" spans="1:105" x14ac:dyDescent="0.2">
      <c r="A80" s="249" t="s">
        <v>159</v>
      </c>
      <c r="B80" s="284">
        <v>1</v>
      </c>
      <c r="C80" s="247"/>
      <c r="AF80" s="277"/>
      <c r="AG80" s="353"/>
      <c r="AH80" s="275"/>
      <c r="AI80" s="275"/>
      <c r="AJ80" s="353"/>
      <c r="AK80" s="275"/>
    </row>
    <row r="81" spans="1:37" x14ac:dyDescent="0.2">
      <c r="A81" s="249" t="s">
        <v>354</v>
      </c>
      <c r="B81" s="284">
        <v>1</v>
      </c>
      <c r="C81" s="247"/>
      <c r="AF81" s="277"/>
      <c r="AG81" s="353"/>
      <c r="AH81" s="275"/>
      <c r="AI81" s="275"/>
      <c r="AJ81" s="353"/>
      <c r="AK81" s="275"/>
    </row>
    <row r="82" spans="1:37" x14ac:dyDescent="0.2">
      <c r="A82" s="262" t="s">
        <v>124</v>
      </c>
      <c r="B82" s="284">
        <v>1</v>
      </c>
      <c r="C82" s="263" t="s">
        <v>125</v>
      </c>
      <c r="AF82" s="277"/>
      <c r="AG82" s="353"/>
      <c r="AH82" s="275"/>
      <c r="AI82" s="275"/>
      <c r="AJ82" s="353"/>
      <c r="AK82" s="275"/>
    </row>
    <row r="83" spans="1:37" x14ac:dyDescent="0.2">
      <c r="A83" s="249" t="s">
        <v>83</v>
      </c>
      <c r="B83" s="284">
        <v>0.5</v>
      </c>
      <c r="C83" s="249" t="s">
        <v>84</v>
      </c>
      <c r="AF83" s="277"/>
      <c r="AG83" s="353"/>
    </row>
    <row r="84" spans="1:37" x14ac:dyDescent="0.2">
      <c r="A84" s="249" t="s">
        <v>355</v>
      </c>
      <c r="B84" s="284">
        <v>0.25</v>
      </c>
      <c r="C84" s="247"/>
      <c r="AF84" s="277"/>
      <c r="AG84" s="353"/>
      <c r="AH84" s="275"/>
      <c r="AI84" s="275"/>
      <c r="AJ84" s="353"/>
      <c r="AK84" s="275"/>
    </row>
    <row r="85" spans="1:37" x14ac:dyDescent="0.2">
      <c r="A85" s="262" t="s">
        <v>41</v>
      </c>
      <c r="B85" s="284">
        <v>3.62</v>
      </c>
      <c r="C85" s="249" t="s">
        <v>42</v>
      </c>
      <c r="AF85" s="277"/>
      <c r="AG85" s="353"/>
    </row>
    <row r="86" spans="1:37" x14ac:dyDescent="0.2">
      <c r="A86" s="262" t="s">
        <v>46</v>
      </c>
      <c r="B86" s="284">
        <v>0.25</v>
      </c>
      <c r="C86" s="249" t="s">
        <v>47</v>
      </c>
      <c r="AH86" s="276"/>
      <c r="AI86" s="276"/>
      <c r="AJ86" s="277"/>
      <c r="AK86" s="276"/>
    </row>
    <row r="87" spans="1:37" x14ac:dyDescent="0.2">
      <c r="A87" s="267" t="s">
        <v>60</v>
      </c>
      <c r="B87" s="284">
        <v>10950</v>
      </c>
      <c r="C87" s="249" t="s">
        <v>61</v>
      </c>
    </row>
    <row r="88" spans="1:37" x14ac:dyDescent="0.2">
      <c r="A88" s="267" t="s">
        <v>65</v>
      </c>
      <c r="B88" s="284">
        <v>240</v>
      </c>
      <c r="C88" s="249" t="s">
        <v>66</v>
      </c>
    </row>
    <row r="89" spans="1:37" x14ac:dyDescent="0.2">
      <c r="A89" s="267" t="s">
        <v>76</v>
      </c>
      <c r="B89" s="284">
        <v>0.42</v>
      </c>
      <c r="C89" s="249" t="s">
        <v>47</v>
      </c>
    </row>
    <row r="90" spans="1:37" x14ac:dyDescent="0.2">
      <c r="A90" s="267" t="s">
        <v>85</v>
      </c>
      <c r="B90" s="284">
        <v>60</v>
      </c>
      <c r="C90" s="262" t="s">
        <v>61</v>
      </c>
    </row>
    <row r="91" spans="1:37" x14ac:dyDescent="0.2">
      <c r="A91" s="267" t="s">
        <v>87</v>
      </c>
      <c r="B91" s="284">
        <v>2</v>
      </c>
      <c r="C91" s="262" t="s">
        <v>66</v>
      </c>
    </row>
    <row r="92" spans="1:37" x14ac:dyDescent="0.2">
      <c r="A92" s="267" t="s">
        <v>89</v>
      </c>
      <c r="B92" s="284">
        <v>2.6999999999999999E-5</v>
      </c>
      <c r="C92" s="249" t="s">
        <v>82</v>
      </c>
    </row>
    <row r="93" spans="1:37" x14ac:dyDescent="0.2">
      <c r="A93" s="267" t="s">
        <v>91</v>
      </c>
      <c r="B93" s="284">
        <v>1</v>
      </c>
      <c r="C93" s="249" t="s">
        <v>47</v>
      </c>
    </row>
    <row r="94" spans="1:37" x14ac:dyDescent="0.2">
      <c r="A94" s="267" t="s">
        <v>92</v>
      </c>
      <c r="B94" s="284">
        <v>14</v>
      </c>
      <c r="C94" s="249" t="s">
        <v>93</v>
      </c>
    </row>
    <row r="95" spans="1:37" x14ac:dyDescent="0.2">
      <c r="A95" s="262" t="s">
        <v>356</v>
      </c>
      <c r="B95" s="283">
        <v>1</v>
      </c>
    </row>
    <row r="96" spans="1:37" x14ac:dyDescent="0.2">
      <c r="A96" s="262" t="s">
        <v>351</v>
      </c>
      <c r="B96" s="283">
        <v>1.752</v>
      </c>
      <c r="C96" s="264" t="s">
        <v>224</v>
      </c>
    </row>
    <row r="97" spans="1:3" x14ac:dyDescent="0.2">
      <c r="A97" s="262" t="s">
        <v>352</v>
      </c>
      <c r="B97" s="283">
        <v>16.416</v>
      </c>
      <c r="C97" s="264" t="s">
        <v>224</v>
      </c>
    </row>
    <row r="98" spans="1:3" ht="15" x14ac:dyDescent="0.2">
      <c r="A98" s="517" t="s">
        <v>5</v>
      </c>
      <c r="B98" s="517"/>
      <c r="C98" s="517"/>
    </row>
    <row r="99" spans="1:3" x14ac:dyDescent="0.2">
      <c r="A99" s="262" t="s">
        <v>358</v>
      </c>
      <c r="B99" s="284">
        <v>10</v>
      </c>
      <c r="C99" s="267" t="s">
        <v>359</v>
      </c>
    </row>
    <row r="100" spans="1:3" x14ac:dyDescent="0.2">
      <c r="A100" s="262" t="s">
        <v>360</v>
      </c>
      <c r="B100" s="284">
        <v>20</v>
      </c>
      <c r="C100" s="267" t="s">
        <v>359</v>
      </c>
    </row>
    <row r="101" spans="1:3" x14ac:dyDescent="0.2">
      <c r="A101" s="262" t="s">
        <v>305</v>
      </c>
      <c r="B101" s="283">
        <v>0.05</v>
      </c>
      <c r="C101" s="262" t="s">
        <v>361</v>
      </c>
    </row>
    <row r="102" spans="1:3" x14ac:dyDescent="0.2">
      <c r="A102" s="262" t="s">
        <v>306</v>
      </c>
      <c r="B102" s="283">
        <v>0.05</v>
      </c>
      <c r="C102" s="262" t="s">
        <v>361</v>
      </c>
    </row>
    <row r="103" spans="1:3" x14ac:dyDescent="0.2">
      <c r="A103" s="262" t="s">
        <v>362</v>
      </c>
      <c r="B103" s="284">
        <v>200</v>
      </c>
      <c r="C103" s="263" t="s">
        <v>54</v>
      </c>
    </row>
    <row r="104" spans="1:3" x14ac:dyDescent="0.2">
      <c r="A104" s="262" t="s">
        <v>363</v>
      </c>
      <c r="B104" s="284">
        <v>100</v>
      </c>
      <c r="C104" s="263" t="s">
        <v>54</v>
      </c>
    </row>
    <row r="105" spans="1:3" x14ac:dyDescent="0.2">
      <c r="A105" s="249" t="s">
        <v>187</v>
      </c>
      <c r="B105" s="284">
        <v>1</v>
      </c>
      <c r="C105" s="249" t="s">
        <v>254</v>
      </c>
    </row>
    <row r="106" spans="1:3" x14ac:dyDescent="0.2">
      <c r="A106" s="249" t="s">
        <v>188</v>
      </c>
      <c r="B106" s="284">
        <v>1</v>
      </c>
      <c r="C106" s="249" t="s">
        <v>254</v>
      </c>
    </row>
    <row r="107" spans="1:3" x14ac:dyDescent="0.2">
      <c r="A107" s="94" t="s">
        <v>373</v>
      </c>
      <c r="B107" s="283">
        <v>6</v>
      </c>
      <c r="C107" s="270" t="s">
        <v>69</v>
      </c>
    </row>
    <row r="108" spans="1:3" x14ac:dyDescent="0.2">
      <c r="A108" s="94" t="s">
        <v>372</v>
      </c>
      <c r="B108" s="283">
        <f>B109-B107</f>
        <v>20</v>
      </c>
      <c r="C108" s="270" t="s">
        <v>69</v>
      </c>
    </row>
    <row r="109" spans="1:3" x14ac:dyDescent="0.2">
      <c r="A109" s="94" t="s">
        <v>59</v>
      </c>
      <c r="B109" s="283">
        <v>26</v>
      </c>
      <c r="C109" s="270" t="s">
        <v>69</v>
      </c>
    </row>
    <row r="110" spans="1:3" x14ac:dyDescent="0.2">
      <c r="A110" s="94" t="s">
        <v>371</v>
      </c>
      <c r="B110" s="107">
        <v>75</v>
      </c>
      <c r="C110" s="94" t="s">
        <v>26</v>
      </c>
    </row>
    <row r="111" spans="1:3" x14ac:dyDescent="0.2">
      <c r="A111" s="94" t="s">
        <v>370</v>
      </c>
      <c r="B111" s="283">
        <v>75</v>
      </c>
      <c r="C111" s="94" t="s">
        <v>26</v>
      </c>
    </row>
    <row r="112" spans="1:3" x14ac:dyDescent="0.2">
      <c r="A112" s="94" t="s">
        <v>157</v>
      </c>
      <c r="B112" s="283">
        <v>75</v>
      </c>
      <c r="C112" s="94" t="s">
        <v>26</v>
      </c>
    </row>
    <row r="113" spans="1:3" x14ac:dyDescent="0.2">
      <c r="A113" s="94" t="s">
        <v>105</v>
      </c>
      <c r="B113" s="283">
        <v>1</v>
      </c>
      <c r="C113" s="92" t="s">
        <v>224</v>
      </c>
    </row>
    <row r="114" spans="1:3" x14ac:dyDescent="0.2">
      <c r="A114" s="92" t="s">
        <v>368</v>
      </c>
      <c r="B114" s="284">
        <v>1</v>
      </c>
      <c r="C114" s="92" t="s">
        <v>224</v>
      </c>
    </row>
    <row r="115" spans="1:3" x14ac:dyDescent="0.2">
      <c r="A115" s="92" t="s">
        <v>369</v>
      </c>
      <c r="B115" s="284">
        <v>1</v>
      </c>
      <c r="C115" s="92" t="s">
        <v>224</v>
      </c>
    </row>
    <row r="116" spans="1:3" x14ac:dyDescent="0.2">
      <c r="A116" s="249" t="s">
        <v>366</v>
      </c>
      <c r="B116" s="284">
        <v>1</v>
      </c>
      <c r="C116" s="249" t="s">
        <v>104</v>
      </c>
    </row>
    <row r="117" spans="1:3" x14ac:dyDescent="0.2">
      <c r="A117" s="249" t="s">
        <v>367</v>
      </c>
      <c r="B117" s="284">
        <v>1</v>
      </c>
      <c r="C117" s="249" t="s">
        <v>104</v>
      </c>
    </row>
    <row r="118" spans="1:3" x14ac:dyDescent="0.2">
      <c r="A118" s="94" t="s">
        <v>364</v>
      </c>
      <c r="B118" s="284">
        <v>1</v>
      </c>
      <c r="C118" s="92" t="s">
        <v>98</v>
      </c>
    </row>
    <row r="119" spans="1:3" x14ac:dyDescent="0.2">
      <c r="A119" s="94" t="s">
        <v>365</v>
      </c>
      <c r="B119" s="284">
        <v>1</v>
      </c>
      <c r="C119" s="92" t="s">
        <v>98</v>
      </c>
    </row>
    <row r="120" spans="1:3" x14ac:dyDescent="0.2">
      <c r="A120" s="263" t="s">
        <v>192</v>
      </c>
      <c r="B120" s="283">
        <v>1</v>
      </c>
      <c r="C120" s="249" t="s">
        <v>283</v>
      </c>
    </row>
    <row r="121" spans="1:3" x14ac:dyDescent="0.2">
      <c r="A121" s="263" t="s">
        <v>189</v>
      </c>
      <c r="B121" s="283">
        <v>1</v>
      </c>
      <c r="C121" s="249" t="s">
        <v>283</v>
      </c>
    </row>
    <row r="122" spans="1:3" x14ac:dyDescent="0.2">
      <c r="A122" s="263" t="s">
        <v>190</v>
      </c>
      <c r="B122" s="283">
        <v>1</v>
      </c>
      <c r="C122" s="249" t="s">
        <v>47</v>
      </c>
    </row>
    <row r="123" spans="1:3" x14ac:dyDescent="0.2">
      <c r="A123" s="263" t="s">
        <v>191</v>
      </c>
      <c r="B123" s="283">
        <v>1</v>
      </c>
      <c r="C123" s="249" t="s">
        <v>47</v>
      </c>
    </row>
    <row r="124" spans="1:3" x14ac:dyDescent="0.2">
      <c r="A124" s="263" t="s">
        <v>199</v>
      </c>
      <c r="B124" s="283">
        <v>1</v>
      </c>
      <c r="C124" s="249" t="s">
        <v>30</v>
      </c>
    </row>
    <row r="125" spans="1:3" x14ac:dyDescent="0.2">
      <c r="A125" s="249" t="s">
        <v>193</v>
      </c>
      <c r="B125" s="283">
        <v>1</v>
      </c>
      <c r="C125" s="249" t="s">
        <v>283</v>
      </c>
    </row>
    <row r="126" spans="1:3" x14ac:dyDescent="0.2">
      <c r="A126" s="249" t="s">
        <v>196</v>
      </c>
      <c r="B126" s="283">
        <v>1</v>
      </c>
      <c r="C126" s="249" t="s">
        <v>283</v>
      </c>
    </row>
    <row r="127" spans="1:3" x14ac:dyDescent="0.2">
      <c r="A127" s="268" t="s">
        <v>197</v>
      </c>
      <c r="B127" s="283">
        <v>1</v>
      </c>
      <c r="C127" s="249" t="s">
        <v>47</v>
      </c>
    </row>
    <row r="128" spans="1:3" x14ac:dyDescent="0.2">
      <c r="A128" s="262" t="s">
        <v>198</v>
      </c>
      <c r="B128" s="283">
        <v>1</v>
      </c>
      <c r="C128" s="249" t="s">
        <v>47</v>
      </c>
    </row>
    <row r="129" spans="1:3" x14ac:dyDescent="0.2">
      <c r="A129" s="263" t="s">
        <v>200</v>
      </c>
      <c r="B129" s="283">
        <v>1</v>
      </c>
      <c r="C129" s="249" t="s">
        <v>30</v>
      </c>
    </row>
    <row r="130" spans="1:3" x14ac:dyDescent="0.2">
      <c r="A130" s="262" t="s">
        <v>255</v>
      </c>
      <c r="B130" s="284">
        <v>1</v>
      </c>
    </row>
    <row r="131" spans="1:3" x14ac:dyDescent="0.2">
      <c r="A131" s="249" t="s">
        <v>83</v>
      </c>
      <c r="B131" s="284">
        <v>0.5</v>
      </c>
    </row>
    <row r="132" spans="1:3" ht="15" x14ac:dyDescent="0.2">
      <c r="A132" s="518" t="s">
        <v>180</v>
      </c>
      <c r="B132" s="518"/>
      <c r="C132" s="518"/>
    </row>
    <row r="133" spans="1:3" x14ac:dyDescent="0.2">
      <c r="A133" s="262" t="s">
        <v>374</v>
      </c>
      <c r="B133" s="283">
        <v>200</v>
      </c>
      <c r="C133" s="263" t="s">
        <v>54</v>
      </c>
    </row>
    <row r="134" spans="1:3" x14ac:dyDescent="0.2">
      <c r="A134" s="262" t="s">
        <v>375</v>
      </c>
      <c r="B134" s="283">
        <v>100</v>
      </c>
      <c r="C134" s="263" t="s">
        <v>54</v>
      </c>
    </row>
    <row r="135" spans="1:3" x14ac:dyDescent="0.2">
      <c r="A135" s="262" t="s">
        <v>376</v>
      </c>
      <c r="B135" s="283">
        <v>10</v>
      </c>
      <c r="C135" s="267" t="s">
        <v>359</v>
      </c>
    </row>
    <row r="136" spans="1:3" x14ac:dyDescent="0.2">
      <c r="A136" s="262" t="s">
        <v>377</v>
      </c>
      <c r="B136" s="283">
        <v>20</v>
      </c>
      <c r="C136" s="267" t="s">
        <v>359</v>
      </c>
    </row>
    <row r="137" spans="1:3" x14ac:dyDescent="0.2">
      <c r="A137" s="267" t="s">
        <v>378</v>
      </c>
      <c r="B137" s="284">
        <v>0.78</v>
      </c>
      <c r="C137" s="262" t="s">
        <v>30</v>
      </c>
    </row>
    <row r="138" spans="1:3" x14ac:dyDescent="0.2">
      <c r="A138" s="267" t="s">
        <v>379</v>
      </c>
      <c r="B138" s="284">
        <v>2.5</v>
      </c>
      <c r="C138" s="262" t="s">
        <v>30</v>
      </c>
    </row>
    <row r="139" spans="1:3" x14ac:dyDescent="0.2">
      <c r="A139" s="262" t="s">
        <v>380</v>
      </c>
      <c r="B139" s="283">
        <v>68.099999999999994</v>
      </c>
      <c r="C139" s="267" t="s">
        <v>254</v>
      </c>
    </row>
    <row r="140" spans="1:3" x14ac:dyDescent="0.2">
      <c r="A140" s="262" t="s">
        <v>381</v>
      </c>
      <c r="B140" s="283">
        <v>176.8</v>
      </c>
      <c r="C140" s="267" t="s">
        <v>254</v>
      </c>
    </row>
    <row r="141" spans="1:3" x14ac:dyDescent="0.2">
      <c r="A141" s="262" t="s">
        <v>382</v>
      </c>
      <c r="B141" s="283">
        <v>41.7</v>
      </c>
      <c r="C141" s="267" t="s">
        <v>254</v>
      </c>
    </row>
    <row r="142" spans="1:3" x14ac:dyDescent="0.2">
      <c r="A142" s="262" t="s">
        <v>383</v>
      </c>
      <c r="B142" s="283">
        <v>125.7</v>
      </c>
      <c r="C142" s="267" t="s">
        <v>254</v>
      </c>
    </row>
    <row r="143" spans="1:3" x14ac:dyDescent="0.2">
      <c r="A143" s="262" t="s">
        <v>479</v>
      </c>
      <c r="B143" s="283">
        <v>349.5</v>
      </c>
      <c r="C143" s="267" t="s">
        <v>254</v>
      </c>
    </row>
    <row r="144" spans="1:3" x14ac:dyDescent="0.2">
      <c r="A144" s="262" t="s">
        <v>480</v>
      </c>
      <c r="B144" s="283">
        <v>445.6</v>
      </c>
      <c r="C144" s="267" t="s">
        <v>254</v>
      </c>
    </row>
    <row r="145" spans="1:3" x14ac:dyDescent="0.2">
      <c r="A145" s="262" t="s">
        <v>481</v>
      </c>
      <c r="B145" s="283">
        <v>40.1</v>
      </c>
      <c r="C145" s="267" t="s">
        <v>254</v>
      </c>
    </row>
    <row r="146" spans="1:3" x14ac:dyDescent="0.2">
      <c r="A146" s="262" t="s">
        <v>482</v>
      </c>
      <c r="B146" s="283">
        <v>178</v>
      </c>
      <c r="C146" s="267" t="s">
        <v>254</v>
      </c>
    </row>
    <row r="147" spans="1:3" x14ac:dyDescent="0.2">
      <c r="A147" s="262" t="s">
        <v>326</v>
      </c>
      <c r="B147" s="283">
        <v>10.95</v>
      </c>
      <c r="C147" s="262" t="s">
        <v>254</v>
      </c>
    </row>
    <row r="148" spans="1:3" x14ac:dyDescent="0.2">
      <c r="A148" s="262" t="s">
        <v>327</v>
      </c>
      <c r="B148" s="283">
        <v>53.4</v>
      </c>
      <c r="C148" s="262" t="s">
        <v>254</v>
      </c>
    </row>
    <row r="149" spans="1:3" x14ac:dyDescent="0.2">
      <c r="A149" s="262" t="s">
        <v>483</v>
      </c>
      <c r="B149" s="283">
        <v>32.799999999999997</v>
      </c>
      <c r="C149" s="267" t="s">
        <v>254</v>
      </c>
    </row>
    <row r="150" spans="1:3" x14ac:dyDescent="0.2">
      <c r="A150" s="262" t="s">
        <v>484</v>
      </c>
      <c r="B150" s="283">
        <v>155.4</v>
      </c>
      <c r="C150" s="267" t="s">
        <v>254</v>
      </c>
    </row>
    <row r="151" spans="1:3" x14ac:dyDescent="0.2">
      <c r="A151" s="262" t="s">
        <v>324</v>
      </c>
      <c r="B151" s="283">
        <v>23.6</v>
      </c>
      <c r="C151" s="262" t="s">
        <v>254</v>
      </c>
    </row>
    <row r="152" spans="1:3" x14ac:dyDescent="0.2">
      <c r="A152" s="262" t="s">
        <v>325</v>
      </c>
      <c r="B152" s="283">
        <v>106.6</v>
      </c>
      <c r="C152" s="262" t="s">
        <v>254</v>
      </c>
    </row>
    <row r="153" spans="1:3" x14ac:dyDescent="0.2">
      <c r="A153" s="262" t="s">
        <v>328</v>
      </c>
      <c r="B153" s="283">
        <v>18.5</v>
      </c>
      <c r="C153" s="262" t="s">
        <v>254</v>
      </c>
    </row>
    <row r="154" spans="1:3" x14ac:dyDescent="0.2">
      <c r="A154" s="262" t="s">
        <v>329</v>
      </c>
      <c r="B154" s="283">
        <v>97.9</v>
      </c>
      <c r="C154" s="262" t="s">
        <v>254</v>
      </c>
    </row>
    <row r="155" spans="1:3" x14ac:dyDescent="0.2">
      <c r="A155" s="262" t="s">
        <v>384</v>
      </c>
      <c r="B155" s="284">
        <v>6</v>
      </c>
      <c r="C155" s="93" t="s">
        <v>69</v>
      </c>
    </row>
    <row r="156" spans="1:3" x14ac:dyDescent="0.2">
      <c r="A156" s="262" t="s">
        <v>385</v>
      </c>
      <c r="B156" s="284">
        <v>34</v>
      </c>
      <c r="C156" s="93" t="s">
        <v>69</v>
      </c>
    </row>
    <row r="157" spans="1:3" x14ac:dyDescent="0.2">
      <c r="A157" s="262" t="s">
        <v>386</v>
      </c>
      <c r="B157" s="284">
        <v>40</v>
      </c>
      <c r="C157" s="93" t="s">
        <v>69</v>
      </c>
    </row>
    <row r="158" spans="1:3" x14ac:dyDescent="0.2">
      <c r="A158" s="262" t="s">
        <v>387</v>
      </c>
      <c r="B158" s="284">
        <v>350</v>
      </c>
      <c r="C158" s="262" t="s">
        <v>26</v>
      </c>
    </row>
    <row r="159" spans="1:3" x14ac:dyDescent="0.2">
      <c r="A159" s="262" t="s">
        <v>388</v>
      </c>
      <c r="B159" s="284">
        <v>350</v>
      </c>
      <c r="C159" s="262" t="s">
        <v>26</v>
      </c>
    </row>
    <row r="160" spans="1:3" x14ac:dyDescent="0.2">
      <c r="A160" s="262" t="s">
        <v>389</v>
      </c>
      <c r="B160" s="283">
        <v>24</v>
      </c>
      <c r="C160" s="263" t="s">
        <v>224</v>
      </c>
    </row>
    <row r="161" spans="1:3" x14ac:dyDescent="0.2">
      <c r="A161" s="262" t="s">
        <v>390</v>
      </c>
      <c r="B161" s="283">
        <v>24</v>
      </c>
      <c r="C161" s="263" t="s">
        <v>224</v>
      </c>
    </row>
    <row r="162" spans="1:3" x14ac:dyDescent="0.2">
      <c r="A162" s="262" t="s">
        <v>396</v>
      </c>
      <c r="B162" s="283">
        <v>24</v>
      </c>
      <c r="C162" s="263" t="s">
        <v>224</v>
      </c>
    </row>
    <row r="163" spans="1:3" x14ac:dyDescent="0.2">
      <c r="A163" s="249" t="s">
        <v>393</v>
      </c>
      <c r="B163" s="283">
        <v>0.54</v>
      </c>
      <c r="C163" s="267" t="s">
        <v>395</v>
      </c>
    </row>
    <row r="164" spans="1:3" x14ac:dyDescent="0.2">
      <c r="A164" s="249" t="s">
        <v>394</v>
      </c>
      <c r="B164" s="283">
        <v>0.71</v>
      </c>
      <c r="C164" s="267" t="s">
        <v>395</v>
      </c>
    </row>
    <row r="165" spans="1:3" x14ac:dyDescent="0.2">
      <c r="A165" s="262" t="s">
        <v>391</v>
      </c>
      <c r="B165" s="283">
        <v>12.167999999999999</v>
      </c>
      <c r="C165" s="263" t="s">
        <v>224</v>
      </c>
    </row>
    <row r="166" spans="1:3" x14ac:dyDescent="0.2">
      <c r="A166" s="262" t="s">
        <v>392</v>
      </c>
      <c r="B166" s="283">
        <v>10.007999999999999</v>
      </c>
      <c r="C166" s="263" t="s">
        <v>224</v>
      </c>
    </row>
    <row r="167" spans="1:3" x14ac:dyDescent="0.2">
      <c r="A167" s="262" t="s">
        <v>397</v>
      </c>
      <c r="B167" s="283">
        <v>1</v>
      </c>
      <c r="C167" s="267" t="s">
        <v>166</v>
      </c>
    </row>
    <row r="168" spans="1:3" x14ac:dyDescent="0.2">
      <c r="A168" s="262" t="s">
        <v>398</v>
      </c>
      <c r="B168" s="283">
        <v>1</v>
      </c>
      <c r="C168" s="267" t="s">
        <v>166</v>
      </c>
    </row>
    <row r="169" spans="1:3" x14ac:dyDescent="0.2">
      <c r="A169" s="262" t="s">
        <v>103</v>
      </c>
      <c r="B169" s="283">
        <v>0.4</v>
      </c>
      <c r="C169" s="247"/>
    </row>
    <row r="170" spans="1:3" x14ac:dyDescent="0.2">
      <c r="A170" s="262" t="s">
        <v>158</v>
      </c>
      <c r="B170" s="283">
        <v>0.4</v>
      </c>
      <c r="C170" s="247"/>
    </row>
    <row r="171" spans="1:3" x14ac:dyDescent="0.2">
      <c r="A171" s="262" t="s">
        <v>159</v>
      </c>
      <c r="B171" s="283">
        <v>1</v>
      </c>
      <c r="C171" s="247"/>
    </row>
    <row r="172" spans="1:3" x14ac:dyDescent="0.2">
      <c r="A172" s="262" t="s">
        <v>62</v>
      </c>
      <c r="B172" s="283">
        <v>1</v>
      </c>
      <c r="C172" s="247"/>
    </row>
    <row r="173" spans="1:3" x14ac:dyDescent="0.2">
      <c r="A173" s="262" t="s">
        <v>255</v>
      </c>
      <c r="B173" s="284">
        <v>1</v>
      </c>
      <c r="C173" s="247"/>
    </row>
    <row r="174" spans="1:3" x14ac:dyDescent="0.2">
      <c r="A174" s="267" t="s">
        <v>399</v>
      </c>
      <c r="B174" s="283">
        <v>1</v>
      </c>
      <c r="C174" s="247"/>
    </row>
    <row r="175" spans="1:3" x14ac:dyDescent="0.2">
      <c r="A175" s="267" t="s">
        <v>400</v>
      </c>
      <c r="B175" s="283">
        <v>1</v>
      </c>
      <c r="C175" s="247"/>
    </row>
    <row r="176" spans="1:3" x14ac:dyDescent="0.2">
      <c r="A176" s="267" t="s">
        <v>401</v>
      </c>
      <c r="B176" s="283">
        <v>1</v>
      </c>
      <c r="C176" s="247"/>
    </row>
    <row r="177" spans="1:3" x14ac:dyDescent="0.2">
      <c r="A177" s="267" t="s">
        <v>402</v>
      </c>
      <c r="B177" s="283">
        <v>1</v>
      </c>
      <c r="C177" s="247"/>
    </row>
    <row r="178" spans="1:3" x14ac:dyDescent="0.2">
      <c r="A178" s="267" t="s">
        <v>403</v>
      </c>
      <c r="B178" s="283">
        <v>1</v>
      </c>
      <c r="C178" s="247"/>
    </row>
    <row r="179" spans="1:3" x14ac:dyDescent="0.2">
      <c r="A179" s="267" t="s">
        <v>404</v>
      </c>
      <c r="B179" s="283">
        <v>1</v>
      </c>
      <c r="C179" s="247"/>
    </row>
    <row r="180" spans="1:3" x14ac:dyDescent="0.2">
      <c r="A180" s="267" t="s">
        <v>405</v>
      </c>
      <c r="B180" s="284">
        <v>1</v>
      </c>
      <c r="C180" s="247"/>
    </row>
    <row r="181" spans="1:3" x14ac:dyDescent="0.2">
      <c r="A181" s="262" t="s">
        <v>41</v>
      </c>
      <c r="B181" s="284">
        <v>3.62</v>
      </c>
      <c r="C181" s="249" t="s">
        <v>42</v>
      </c>
    </row>
    <row r="182" spans="1:3" x14ac:dyDescent="0.2">
      <c r="A182" s="262" t="s">
        <v>46</v>
      </c>
      <c r="B182" s="284">
        <v>0.25</v>
      </c>
      <c r="C182" s="249" t="s">
        <v>47</v>
      </c>
    </row>
    <row r="183" spans="1:3" x14ac:dyDescent="0.2">
      <c r="A183" s="267" t="s">
        <v>60</v>
      </c>
      <c r="B183" s="284">
        <v>10950</v>
      </c>
      <c r="C183" s="249" t="s">
        <v>61</v>
      </c>
    </row>
    <row r="184" spans="1:3" x14ac:dyDescent="0.2">
      <c r="A184" s="267" t="s">
        <v>65</v>
      </c>
      <c r="B184" s="284">
        <v>240</v>
      </c>
      <c r="C184" s="249" t="s">
        <v>66</v>
      </c>
    </row>
    <row r="185" spans="1:3" x14ac:dyDescent="0.2">
      <c r="A185" s="267" t="s">
        <v>76</v>
      </c>
      <c r="B185" s="284">
        <v>0.42</v>
      </c>
      <c r="C185" s="249" t="s">
        <v>47</v>
      </c>
    </row>
    <row r="186" spans="1:3" x14ac:dyDescent="0.2">
      <c r="A186" s="267" t="s">
        <v>85</v>
      </c>
      <c r="B186" s="284">
        <v>60</v>
      </c>
      <c r="C186" s="262" t="s">
        <v>61</v>
      </c>
    </row>
    <row r="187" spans="1:3" x14ac:dyDescent="0.2">
      <c r="A187" s="267" t="s">
        <v>87</v>
      </c>
      <c r="B187" s="284">
        <v>2</v>
      </c>
      <c r="C187" s="262" t="s">
        <v>66</v>
      </c>
    </row>
    <row r="188" spans="1:3" x14ac:dyDescent="0.2">
      <c r="A188" s="267" t="s">
        <v>89</v>
      </c>
      <c r="B188" s="284">
        <v>2.6999999999999999E-5</v>
      </c>
      <c r="C188" s="249" t="s">
        <v>82</v>
      </c>
    </row>
    <row r="189" spans="1:3" x14ac:dyDescent="0.2">
      <c r="A189" s="267" t="s">
        <v>91</v>
      </c>
      <c r="B189" s="284">
        <v>1</v>
      </c>
      <c r="C189" s="249" t="s">
        <v>47</v>
      </c>
    </row>
    <row r="190" spans="1:3" x14ac:dyDescent="0.2">
      <c r="A190" s="267" t="s">
        <v>92</v>
      </c>
      <c r="B190" s="284">
        <v>14</v>
      </c>
      <c r="C190" s="249" t="s">
        <v>93</v>
      </c>
    </row>
    <row r="191" spans="1:3" x14ac:dyDescent="0.2">
      <c r="A191" s="262" t="s">
        <v>29</v>
      </c>
      <c r="B191" s="284">
        <v>92</v>
      </c>
      <c r="C191" s="262" t="s">
        <v>30</v>
      </c>
    </row>
    <row r="192" spans="1:3" x14ac:dyDescent="0.2">
      <c r="A192" s="249" t="s">
        <v>287</v>
      </c>
      <c r="B192" s="283">
        <v>1.03</v>
      </c>
      <c r="C192" s="249" t="s">
        <v>288</v>
      </c>
    </row>
    <row r="193" spans="1:3" x14ac:dyDescent="0.2">
      <c r="A193" s="262" t="s">
        <v>406</v>
      </c>
      <c r="B193" s="284">
        <v>20.3</v>
      </c>
      <c r="C193" s="249" t="s">
        <v>283</v>
      </c>
    </row>
    <row r="194" spans="1:3" x14ac:dyDescent="0.2">
      <c r="A194" s="262" t="s">
        <v>407</v>
      </c>
      <c r="B194" s="284">
        <v>0.4</v>
      </c>
      <c r="C194" s="249" t="s">
        <v>283</v>
      </c>
    </row>
    <row r="195" spans="1:3" x14ac:dyDescent="0.2">
      <c r="A195" s="262" t="s">
        <v>408</v>
      </c>
      <c r="B195" s="284">
        <v>1</v>
      </c>
      <c r="C195" s="247"/>
    </row>
    <row r="196" spans="1:3" x14ac:dyDescent="0.2">
      <c r="A196" s="262" t="s">
        <v>409</v>
      </c>
      <c r="B196" s="284">
        <v>1</v>
      </c>
      <c r="C196" s="247"/>
    </row>
    <row r="197" spans="1:3" x14ac:dyDescent="0.2">
      <c r="A197" s="262" t="s">
        <v>31</v>
      </c>
      <c r="B197" s="284">
        <v>53</v>
      </c>
      <c r="C197" s="262" t="s">
        <v>30</v>
      </c>
    </row>
    <row r="198" spans="1:3" x14ac:dyDescent="0.2">
      <c r="A198" s="262" t="s">
        <v>410</v>
      </c>
      <c r="B198" s="284">
        <v>11.77</v>
      </c>
      <c r="C198" s="249" t="s">
        <v>283</v>
      </c>
    </row>
    <row r="199" spans="1:3" x14ac:dyDescent="0.2">
      <c r="A199" s="262" t="s">
        <v>411</v>
      </c>
      <c r="B199" s="284">
        <v>0.5</v>
      </c>
      <c r="C199" s="249" t="s">
        <v>283</v>
      </c>
    </row>
    <row r="200" spans="1:3" x14ac:dyDescent="0.2">
      <c r="A200" s="262" t="s">
        <v>412</v>
      </c>
      <c r="B200" s="284">
        <v>1</v>
      </c>
      <c r="C200" s="247"/>
    </row>
    <row r="201" spans="1:3" x14ac:dyDescent="0.2">
      <c r="A201" s="262" t="s">
        <v>413</v>
      </c>
      <c r="B201" s="284">
        <v>1</v>
      </c>
      <c r="C201" s="247"/>
    </row>
    <row r="202" spans="1:3" x14ac:dyDescent="0.2">
      <c r="A202" s="262" t="s">
        <v>173</v>
      </c>
      <c r="B202" s="283">
        <v>0.4</v>
      </c>
      <c r="C202" s="262" t="s">
        <v>30</v>
      </c>
    </row>
    <row r="203" spans="1:3" x14ac:dyDescent="0.2">
      <c r="A203" s="262" t="s">
        <v>177</v>
      </c>
      <c r="B203" s="284">
        <v>0.2</v>
      </c>
      <c r="C203" s="249" t="s">
        <v>283</v>
      </c>
    </row>
    <row r="204" spans="1:3" x14ac:dyDescent="0.2">
      <c r="A204" s="262" t="s">
        <v>176</v>
      </c>
      <c r="B204" s="284">
        <v>2.1999999999999999E-2</v>
      </c>
      <c r="C204" s="249" t="s">
        <v>283</v>
      </c>
    </row>
    <row r="205" spans="1:3" x14ac:dyDescent="0.2">
      <c r="A205" s="262" t="s">
        <v>178</v>
      </c>
      <c r="B205" s="283">
        <v>1</v>
      </c>
      <c r="C205" s="247"/>
    </row>
    <row r="206" spans="1:3" x14ac:dyDescent="0.2">
      <c r="A206" s="262" t="s">
        <v>179</v>
      </c>
      <c r="B206" s="283">
        <v>1</v>
      </c>
      <c r="C206" s="247"/>
    </row>
    <row r="207" spans="1:3" x14ac:dyDescent="0.2">
      <c r="A207" s="262" t="s">
        <v>414</v>
      </c>
      <c r="B207" s="283">
        <v>0.4</v>
      </c>
      <c r="C207" s="262" t="s">
        <v>30</v>
      </c>
    </row>
    <row r="208" spans="1:3" x14ac:dyDescent="0.2">
      <c r="A208" s="262" t="s">
        <v>415</v>
      </c>
      <c r="B208" s="284">
        <v>0.2</v>
      </c>
      <c r="C208" s="249" t="s">
        <v>283</v>
      </c>
    </row>
    <row r="209" spans="1:3" x14ac:dyDescent="0.2">
      <c r="A209" s="262" t="s">
        <v>416</v>
      </c>
      <c r="B209" s="284">
        <v>2.1999999999999999E-2</v>
      </c>
      <c r="C209" s="249" t="s">
        <v>283</v>
      </c>
    </row>
    <row r="210" spans="1:3" x14ac:dyDescent="0.2">
      <c r="A210" s="262" t="s">
        <v>417</v>
      </c>
      <c r="B210" s="284">
        <v>1</v>
      </c>
      <c r="C210" s="247"/>
    </row>
    <row r="211" spans="1:3" x14ac:dyDescent="0.2">
      <c r="A211" s="262" t="s">
        <v>418</v>
      </c>
      <c r="B211" s="284">
        <v>1</v>
      </c>
      <c r="C211" s="247"/>
    </row>
    <row r="212" spans="1:3" x14ac:dyDescent="0.2">
      <c r="A212" s="262" t="s">
        <v>174</v>
      </c>
      <c r="B212" s="284">
        <v>11.4</v>
      </c>
      <c r="C212" s="262" t="s">
        <v>30</v>
      </c>
    </row>
    <row r="213" spans="1:3" x14ac:dyDescent="0.2">
      <c r="A213" s="262" t="s">
        <v>419</v>
      </c>
      <c r="B213" s="284">
        <v>4.7</v>
      </c>
      <c r="C213" s="249" t="s">
        <v>283</v>
      </c>
    </row>
    <row r="214" spans="1:3" x14ac:dyDescent="0.2">
      <c r="A214" s="262" t="s">
        <v>420</v>
      </c>
      <c r="B214" s="284">
        <v>0.37</v>
      </c>
      <c r="C214" s="249" t="s">
        <v>283</v>
      </c>
    </row>
    <row r="215" spans="1:3" x14ac:dyDescent="0.2">
      <c r="A215" s="262" t="s">
        <v>421</v>
      </c>
      <c r="B215" s="284">
        <v>1</v>
      </c>
      <c r="C215" s="247"/>
    </row>
    <row r="216" spans="1:3" x14ac:dyDescent="0.2">
      <c r="A216" s="262" t="s">
        <v>422</v>
      </c>
      <c r="B216" s="284">
        <v>1</v>
      </c>
      <c r="C216" s="247"/>
    </row>
    <row r="217" spans="1:3" x14ac:dyDescent="0.2">
      <c r="A217" s="249" t="s">
        <v>83</v>
      </c>
      <c r="B217" s="284">
        <v>0.5</v>
      </c>
    </row>
    <row r="218" spans="1:3" x14ac:dyDescent="0.2">
      <c r="A218" s="558" t="s">
        <v>423</v>
      </c>
      <c r="B218" s="558"/>
      <c r="C218" s="558"/>
    </row>
    <row r="219" spans="1:3" x14ac:dyDescent="0.2">
      <c r="A219" s="249" t="s">
        <v>424</v>
      </c>
      <c r="B219" s="283">
        <v>60</v>
      </c>
      <c r="C219" s="263" t="s">
        <v>359</v>
      </c>
    </row>
    <row r="220" spans="1:3" x14ac:dyDescent="0.2">
      <c r="A220" s="262" t="s">
        <v>425</v>
      </c>
      <c r="B220" s="283">
        <v>250</v>
      </c>
      <c r="C220" s="249" t="s">
        <v>26</v>
      </c>
    </row>
    <row r="221" spans="1:3" x14ac:dyDescent="0.2">
      <c r="A221" s="262" t="s">
        <v>75</v>
      </c>
      <c r="B221" s="284">
        <v>25</v>
      </c>
      <c r="C221" s="249" t="s">
        <v>69</v>
      </c>
    </row>
    <row r="222" spans="1:3" x14ac:dyDescent="0.2">
      <c r="A222" s="262" t="s">
        <v>426</v>
      </c>
      <c r="B222" s="283">
        <v>100</v>
      </c>
      <c r="C222" s="263" t="s">
        <v>54</v>
      </c>
    </row>
    <row r="223" spans="1:3" x14ac:dyDescent="0.2">
      <c r="A223" s="249" t="s">
        <v>353</v>
      </c>
      <c r="B223" s="284">
        <v>1</v>
      </c>
      <c r="C223" s="247"/>
    </row>
    <row r="224" spans="1:3" x14ac:dyDescent="0.2">
      <c r="A224" s="262" t="s">
        <v>56</v>
      </c>
      <c r="B224" s="284">
        <v>1</v>
      </c>
      <c r="C224" s="247"/>
    </row>
    <row r="225" spans="1:3" x14ac:dyDescent="0.2">
      <c r="A225" s="262" t="s">
        <v>52</v>
      </c>
      <c r="B225" s="284">
        <v>0.4</v>
      </c>
      <c r="C225" s="247"/>
    </row>
    <row r="226" spans="1:3" x14ac:dyDescent="0.2">
      <c r="A226" s="262" t="s">
        <v>62</v>
      </c>
      <c r="B226" s="284">
        <v>1</v>
      </c>
      <c r="C226" s="247"/>
    </row>
    <row r="227" spans="1:3" x14ac:dyDescent="0.2">
      <c r="A227" s="262" t="s">
        <v>467</v>
      </c>
      <c r="B227" s="283">
        <v>4</v>
      </c>
      <c r="C227" s="249" t="s">
        <v>224</v>
      </c>
    </row>
    <row r="228" spans="1:3" x14ac:dyDescent="0.2">
      <c r="A228" s="262" t="s">
        <v>468</v>
      </c>
      <c r="B228" s="283">
        <v>4</v>
      </c>
      <c r="C228" s="249" t="s">
        <v>224</v>
      </c>
    </row>
    <row r="229" spans="1:3" x14ac:dyDescent="0.2">
      <c r="A229" s="262" t="s">
        <v>103</v>
      </c>
      <c r="B229" s="283">
        <v>0.4</v>
      </c>
      <c r="C229" s="247"/>
    </row>
    <row r="230" spans="1:3" x14ac:dyDescent="0.2">
      <c r="A230" s="558" t="s">
        <v>427</v>
      </c>
      <c r="B230" s="558"/>
      <c r="C230" s="558"/>
    </row>
    <row r="231" spans="1:3" x14ac:dyDescent="0.2">
      <c r="A231" s="249" t="s">
        <v>428</v>
      </c>
      <c r="B231" s="283">
        <v>60</v>
      </c>
      <c r="C231" s="263" t="s">
        <v>359</v>
      </c>
    </row>
    <row r="232" spans="1:3" x14ac:dyDescent="0.2">
      <c r="A232" s="262" t="s">
        <v>40</v>
      </c>
      <c r="B232" s="283">
        <v>250</v>
      </c>
      <c r="C232" s="249" t="s">
        <v>26</v>
      </c>
    </row>
    <row r="233" spans="1:3" x14ac:dyDescent="0.2">
      <c r="A233" s="262" t="s">
        <v>429</v>
      </c>
      <c r="B233" s="284">
        <v>25</v>
      </c>
      <c r="C233" s="249" t="s">
        <v>69</v>
      </c>
    </row>
    <row r="234" spans="1:3" x14ac:dyDescent="0.2">
      <c r="A234" s="262" t="s">
        <v>79</v>
      </c>
      <c r="B234" s="283">
        <v>50</v>
      </c>
      <c r="C234" s="263" t="s">
        <v>54</v>
      </c>
    </row>
    <row r="235" spans="1:3" x14ac:dyDescent="0.2">
      <c r="A235" s="249" t="s">
        <v>353</v>
      </c>
      <c r="B235" s="284">
        <v>1</v>
      </c>
      <c r="C235" s="247"/>
    </row>
    <row r="236" spans="1:3" x14ac:dyDescent="0.2">
      <c r="A236" s="262" t="s">
        <v>56</v>
      </c>
      <c r="B236" s="284">
        <v>1</v>
      </c>
      <c r="C236" s="247"/>
    </row>
    <row r="237" spans="1:3" x14ac:dyDescent="0.2">
      <c r="A237" s="262" t="s">
        <v>52</v>
      </c>
      <c r="B237" s="284">
        <v>0.4</v>
      </c>
      <c r="C237" s="247"/>
    </row>
    <row r="238" spans="1:3" x14ac:dyDescent="0.2">
      <c r="A238" s="262" t="s">
        <v>62</v>
      </c>
      <c r="B238" s="284">
        <v>1</v>
      </c>
      <c r="C238" s="247"/>
    </row>
    <row r="239" spans="1:3" x14ac:dyDescent="0.2">
      <c r="A239" s="262" t="s">
        <v>469</v>
      </c>
      <c r="B239" s="283">
        <v>0</v>
      </c>
      <c r="C239" s="249" t="s">
        <v>224</v>
      </c>
    </row>
    <row r="240" spans="1:3" x14ac:dyDescent="0.2">
      <c r="A240" s="262" t="s">
        <v>470</v>
      </c>
      <c r="B240" s="283">
        <v>8</v>
      </c>
      <c r="C240" s="249" t="s">
        <v>224</v>
      </c>
    </row>
    <row r="241" spans="1:3" x14ac:dyDescent="0.2">
      <c r="A241" s="262" t="s">
        <v>103</v>
      </c>
      <c r="B241" s="283">
        <v>0.4</v>
      </c>
      <c r="C241" s="247"/>
    </row>
    <row r="242" spans="1:3" x14ac:dyDescent="0.2">
      <c r="A242" s="558" t="s">
        <v>430</v>
      </c>
      <c r="B242" s="558"/>
      <c r="C242" s="558"/>
    </row>
    <row r="243" spans="1:3" x14ac:dyDescent="0.2">
      <c r="A243" s="249" t="s">
        <v>58</v>
      </c>
      <c r="B243" s="283">
        <v>60</v>
      </c>
      <c r="C243" s="263" t="s">
        <v>359</v>
      </c>
    </row>
    <row r="244" spans="1:3" x14ac:dyDescent="0.2">
      <c r="A244" s="262" t="s">
        <v>431</v>
      </c>
      <c r="B244" s="283">
        <v>225</v>
      </c>
      <c r="C244" s="249" t="s">
        <v>26</v>
      </c>
    </row>
    <row r="245" spans="1:3" x14ac:dyDescent="0.2">
      <c r="A245" s="262" t="s">
        <v>432</v>
      </c>
      <c r="B245" s="284">
        <v>25</v>
      </c>
      <c r="C245" s="249" t="s">
        <v>69</v>
      </c>
    </row>
    <row r="246" spans="1:3" x14ac:dyDescent="0.2">
      <c r="A246" s="262" t="s">
        <v>433</v>
      </c>
      <c r="B246" s="283">
        <v>100</v>
      </c>
      <c r="C246" s="263" t="s">
        <v>54</v>
      </c>
    </row>
    <row r="247" spans="1:3" x14ac:dyDescent="0.2">
      <c r="A247" s="249" t="s">
        <v>353</v>
      </c>
      <c r="B247" s="284">
        <v>1</v>
      </c>
      <c r="C247" s="247"/>
    </row>
    <row r="248" spans="1:3" x14ac:dyDescent="0.2">
      <c r="A248" s="262" t="s">
        <v>56</v>
      </c>
      <c r="B248" s="284">
        <v>1</v>
      </c>
      <c r="C248" s="247"/>
    </row>
    <row r="249" spans="1:3" x14ac:dyDescent="0.2">
      <c r="A249" s="262" t="s">
        <v>52</v>
      </c>
      <c r="B249" s="284">
        <v>0.4</v>
      </c>
      <c r="C249" s="247"/>
    </row>
    <row r="250" spans="1:3" x14ac:dyDescent="0.2">
      <c r="A250" s="262" t="s">
        <v>62</v>
      </c>
      <c r="B250" s="284">
        <v>1</v>
      </c>
      <c r="C250" s="247"/>
    </row>
    <row r="251" spans="1:3" x14ac:dyDescent="0.2">
      <c r="A251" s="262" t="s">
        <v>466</v>
      </c>
      <c r="B251" s="283">
        <v>8</v>
      </c>
      <c r="C251" s="249" t="s">
        <v>224</v>
      </c>
    </row>
    <row r="252" spans="1:3" x14ac:dyDescent="0.2">
      <c r="A252" s="262" t="s">
        <v>465</v>
      </c>
      <c r="B252" s="283">
        <v>0</v>
      </c>
      <c r="C252" s="249" t="s">
        <v>224</v>
      </c>
    </row>
    <row r="253" spans="1:3" x14ac:dyDescent="0.2">
      <c r="A253" s="262" t="s">
        <v>103</v>
      </c>
      <c r="B253" s="283">
        <v>0.4</v>
      </c>
      <c r="C253" s="247"/>
    </row>
    <row r="254" spans="1:3" x14ac:dyDescent="0.2">
      <c r="A254" s="558" t="s">
        <v>434</v>
      </c>
      <c r="B254" s="558"/>
      <c r="C254" s="558"/>
    </row>
    <row r="255" spans="1:3" x14ac:dyDescent="0.2">
      <c r="A255" s="249" t="s">
        <v>435</v>
      </c>
      <c r="B255" s="283">
        <v>60</v>
      </c>
      <c r="C255" s="263" t="s">
        <v>359</v>
      </c>
    </row>
    <row r="256" spans="1:3" x14ac:dyDescent="0.2">
      <c r="A256" s="262" t="s">
        <v>221</v>
      </c>
      <c r="B256" s="283">
        <v>130</v>
      </c>
      <c r="C256" s="249" t="s">
        <v>26</v>
      </c>
    </row>
    <row r="257" spans="1:3" x14ac:dyDescent="0.2">
      <c r="A257" s="262" t="s">
        <v>186</v>
      </c>
      <c r="B257" s="284">
        <v>1</v>
      </c>
      <c r="C257" s="249" t="s">
        <v>69</v>
      </c>
    </row>
    <row r="258" spans="1:3" x14ac:dyDescent="0.2">
      <c r="A258" s="262" t="s">
        <v>436</v>
      </c>
      <c r="B258" s="283">
        <v>330</v>
      </c>
      <c r="C258" s="263" t="s">
        <v>54</v>
      </c>
    </row>
    <row r="259" spans="1:3" x14ac:dyDescent="0.2">
      <c r="A259" s="249" t="s">
        <v>353</v>
      </c>
      <c r="B259" s="284">
        <v>1</v>
      </c>
      <c r="C259" s="247"/>
    </row>
    <row r="260" spans="1:3" x14ac:dyDescent="0.2">
      <c r="A260" s="262" t="s">
        <v>56</v>
      </c>
      <c r="B260" s="284">
        <v>1</v>
      </c>
      <c r="C260" s="247"/>
    </row>
    <row r="261" spans="1:3" x14ac:dyDescent="0.2">
      <c r="A261" s="262" t="s">
        <v>52</v>
      </c>
      <c r="B261" s="284">
        <v>0.4</v>
      </c>
      <c r="C261" s="247"/>
    </row>
    <row r="262" spans="1:3" x14ac:dyDescent="0.2">
      <c r="A262" s="262" t="s">
        <v>62</v>
      </c>
      <c r="B262" s="284">
        <v>1</v>
      </c>
      <c r="C262" s="247"/>
    </row>
    <row r="263" spans="1:3" x14ac:dyDescent="0.2">
      <c r="A263" s="262" t="s">
        <v>471</v>
      </c>
      <c r="B263" s="283">
        <v>8</v>
      </c>
      <c r="C263" s="249" t="s">
        <v>224</v>
      </c>
    </row>
    <row r="264" spans="1:3" x14ac:dyDescent="0.2">
      <c r="A264" s="262" t="s">
        <v>472</v>
      </c>
      <c r="B264" s="283">
        <v>0</v>
      </c>
      <c r="C264" s="249" t="s">
        <v>224</v>
      </c>
    </row>
    <row r="265" spans="1:3" x14ac:dyDescent="0.2">
      <c r="A265" s="262" t="s">
        <v>103</v>
      </c>
      <c r="B265" s="283">
        <v>0.4</v>
      </c>
      <c r="C265" s="247"/>
    </row>
    <row r="266" spans="1:3" x14ac:dyDescent="0.2">
      <c r="A266" s="262" t="s">
        <v>220</v>
      </c>
      <c r="B266" s="283">
        <v>5</v>
      </c>
      <c r="C266" s="249" t="s">
        <v>129</v>
      </c>
    </row>
    <row r="267" spans="1:3" x14ac:dyDescent="0.2">
      <c r="A267" s="262" t="s">
        <v>219</v>
      </c>
      <c r="B267" s="283">
        <v>26</v>
      </c>
      <c r="C267" s="249" t="s">
        <v>130</v>
      </c>
    </row>
    <row r="268" spans="1:3" x14ac:dyDescent="0.2">
      <c r="A268" s="558" t="s">
        <v>437</v>
      </c>
      <c r="B268" s="558"/>
      <c r="C268" s="558"/>
    </row>
    <row r="269" spans="1:3" x14ac:dyDescent="0.2">
      <c r="A269" s="249" t="s">
        <v>435</v>
      </c>
      <c r="B269" s="283">
        <v>60</v>
      </c>
      <c r="C269" s="263" t="s">
        <v>359</v>
      </c>
    </row>
    <row r="270" spans="1:3" x14ac:dyDescent="0.2">
      <c r="A270" s="262" t="s">
        <v>221</v>
      </c>
      <c r="B270" s="283">
        <v>130</v>
      </c>
      <c r="C270" s="249" t="s">
        <v>26</v>
      </c>
    </row>
    <row r="271" spans="1:3" x14ac:dyDescent="0.2">
      <c r="A271" s="262" t="s">
        <v>186</v>
      </c>
      <c r="B271" s="284">
        <v>1</v>
      </c>
      <c r="C271" s="249" t="s">
        <v>69</v>
      </c>
    </row>
    <row r="272" spans="1:3" x14ac:dyDescent="0.2">
      <c r="A272" s="262" t="s">
        <v>436</v>
      </c>
      <c r="B272" s="283">
        <v>330</v>
      </c>
      <c r="C272" s="263" t="s">
        <v>54</v>
      </c>
    </row>
    <row r="273" spans="1:3" x14ac:dyDescent="0.2">
      <c r="A273" s="262" t="s">
        <v>56</v>
      </c>
      <c r="B273" s="284">
        <v>1</v>
      </c>
      <c r="C273" s="247"/>
    </row>
    <row r="274" spans="1:3" x14ac:dyDescent="0.2">
      <c r="A274" s="262" t="s">
        <v>52</v>
      </c>
      <c r="B274" s="284">
        <v>0.4</v>
      </c>
      <c r="C274" s="247"/>
    </row>
    <row r="275" spans="1:3" x14ac:dyDescent="0.2">
      <c r="A275" s="262" t="s">
        <v>62</v>
      </c>
      <c r="B275" s="284">
        <v>1</v>
      </c>
      <c r="C275" s="247"/>
    </row>
    <row r="276" spans="1:3" x14ac:dyDescent="0.2">
      <c r="A276" s="262" t="s">
        <v>471</v>
      </c>
      <c r="B276" s="283">
        <v>8</v>
      </c>
      <c r="C276" s="249" t="s">
        <v>224</v>
      </c>
    </row>
    <row r="277" spans="1:3" x14ac:dyDescent="0.2">
      <c r="A277" s="262" t="s">
        <v>472</v>
      </c>
      <c r="B277" s="283">
        <v>0</v>
      </c>
      <c r="C277" s="249" t="s">
        <v>224</v>
      </c>
    </row>
    <row r="278" spans="1:3" x14ac:dyDescent="0.2">
      <c r="A278" s="262" t="s">
        <v>103</v>
      </c>
      <c r="B278" s="283">
        <v>0.4</v>
      </c>
      <c r="C278" s="247"/>
    </row>
    <row r="279" spans="1:3" x14ac:dyDescent="0.2">
      <c r="A279" s="262" t="s">
        <v>220</v>
      </c>
      <c r="B279" s="283">
        <v>5</v>
      </c>
      <c r="C279" s="249" t="s">
        <v>129</v>
      </c>
    </row>
    <row r="280" spans="1:3" x14ac:dyDescent="0.2">
      <c r="A280" s="262" t="s">
        <v>219</v>
      </c>
      <c r="B280" s="283">
        <v>26</v>
      </c>
      <c r="C280" s="249" t="s">
        <v>130</v>
      </c>
    </row>
    <row r="281" spans="1:3" x14ac:dyDescent="0.2">
      <c r="A281" s="663" t="s">
        <v>576</v>
      </c>
      <c r="B281" s="663"/>
      <c r="C281" s="663"/>
    </row>
    <row r="282" spans="1:3" x14ac:dyDescent="0.2">
      <c r="A282" s="263" t="s">
        <v>577</v>
      </c>
      <c r="B282" s="283">
        <v>1.5</v>
      </c>
    </row>
    <row r="283" spans="1:3" x14ac:dyDescent="0.2">
      <c r="A283" s="249" t="s">
        <v>100</v>
      </c>
      <c r="B283" s="283">
        <v>0.3</v>
      </c>
    </row>
    <row r="284" spans="1:3" x14ac:dyDescent="0.2">
      <c r="A284" s="249" t="s">
        <v>107</v>
      </c>
      <c r="B284" s="283">
        <v>26</v>
      </c>
      <c r="C284" s="249" t="s">
        <v>69</v>
      </c>
    </row>
    <row r="285" spans="1:3" x14ac:dyDescent="0.2">
      <c r="A285" s="263" t="s">
        <v>39</v>
      </c>
      <c r="B285" s="283">
        <v>70</v>
      </c>
      <c r="C285" s="249" t="s">
        <v>69</v>
      </c>
    </row>
    <row r="286" spans="1:3" x14ac:dyDescent="0.2">
      <c r="A286" s="263" t="s">
        <v>83</v>
      </c>
      <c r="B286" s="283">
        <v>1</v>
      </c>
      <c r="C286" s="249" t="s">
        <v>108</v>
      </c>
    </row>
    <row r="287" spans="1:3" x14ac:dyDescent="0.2">
      <c r="A287" s="249" t="s">
        <v>109</v>
      </c>
      <c r="B287" s="283">
        <v>1</v>
      </c>
      <c r="C287" s="249" t="s">
        <v>110</v>
      </c>
    </row>
    <row r="288" spans="1:3" x14ac:dyDescent="0.2">
      <c r="A288" s="249" t="s">
        <v>114</v>
      </c>
      <c r="B288" s="283">
        <v>0.18</v>
      </c>
      <c r="C288" s="249" t="s">
        <v>108</v>
      </c>
    </row>
    <row r="289" spans="1:3" x14ac:dyDescent="0.2">
      <c r="A289" s="249" t="s">
        <v>116</v>
      </c>
      <c r="B289" s="283">
        <v>1</v>
      </c>
      <c r="C289" s="249" t="s">
        <v>113</v>
      </c>
    </row>
    <row r="290" spans="1:3" x14ac:dyDescent="0.2">
      <c r="A290" s="249" t="s">
        <v>118</v>
      </c>
      <c r="B290" s="283">
        <v>1</v>
      </c>
      <c r="C290" s="249" t="s">
        <v>113</v>
      </c>
    </row>
    <row r="291" spans="1:3" x14ac:dyDescent="0.2">
      <c r="A291" s="249" t="s">
        <v>119</v>
      </c>
      <c r="B291" s="283">
        <v>1</v>
      </c>
      <c r="C291" s="249" t="s">
        <v>113</v>
      </c>
    </row>
    <row r="293" spans="1:3" x14ac:dyDescent="0.2">
      <c r="A293" s="77" t="s">
        <v>308</v>
      </c>
      <c r="B293" s="284">
        <v>222</v>
      </c>
      <c r="C293" s="77" t="s">
        <v>309</v>
      </c>
    </row>
    <row r="294" spans="1:3" x14ac:dyDescent="0.2">
      <c r="A294" s="266" t="s">
        <v>310</v>
      </c>
      <c r="B294" s="284">
        <v>2.8000000000000002E-12</v>
      </c>
      <c r="C294" s="77"/>
    </row>
    <row r="295" spans="1:3" x14ac:dyDescent="0.2">
      <c r="A295" s="266" t="s">
        <v>310</v>
      </c>
      <c r="B295" s="284">
        <v>2.8000000000000001E-15</v>
      </c>
      <c r="C295" s="77"/>
    </row>
  </sheetData>
  <mergeCells count="335">
    <mergeCell ref="HC2:HC4"/>
    <mergeCell ref="HD1:HF1"/>
    <mergeCell ref="HD21:HF21"/>
    <mergeCell ref="GX2:GX4"/>
    <mergeCell ref="GY2:GY4"/>
    <mergeCell ref="GZ2:GZ4"/>
    <mergeCell ref="HA2:HA4"/>
    <mergeCell ref="HB2:HB4"/>
    <mergeCell ref="GS2:GS4"/>
    <mergeCell ref="GT2:GT4"/>
    <mergeCell ref="GU2:GU4"/>
    <mergeCell ref="GV2:GV4"/>
    <mergeCell ref="GW2:GW4"/>
    <mergeCell ref="GX1:GZ1"/>
    <mergeCell ref="HA1:HC1"/>
    <mergeCell ref="GU1:GW1"/>
    <mergeCell ref="GN2:GN4"/>
    <mergeCell ref="GO2:GO4"/>
    <mergeCell ref="GP2:GP4"/>
    <mergeCell ref="GQ2:GQ4"/>
    <mergeCell ref="GR2:GR4"/>
    <mergeCell ref="GI2:GI4"/>
    <mergeCell ref="GJ2:GJ4"/>
    <mergeCell ref="GK2:GK4"/>
    <mergeCell ref="GL2:GL4"/>
    <mergeCell ref="GM2:GM4"/>
    <mergeCell ref="GD2:GD4"/>
    <mergeCell ref="GE2:GE4"/>
    <mergeCell ref="GF2:GF4"/>
    <mergeCell ref="GG2:GG4"/>
    <mergeCell ref="GH2:GH4"/>
    <mergeCell ref="FY2:FY4"/>
    <mergeCell ref="FZ2:FZ4"/>
    <mergeCell ref="GA2:GA4"/>
    <mergeCell ref="GB2:GB4"/>
    <mergeCell ref="GC2:GC4"/>
    <mergeCell ref="FT2:FT4"/>
    <mergeCell ref="FU2:FU4"/>
    <mergeCell ref="FV2:FV4"/>
    <mergeCell ref="FW2:FW4"/>
    <mergeCell ref="FX2:FX4"/>
    <mergeCell ref="FO2:FO4"/>
    <mergeCell ref="FP2:FP4"/>
    <mergeCell ref="FQ2:FQ4"/>
    <mergeCell ref="FR2:FR4"/>
    <mergeCell ref="FS2:FS4"/>
    <mergeCell ref="FJ2:FJ4"/>
    <mergeCell ref="FK2:FK4"/>
    <mergeCell ref="FL2:FL4"/>
    <mergeCell ref="FM2:FM4"/>
    <mergeCell ref="FN2:FN4"/>
    <mergeCell ref="FE2:FE4"/>
    <mergeCell ref="FF2:FF4"/>
    <mergeCell ref="FG2:FG4"/>
    <mergeCell ref="FH2:FH4"/>
    <mergeCell ref="FI2:FI4"/>
    <mergeCell ref="EZ2:EZ4"/>
    <mergeCell ref="FA2:FA4"/>
    <mergeCell ref="FB2:FB4"/>
    <mergeCell ref="FC2:FC4"/>
    <mergeCell ref="FD2:FD4"/>
    <mergeCell ref="EU2:EU4"/>
    <mergeCell ref="EV2:EV4"/>
    <mergeCell ref="EW2:EW4"/>
    <mergeCell ref="EX2:EX4"/>
    <mergeCell ref="EY2:EY4"/>
    <mergeCell ref="EP2:EP4"/>
    <mergeCell ref="EQ2:EQ4"/>
    <mergeCell ref="ER2:ER4"/>
    <mergeCell ref="ES2:ES4"/>
    <mergeCell ref="ET2:ET4"/>
    <mergeCell ref="EK2:EK4"/>
    <mergeCell ref="EL2:EL4"/>
    <mergeCell ref="EM2:EM4"/>
    <mergeCell ref="EN2:EN4"/>
    <mergeCell ref="EO2:EO4"/>
    <mergeCell ref="EF2:EF4"/>
    <mergeCell ref="EG2:EG4"/>
    <mergeCell ref="EH2:EH4"/>
    <mergeCell ref="EI2:EI4"/>
    <mergeCell ref="EJ2:EJ4"/>
    <mergeCell ref="EA2:EA4"/>
    <mergeCell ref="EB2:EB4"/>
    <mergeCell ref="EC2:EC4"/>
    <mergeCell ref="ED2:ED4"/>
    <mergeCell ref="EE2:EE4"/>
    <mergeCell ref="DV2:DV4"/>
    <mergeCell ref="DW2:DW4"/>
    <mergeCell ref="DX2:DX4"/>
    <mergeCell ref="DY2:DY4"/>
    <mergeCell ref="DZ2:DZ4"/>
    <mergeCell ref="DQ2:DQ4"/>
    <mergeCell ref="DR2:DR4"/>
    <mergeCell ref="DS2:DS4"/>
    <mergeCell ref="DT2:DT4"/>
    <mergeCell ref="DU2:DU4"/>
    <mergeCell ref="DL2:DL4"/>
    <mergeCell ref="DM2:DM4"/>
    <mergeCell ref="DN2:DN4"/>
    <mergeCell ref="DO2:DO4"/>
    <mergeCell ref="DP2:DP4"/>
    <mergeCell ref="GI1:GK1"/>
    <mergeCell ref="GL1:GN1"/>
    <mergeCell ref="GO1:GQ1"/>
    <mergeCell ref="GR1:GT1"/>
    <mergeCell ref="FT1:FV1"/>
    <mergeCell ref="FW1:FY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P19:CP21"/>
    <mergeCell ref="CQ19:CQ21"/>
    <mergeCell ref="CR19:CR21"/>
    <mergeCell ref="CS19:CS21"/>
    <mergeCell ref="CT1:CV1"/>
    <mergeCell ref="DC2:DC4"/>
    <mergeCell ref="DD2:DD4"/>
    <mergeCell ref="DE2:DE4"/>
    <mergeCell ref="DF2:DF4"/>
    <mergeCell ref="DG2:DG4"/>
    <mergeCell ref="DH2:DH4"/>
    <mergeCell ref="DI2:DI4"/>
    <mergeCell ref="DJ2:DJ4"/>
    <mergeCell ref="DK2:DK4"/>
    <mergeCell ref="CK19:CK21"/>
    <mergeCell ref="CL19:CL21"/>
    <mergeCell ref="CM19:CM21"/>
    <mergeCell ref="CN19:CN21"/>
    <mergeCell ref="CO19:CO21"/>
    <mergeCell ref="CC35:CG38"/>
    <mergeCell ref="CK1:CM1"/>
    <mergeCell ref="CN1:CP1"/>
    <mergeCell ref="CQ1:CS1"/>
    <mergeCell ref="CK2:CK4"/>
    <mergeCell ref="CL2:CL4"/>
    <mergeCell ref="CM2:CM4"/>
    <mergeCell ref="CN2:CN4"/>
    <mergeCell ref="CO2:CO4"/>
    <mergeCell ref="CP2:CP4"/>
    <mergeCell ref="CQ2:CQ4"/>
    <mergeCell ref="CR2:CR4"/>
    <mergeCell ref="CS2:CS4"/>
    <mergeCell ref="CK18:CM18"/>
    <mergeCell ref="CN18:CP18"/>
    <mergeCell ref="CQ18:CS18"/>
    <mergeCell ref="CI2:CI4"/>
    <mergeCell ref="CJ2:CJ4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CB1:CD1"/>
    <mergeCell ref="CE1:CG1"/>
    <mergeCell ref="CH1:CJ1"/>
    <mergeCell ref="BV2:BV4"/>
    <mergeCell ref="BW2:BW4"/>
    <mergeCell ref="BX2:BX4"/>
    <mergeCell ref="BY2:BY4"/>
    <mergeCell ref="BZ2:BZ4"/>
    <mergeCell ref="CA2:CA4"/>
    <mergeCell ref="CB2:CB4"/>
    <mergeCell ref="CC2:CC4"/>
    <mergeCell ref="CD2:CD4"/>
    <mergeCell ref="CE2:CE4"/>
    <mergeCell ref="CF2:CF4"/>
    <mergeCell ref="CG2:CG4"/>
    <mergeCell ref="CH2:CH4"/>
    <mergeCell ref="BK40:BO43"/>
    <mergeCell ref="AF42:AH44"/>
    <mergeCell ref="BS1:BU1"/>
    <mergeCell ref="BV1:BX1"/>
    <mergeCell ref="BY1:CA1"/>
    <mergeCell ref="BL21:BL23"/>
    <mergeCell ref="BM21:BM23"/>
    <mergeCell ref="BN21:BN23"/>
    <mergeCell ref="BO21:BO23"/>
    <mergeCell ref="BR2:BR4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BM2:BM4"/>
    <mergeCell ref="BN2:BN4"/>
    <mergeCell ref="BO2:BO4"/>
    <mergeCell ref="BP2:BP4"/>
    <mergeCell ref="BQ2:BQ4"/>
    <mergeCell ref="BH2:BH4"/>
    <mergeCell ref="BF2:BF4"/>
    <mergeCell ref="BG2:BG4"/>
    <mergeCell ref="V23:X23"/>
    <mergeCell ref="Y23:AA23"/>
    <mergeCell ref="BD21:BD23"/>
    <mergeCell ref="BE21:BE23"/>
    <mergeCell ref="BF21:BF23"/>
    <mergeCell ref="BJ21:BJ23"/>
    <mergeCell ref="BK21:BK23"/>
    <mergeCell ref="AV21:AV23"/>
    <mergeCell ref="AW21:AW23"/>
    <mergeCell ref="BA21:BA23"/>
    <mergeCell ref="BB21:BB23"/>
    <mergeCell ref="BC21:BC23"/>
    <mergeCell ref="AN21:AN23"/>
    <mergeCell ref="AR21:AR23"/>
    <mergeCell ref="AS21:AS23"/>
    <mergeCell ref="AT21:AT23"/>
    <mergeCell ref="AU21:AU23"/>
    <mergeCell ref="AI21:AI23"/>
    <mergeCell ref="AJ21:AJ23"/>
    <mergeCell ref="AK21:AK23"/>
    <mergeCell ref="AL21:AL23"/>
    <mergeCell ref="AM21:AM23"/>
    <mergeCell ref="AP2:AP4"/>
    <mergeCell ref="AQ2:AQ4"/>
    <mergeCell ref="AR2:AR4"/>
    <mergeCell ref="BD1:BF1"/>
    <mergeCell ref="BG1:BI1"/>
    <mergeCell ref="BJ1:BL1"/>
    <mergeCell ref="BM1:BO1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BI2:BI4"/>
    <mergeCell ref="BJ2:BJ4"/>
    <mergeCell ref="BK2:BK4"/>
    <mergeCell ref="BL2:BL4"/>
    <mergeCell ref="BC2:BC4"/>
    <mergeCell ref="BD2:BD4"/>
    <mergeCell ref="BE2:BE4"/>
    <mergeCell ref="BP1:BR1"/>
    <mergeCell ref="AO1:AQ1"/>
    <mergeCell ref="AR1:AT1"/>
    <mergeCell ref="AU1:AW1"/>
    <mergeCell ref="AX1:AZ1"/>
    <mergeCell ref="BA1:BC1"/>
    <mergeCell ref="V1:X1"/>
    <mergeCell ref="Y1:AA1"/>
    <mergeCell ref="AB1:AB4"/>
    <mergeCell ref="AI1:AK1"/>
    <mergeCell ref="AL1:AN1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N2:AN4"/>
    <mergeCell ref="AO2:AO4"/>
    <mergeCell ref="A242:C242"/>
    <mergeCell ref="A254:C254"/>
    <mergeCell ref="A268:C268"/>
    <mergeCell ref="A281:C281"/>
    <mergeCell ref="U2:U4"/>
    <mergeCell ref="M20:O20"/>
    <mergeCell ref="P20:R20"/>
    <mergeCell ref="M21:M23"/>
    <mergeCell ref="N21:N23"/>
    <mergeCell ref="O21:O23"/>
    <mergeCell ref="P21:P23"/>
    <mergeCell ref="Q21:Q23"/>
    <mergeCell ref="R21:R23"/>
    <mergeCell ref="P2:P4"/>
    <mergeCell ref="Q2:Q4"/>
    <mergeCell ref="R2:R4"/>
    <mergeCell ref="S2:S4"/>
    <mergeCell ref="T2:T4"/>
    <mergeCell ref="D1:F1"/>
    <mergeCell ref="D29:F29"/>
    <mergeCell ref="D41:F41"/>
    <mergeCell ref="A50:C50"/>
    <mergeCell ref="A98:C98"/>
    <mergeCell ref="A132:C132"/>
    <mergeCell ref="A218:C218"/>
    <mergeCell ref="A230:C230"/>
    <mergeCell ref="A1:C1"/>
    <mergeCell ref="A14:C17"/>
    <mergeCell ref="A2:C2"/>
    <mergeCell ref="G1:I1"/>
    <mergeCell ref="J1:L1"/>
    <mergeCell ref="M1:O1"/>
    <mergeCell ref="P1:R1"/>
    <mergeCell ref="S1:U1"/>
    <mergeCell ref="G2:G4"/>
    <mergeCell ref="H2:H4"/>
    <mergeCell ref="I2:I4"/>
    <mergeCell ref="J2:J4"/>
    <mergeCell ref="K2:K4"/>
    <mergeCell ref="L2:L4"/>
    <mergeCell ref="M2:M4"/>
    <mergeCell ref="N2:N4"/>
    <mergeCell ref="O2:O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1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2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2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85546875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9.85546875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.28515625" style="249" bestFit="1" customWidth="1"/>
    <col min="128" max="128" width="12" style="249" bestFit="1" customWidth="1"/>
    <col min="129" max="129" width="9.28515625" style="289" bestFit="1" customWidth="1"/>
    <col min="130" max="130" width="6.285156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.28515625" style="249" bestFit="1" customWidth="1"/>
    <col min="143" max="143" width="12" style="249" bestFit="1" customWidth="1"/>
    <col min="144" max="144" width="9.28515625" style="289" bestFit="1" customWidth="1"/>
    <col min="145" max="145" width="6.28515625" style="249" bestFit="1" customWidth="1"/>
    <col min="146" max="146" width="12" style="249" bestFit="1" customWidth="1"/>
    <col min="147" max="147" width="9.2851562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6.285156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9.2851562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6.285156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3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6.285156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6.285156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thickTop="1" thickBot="1" x14ac:dyDescent="0.25">
      <c r="A1" s="603" t="s">
        <v>0</v>
      </c>
      <c r="B1" s="604"/>
      <c r="C1" s="605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1/((1/H10)+(1/H12)+(1/H13))</f>
        <v>16.097212215779209</v>
      </c>
      <c r="I2" s="625" t="s">
        <v>14</v>
      </c>
      <c r="J2" s="619" t="s">
        <v>507</v>
      </c>
      <c r="K2" s="623">
        <f>1/((1/K14)+(1/K15)+(1/K16+(1/K17)))</f>
        <v>9.4086427661518446</v>
      </c>
      <c r="L2" s="621" t="s">
        <v>13</v>
      </c>
      <c r="M2" s="617" t="s">
        <v>516</v>
      </c>
      <c r="N2" s="647">
        <f>(N5*N6*N7)/((1-EXP(-N7*N6))*N10*N15*(N9/365)*N13*(((N14/24)*N12)+((N16/24)*N11)))</f>
        <v>353.21471896776228</v>
      </c>
      <c r="O2" s="615" t="s">
        <v>13</v>
      </c>
      <c r="P2" s="639" t="s">
        <v>516</v>
      </c>
      <c r="Q2" s="647">
        <f>(Q5*Q6*Q7)/((1-EXP(-Q7*Q6))*Q10*Q15*(Q9/365)*Q13*(((Q14/24)*Q12)+((Q16/24)*Q11)))</f>
        <v>111.66999422131413</v>
      </c>
      <c r="R2" s="637" t="s">
        <v>13</v>
      </c>
      <c r="S2" s="641" t="s">
        <v>516</v>
      </c>
      <c r="T2" s="647">
        <f>(T5*T6*T7)/((1-EXP(-T7*T6))*T10*T15*(T9/365)*T13*(((T14/24)*T12)+((T16/24)*T11)))</f>
        <v>55.505170123505501</v>
      </c>
      <c r="U2" s="643" t="s">
        <v>13</v>
      </c>
      <c r="V2" s="55"/>
      <c r="W2" s="357"/>
      <c r="X2" s="56"/>
      <c r="Y2" s="57"/>
      <c r="Z2" s="357"/>
      <c r="AA2" s="58"/>
      <c r="AB2" s="650"/>
      <c r="AC2" s="660">
        <f>1/((1/AC32)+(1/AC33)+(1/AC34))</f>
        <v>1713.2526811160535</v>
      </c>
      <c r="AD2" s="657">
        <f>1/((1/AD32)+(1/AD33)+(1/AD34))</f>
        <v>3085.3789516309521</v>
      </c>
      <c r="AE2" s="657">
        <f>1/((1/AE32)+(1/AE33)+(1/AE34))</f>
        <v>1713.2526811160535</v>
      </c>
      <c r="AF2" s="657">
        <f>1/((1/AF32)+(1/AF33)+(1/AF34))</f>
        <v>64.739796594983787</v>
      </c>
      <c r="AG2" s="654">
        <f>1/((1/AG32)+(1/AG33)+(1/AG34))</f>
        <v>2147.3064541930116</v>
      </c>
      <c r="AH2" s="652" t="s">
        <v>13</v>
      </c>
      <c r="AI2" s="381" t="s">
        <v>516</v>
      </c>
      <c r="AJ2" s="387">
        <f>(AJ5*AJ6*AJ7)/((1-EXP(-AJ7*AJ6))*AJ15*(AJ9/365)*AJ10*(AJ16/24)*AJ11*AJ13)</f>
        <v>5778.6595972218556</v>
      </c>
      <c r="AK2" s="629" t="s">
        <v>13</v>
      </c>
      <c r="AL2" s="383" t="s">
        <v>516</v>
      </c>
      <c r="AM2" s="387">
        <f>(AM5*AM6*AM7)/((1-EXP(-AM7*AM6))*AM15*(AM9/365)*AM10*(AM16/24)*AM11*AM13)</f>
        <v>11625.995963850421</v>
      </c>
      <c r="AN2" s="629" t="s">
        <v>13</v>
      </c>
      <c r="AO2" s="383" t="s">
        <v>516</v>
      </c>
      <c r="AP2" s="387">
        <f>(AP5*AP6*AP7)/((1-EXP(-AP7*AP6))*AP15*(AP9/365)*AP10*(AP16/24)*AP11*AP13)</f>
        <v>5778.6595972218556</v>
      </c>
      <c r="AQ2" s="635" t="s">
        <v>13</v>
      </c>
      <c r="AR2" s="381" t="s">
        <v>516</v>
      </c>
      <c r="AS2" s="387">
        <f>(AS5*AS6*AS7)/((1-EXP(-AS7*AS6))*AS15*(AS9/365)*AS10*(AS14/24)*AS12*AS13)</f>
        <v>2311.4638388887424</v>
      </c>
      <c r="AT2" s="391" t="s">
        <v>13</v>
      </c>
      <c r="AU2" s="383" t="s">
        <v>516</v>
      </c>
      <c r="AV2" s="387">
        <f>(AV5*AV6*AV7)/((1-EXP(-AV7*AV6))*AV15*(AV9/365)*AV10*(AV14/24)*AV12*AV13)</f>
        <v>4650.3983855401684</v>
      </c>
      <c r="AW2" s="391" t="s">
        <v>13</v>
      </c>
      <c r="AX2" s="383" t="s">
        <v>516</v>
      </c>
      <c r="AY2" s="387">
        <f>(AY5*AY6*AY7)/((1-EXP(-AY7*AY6))*AY15*(AY9/365)*AY10*(AY14/24)*AY12*AY13)</f>
        <v>2311.4638388887424</v>
      </c>
      <c r="AZ2" s="385" t="s">
        <v>13</v>
      </c>
      <c r="BA2" s="381" t="s">
        <v>516</v>
      </c>
      <c r="BB2" s="387">
        <f>(BB5*BB6*BB7)/((1-EXP(-BB7*BB6))*BB15*(BB9/365)*BB10*((BB14+BB16)/24)*BB12*BB13)</f>
        <v>2311.4638388887424</v>
      </c>
      <c r="BC2" s="391" t="s">
        <v>13</v>
      </c>
      <c r="BD2" s="383" t="s">
        <v>516</v>
      </c>
      <c r="BE2" s="387">
        <f>(BE5*BE6*BE7)/((1-EXP(-BE7*BE6))*BE15*(BE9/365)*BE10*((BE14+BE16)/24)*BE12*BE13)</f>
        <v>4650.3983855401684</v>
      </c>
      <c r="BF2" s="391" t="s">
        <v>13</v>
      </c>
      <c r="BG2" s="383" t="s">
        <v>516</v>
      </c>
      <c r="BH2" s="387">
        <f>(BH5*BH6*BH7)/((1-EXP(-BH7*BH6))*BH15*(BH9/365)*BH10*((BH14+BH16)/24)*BH12*BH13)</f>
        <v>2311.4638388887424</v>
      </c>
      <c r="BI2" s="385" t="s">
        <v>13</v>
      </c>
      <c r="BJ2" s="381" t="s">
        <v>558</v>
      </c>
      <c r="BK2" s="389">
        <f>(BK5*BK6*BK7)/((1-EXP(-BK7*BK6))*BK12*BK16*(BK9/365)*BK14*(BK15/24)*BK13)</f>
        <v>12737232.750264458</v>
      </c>
      <c r="BL2" s="391" t="s">
        <v>13</v>
      </c>
      <c r="BM2" s="383" t="s">
        <v>559</v>
      </c>
      <c r="BN2" s="389">
        <f>(BN5*BN6*BN7)/((1-EXP(-BN7*BN6))*BN12*BN16*(BN9/365)*BN14*(BN15/24)*BN13)</f>
        <v>53495282.2990667</v>
      </c>
      <c r="BO2" s="391" t="s">
        <v>13</v>
      </c>
      <c r="BP2" s="383" t="s">
        <v>560</v>
      </c>
      <c r="BQ2" s="389">
        <f>(BQ5*BQ6*BQ7)/((1-EXP(-BQ7*BQ6))*BQ12*BQ16*(BQ9/365)*BQ14*(BQ15/24)*BQ13)</f>
        <v>15449722.207368007</v>
      </c>
      <c r="BR2" s="385" t="s">
        <v>13</v>
      </c>
      <c r="BS2" s="59"/>
      <c r="BT2" s="110"/>
      <c r="BU2" s="250"/>
      <c r="BV2" s="402" t="s">
        <v>563</v>
      </c>
      <c r="BW2" s="400">
        <f>1/((1/BW10)+(1/BW11))</f>
        <v>9.9000096121468761</v>
      </c>
      <c r="BX2" s="404" t="s">
        <v>14</v>
      </c>
      <c r="BY2" s="402" t="s">
        <v>563</v>
      </c>
      <c r="BZ2" s="400">
        <f>1/((1/BZ13)+(1/BZ14)+(1/BZ15))</f>
        <v>513.39353559586175</v>
      </c>
      <c r="CA2" s="398" t="s">
        <v>13</v>
      </c>
      <c r="CB2" s="410" t="s">
        <v>558</v>
      </c>
      <c r="CC2" s="400">
        <f>(CC5*CC6*CC7)/((1-EXP(-CC7*CC6))*CC10*CC14*(CC9/365)*CC12*(CC13/24)*CC11)</f>
        <v>9133235.3321404643</v>
      </c>
      <c r="CD2" s="404" t="s">
        <v>13</v>
      </c>
      <c r="CE2" s="402" t="s">
        <v>559</v>
      </c>
      <c r="CF2" s="400">
        <f>(CF5*CF6*CF7)/((1-EXP(-CF7*CF6))*CF10*CF14*(CF9/365)*CF12*(CF13/24)*CF11)</f>
        <v>38358803.044289216</v>
      </c>
      <c r="CG2" s="404" t="s">
        <v>13</v>
      </c>
      <c r="CH2" s="402" t="s">
        <v>560</v>
      </c>
      <c r="CI2" s="400">
        <f>(CI5*CI6*CI7)/((1-EXP(-CI7*CI6))*CI10*CI14*(CI9/365)*CI12*(CI13/24)*CI11)</f>
        <v>11078226.448610583</v>
      </c>
      <c r="CJ2" s="398" t="s">
        <v>13</v>
      </c>
      <c r="CK2" s="410" t="s">
        <v>510</v>
      </c>
      <c r="CL2" s="400">
        <f>CL5/(CL6*CL7*CL8*CL9)</f>
        <v>38.393390193944207</v>
      </c>
      <c r="CM2" s="404" t="s">
        <v>13</v>
      </c>
      <c r="CN2" s="402" t="s">
        <v>7</v>
      </c>
      <c r="CO2" s="400">
        <f>(CL2/(CO5*((CO10*CO12*CO13*(CO6+CO7))+(CO11*CO12))))*CL12</f>
        <v>213407.35139278942</v>
      </c>
      <c r="CP2" s="412" t="s">
        <v>13</v>
      </c>
      <c r="CQ2" s="402" t="s">
        <v>6</v>
      </c>
      <c r="CR2" s="400">
        <f>CL2/(CR5*CR6*(1/CR7))</f>
        <v>6398898.3656573677</v>
      </c>
      <c r="CS2" s="415" t="s">
        <v>14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(DD5)/(DD6*(DD7+DD10)*DD20)</f>
        <v>0.20624548451292346</v>
      </c>
      <c r="DE2" s="672" t="s">
        <v>13</v>
      </c>
      <c r="DF2" s="670" t="s">
        <v>510</v>
      </c>
      <c r="DG2" s="668">
        <f>(DD2/((1/DG24)*(DG5+DG6+DG7)))</f>
        <v>16.204667061675213</v>
      </c>
      <c r="DH2" s="666" t="s">
        <v>14</v>
      </c>
      <c r="DI2" s="680" t="s">
        <v>510</v>
      </c>
      <c r="DJ2" s="668">
        <f>(DD2/(DJ5+DJ6))*CU11</f>
        <v>0.81242379789792019</v>
      </c>
      <c r="DK2" s="666" t="s">
        <v>14</v>
      </c>
      <c r="DL2" s="680" t="s">
        <v>554</v>
      </c>
      <c r="DM2" s="668">
        <f>(DD2/(DM5+DM6))*((DM9*DD21)/(1-EXP(-DD21*DM9)))</f>
        <v>0.81242379789792019</v>
      </c>
      <c r="DN2" s="666" t="s">
        <v>14</v>
      </c>
      <c r="DO2" s="680" t="s">
        <v>553</v>
      </c>
      <c r="DP2" s="668">
        <f>-(DP5+DP6+DP7)/(DP23+DP24)</f>
        <v>-48.948458444089098</v>
      </c>
      <c r="DQ2" s="678" t="s">
        <v>14</v>
      </c>
      <c r="DR2" s="556" t="s">
        <v>510</v>
      </c>
      <c r="DS2" s="460">
        <f>DS5/(DS6*DS7*DS16)</f>
        <v>0.41249096902584692</v>
      </c>
      <c r="DT2" s="466" t="s">
        <v>13</v>
      </c>
      <c r="DU2" s="464" t="s">
        <v>510</v>
      </c>
      <c r="DV2" s="462">
        <f>DS2/(DV5*(1/DV8)*DV6*(1/DV7))</f>
        <v>10995489.081175527</v>
      </c>
      <c r="DW2" s="480" t="s">
        <v>14</v>
      </c>
      <c r="DX2" s="478" t="s">
        <v>510</v>
      </c>
      <c r="DY2" s="462">
        <f>(DS2/(DY9*(1/DY14)*((DY10*DY12*DY13*(DY5+DY6))+(DY11*DY12))))*CU11</f>
        <v>189228.40825118788</v>
      </c>
      <c r="DZ2" s="480" t="s">
        <v>14</v>
      </c>
      <c r="EA2" s="478" t="s">
        <v>554</v>
      </c>
      <c r="EB2" s="462">
        <f>(DS2/(EB9*(1/EB14)*((EB10*EB12*EB13*(EB5+EB6))+(EB11*EB12))))*((EB15*DS18)/(1-EXP(-DS18*EB15)))</f>
        <v>189228.40825118788</v>
      </c>
      <c r="EC2" s="480" t="s">
        <v>14</v>
      </c>
      <c r="ED2" s="478" t="s">
        <v>553</v>
      </c>
      <c r="EE2" s="462">
        <f>-EE15/((EE10*EE12*EE13*(EE5+EE6))+(EE11*EE12))</f>
        <v>-16.802282392818878</v>
      </c>
      <c r="EF2" s="476" t="s">
        <v>14</v>
      </c>
      <c r="EG2" s="474" t="s">
        <v>510</v>
      </c>
      <c r="EH2" s="472">
        <f>EH5/(EH6*EH7*EH16)</f>
        <v>0.41249096902584692</v>
      </c>
      <c r="EI2" s="470" t="s">
        <v>13</v>
      </c>
      <c r="EJ2" s="468" t="s">
        <v>510</v>
      </c>
      <c r="EK2" s="502">
        <f>EH2/(EK5*EK6*(1/EK7))</f>
        <v>15565.696944371583</v>
      </c>
      <c r="EL2" s="500" t="s">
        <v>14</v>
      </c>
      <c r="EM2" s="504" t="s">
        <v>510</v>
      </c>
      <c r="EN2" s="502">
        <f>(EH2/(EN9*((EN10*EN12*EN13*(EN5+EN6))+(EN11*EN12))))*CU11</f>
        <v>245.43773284916779</v>
      </c>
      <c r="EO2" s="500" t="s">
        <v>13</v>
      </c>
      <c r="EP2" s="504" t="s">
        <v>554</v>
      </c>
      <c r="EQ2" s="502">
        <f>(EH2/(EQ9*((EQ10*EQ12*EQ13*(EQ5+EQ6))+(EQ11*EQ12))))*((EQ14*EH18)/(1-EXP(-EH18*EQ14)))</f>
        <v>245.43773284916779</v>
      </c>
      <c r="ER2" s="500" t="s">
        <v>14</v>
      </c>
      <c r="ES2" s="504" t="s">
        <v>553</v>
      </c>
      <c r="ET2" s="502">
        <f>-ET15/((ET10*ET12*ET13*(ET5+ET6))+(ET11*ET12))</f>
        <v>-15.39462998242915</v>
      </c>
      <c r="EU2" s="514" t="s">
        <v>19</v>
      </c>
      <c r="EV2" s="512" t="s">
        <v>510</v>
      </c>
      <c r="EW2" s="510">
        <f>EW5/(EW6*EW7*EW16)</f>
        <v>0.41249096902584692</v>
      </c>
      <c r="EX2" s="508" t="s">
        <v>13</v>
      </c>
      <c r="EY2" s="506" t="s">
        <v>510</v>
      </c>
      <c r="EZ2" s="494">
        <f>EW2/(EZ5*EZ6*(1/EZ7))</f>
        <v>343742.47418820573</v>
      </c>
      <c r="FA2" s="498" t="s">
        <v>14</v>
      </c>
      <c r="FB2" s="496" t="s">
        <v>510</v>
      </c>
      <c r="FC2" s="494">
        <f>(EW2/(FC9*((FC10*FC12*FC13*(FC5+FC6))+(FC11*FC12))))*CU11</f>
        <v>1955.8595238156836</v>
      </c>
      <c r="FD2" s="498" t="s">
        <v>13</v>
      </c>
      <c r="FE2" s="496" t="s">
        <v>554</v>
      </c>
      <c r="FF2" s="494">
        <f>(EW2/(FF9*((FF10*FF12*FF13*(FF5+FF6))+(FF11*FF12))))*((FF14*EW18)/(1-EXP(-EW18*FF14)))</f>
        <v>1955.8595238156836</v>
      </c>
      <c r="FG2" s="498" t="s">
        <v>14</v>
      </c>
      <c r="FH2" s="496" t="s">
        <v>553</v>
      </c>
      <c r="FI2" s="494">
        <f>-FI15/((FI10*FI12*FI13*(FI5+FI6))+(FI11*FI12))</f>
        <v>-5.5552160701290481</v>
      </c>
      <c r="FJ2" s="492" t="s">
        <v>19</v>
      </c>
      <c r="FK2" s="490" t="s">
        <v>510</v>
      </c>
      <c r="FL2" s="488">
        <f>FL5/(FL6*FL7*FL16)</f>
        <v>0.41249096902584692</v>
      </c>
      <c r="FM2" s="486" t="s">
        <v>13</v>
      </c>
      <c r="FN2" s="484" t="s">
        <v>510</v>
      </c>
      <c r="FO2" s="430">
        <f>FL2/(FO5*(1/FO6))</f>
        <v>1.7187123709410288</v>
      </c>
      <c r="FP2" s="428" t="s">
        <v>14</v>
      </c>
      <c r="FQ2" s="482" t="s">
        <v>510</v>
      </c>
      <c r="FR2" s="430">
        <f>((FL2*FR6)/FR5)*CU11</f>
        <v>7.0415245748317E-3</v>
      </c>
      <c r="FS2" s="428" t="s">
        <v>13</v>
      </c>
      <c r="FT2" s="426" t="s">
        <v>554</v>
      </c>
      <c r="FU2" s="430">
        <f>((FL2*FU6)/FU5)*((FU7*FL18)/(1-EXP(-FL18*FU7)))</f>
        <v>7.0415245748317E-3</v>
      </c>
      <c r="FV2" s="428" t="s">
        <v>14</v>
      </c>
      <c r="FW2" s="426" t="s">
        <v>553</v>
      </c>
      <c r="FX2" s="430">
        <f>-FX5/FX6</f>
        <v>-4.0000000000000001E-3</v>
      </c>
      <c r="FY2" s="438" t="s">
        <v>19</v>
      </c>
      <c r="FZ2" s="436" t="s">
        <v>510</v>
      </c>
      <c r="GA2" s="434">
        <f>GA5/(GA6*GA7*GA16)</f>
        <v>0.41249096902584692</v>
      </c>
      <c r="GB2" s="432" t="s">
        <v>13</v>
      </c>
      <c r="GC2" s="458" t="s">
        <v>510</v>
      </c>
      <c r="GD2" s="417">
        <f>(GA2/(GD5*GD6*(1/GD7)))</f>
        <v>171871.23709410286</v>
      </c>
      <c r="GE2" s="421" t="s">
        <v>14</v>
      </c>
      <c r="GF2" s="419" t="s">
        <v>510</v>
      </c>
      <c r="GG2" s="417">
        <f>(GA2/((GG9)*((GG10*GG12*GG13*(GG5+GG6))+(GG11*GG12))))*CU11</f>
        <v>977.92976190784179</v>
      </c>
      <c r="GH2" s="421" t="s">
        <v>13</v>
      </c>
      <c r="GI2" s="419" t="s">
        <v>554</v>
      </c>
      <c r="GJ2" s="417">
        <f>(GA2/((GJ9)*((GJ10*GJ12*GJ13*(GJ5+GJ6))+(GJ11*GJ12))))*((GJ14*GA18)/(1-EXP(-GA18*GJ14)))</f>
        <v>977.92976190784179</v>
      </c>
      <c r="GK2" s="421" t="s">
        <v>14</v>
      </c>
      <c r="GL2" s="419" t="s">
        <v>553</v>
      </c>
      <c r="GM2" s="417">
        <f>-GM15/((GM10*GM12*GM13*(GM5+GM6))+(GM11*GM12))</f>
        <v>-5.5552160701290481</v>
      </c>
      <c r="GN2" s="456" t="s">
        <v>19</v>
      </c>
      <c r="GO2" s="454" t="s">
        <v>510</v>
      </c>
      <c r="GP2" s="452">
        <f>GP5/(GP6*GP7*GP15)</f>
        <v>0.41249096902584692</v>
      </c>
      <c r="GQ2" s="450" t="s">
        <v>13</v>
      </c>
      <c r="GR2" s="448" t="s">
        <v>510</v>
      </c>
      <c r="GS2" s="442">
        <f>GP2/(GS5*GS6*(1/GS7))</f>
        <v>212843.63726823882</v>
      </c>
      <c r="GT2" s="446" t="s">
        <v>14</v>
      </c>
      <c r="GU2" s="444" t="s">
        <v>510</v>
      </c>
      <c r="GV2" s="442">
        <f>(GP2/((GV9)*((GV10*GV12*GV13*(GV5+GV6))+(GV11*GV12))))*CU11</f>
        <v>1608.4644999083287</v>
      </c>
      <c r="GW2" s="446" t="s">
        <v>13</v>
      </c>
      <c r="GX2" s="444" t="s">
        <v>554</v>
      </c>
      <c r="GY2" s="442">
        <f>(GP2/((GY9)*((GY10*GY12*GY13*(GY5+GY6))+(GY11*GY12))))*((GY14*GP17)/(1-EXP(-GP17*GY14)))</f>
        <v>1608.4644999083287</v>
      </c>
      <c r="GZ2" s="446" t="s">
        <v>14</v>
      </c>
      <c r="HA2" s="444" t="s">
        <v>553</v>
      </c>
      <c r="HB2" s="442">
        <f>-HB15/((HB10*HB12*HB13*(HB5+HB6))+(HB11*HB12))</f>
        <v>-7.3781469900331578</v>
      </c>
      <c r="HC2" s="440" t="s">
        <v>19</v>
      </c>
      <c r="HD2" s="251"/>
      <c r="HE2" s="350"/>
      <c r="HF2" s="252"/>
    </row>
    <row r="3" spans="1:214" ht="13.5" thickTop="1" x14ac:dyDescent="0.2">
      <c r="A3" s="278" t="s">
        <v>456</v>
      </c>
      <c r="B3" s="362">
        <v>2.41E-4</v>
      </c>
      <c r="C3" s="240"/>
      <c r="D3" s="317" t="s">
        <v>15</v>
      </c>
      <c r="E3" s="285">
        <f>1/((1/E20)+(1/E21))</f>
        <v>4.3796831886034658E-3</v>
      </c>
      <c r="F3" s="253" t="s">
        <v>10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8.4427447172175527E-2</v>
      </c>
      <c r="X3" s="254" t="s">
        <v>10</v>
      </c>
      <c r="Y3" s="321" t="s">
        <v>16</v>
      </c>
      <c r="Z3" s="358">
        <f>1/((1/Z18)+(1/Z19))</f>
        <v>8.4427447172175527E-2</v>
      </c>
      <c r="AA3" s="255" t="s">
        <v>10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5.9294172399554611E-2</v>
      </c>
      <c r="BU3" s="250" t="s">
        <v>10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6.9805522555810504E-3</v>
      </c>
      <c r="CV3" s="71" t="s">
        <v>13</v>
      </c>
      <c r="CW3" s="326" t="s">
        <v>15</v>
      </c>
      <c r="CX3" s="117">
        <f>1/((1/CX20)+(1/CX21))</f>
        <v>4.6716612806191561E-3</v>
      </c>
      <c r="CY3" s="256" t="s">
        <v>10</v>
      </c>
      <c r="CZ3" s="338" t="s">
        <v>285</v>
      </c>
      <c r="DA3" s="336">
        <f>1/((1/DA13)+(1/DA15)+(1/DA16)+(1/DA17)+(1/DA18)+(1/DA19)+(1/DA20)+(1/DA21)+(1/DA22))</f>
        <v>1.3715740856215328</v>
      </c>
      <c r="DB3" s="72" t="s">
        <v>13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6.5539736189611064E-2</v>
      </c>
      <c r="HF3" s="252" t="s">
        <v>13</v>
      </c>
    </row>
    <row r="4" spans="1:214" ht="13.5" thickBot="1" x14ac:dyDescent="0.25">
      <c r="A4" s="279" t="s">
        <v>457</v>
      </c>
      <c r="B4" s="363">
        <v>0.753</v>
      </c>
      <c r="C4" s="241"/>
      <c r="D4" s="318" t="s">
        <v>16</v>
      </c>
      <c r="E4" s="286">
        <f>1/((1/E22)+(1/E23))</f>
        <v>4.4502834228704767E-3</v>
      </c>
      <c r="F4" s="257" t="s">
        <v>10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8.4089917221186541E-2</v>
      </c>
      <c r="X4" s="258" t="s">
        <v>10</v>
      </c>
      <c r="Y4" s="322" t="s">
        <v>15</v>
      </c>
      <c r="Z4" s="359">
        <f>1/((1/Z16)+(1/Z17))</f>
        <v>8.4089917221186541E-2</v>
      </c>
      <c r="AA4" s="259" t="s">
        <v>10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6.0538718152836311E-2</v>
      </c>
      <c r="BU4" s="260" t="s">
        <v>10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0.81023741885598066</v>
      </c>
      <c r="CV4" s="73" t="s">
        <v>13</v>
      </c>
      <c r="CW4" s="327" t="s">
        <v>16</v>
      </c>
      <c r="CX4" s="106">
        <f>1/((1/CX22)+(1/CX23))</f>
        <v>4.7849218794472461E-3</v>
      </c>
      <c r="CY4" s="261" t="s">
        <v>10</v>
      </c>
      <c r="CZ4" s="339" t="s">
        <v>11</v>
      </c>
      <c r="DA4" s="337">
        <f>1/((1/DA15)+(1/DA16)+(1/DA13))</f>
        <v>6.7943724788946049</v>
      </c>
      <c r="DB4" s="74" t="s">
        <v>13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7.0333802800690265E-2</v>
      </c>
      <c r="HF4" s="75" t="s">
        <v>13</v>
      </c>
    </row>
    <row r="5" spans="1:214" ht="14.25" thickTop="1" thickBot="1" x14ac:dyDescent="0.25">
      <c r="A5" s="589" t="s">
        <v>281</v>
      </c>
      <c r="B5" s="590"/>
      <c r="C5" s="591"/>
      <c r="D5" s="249" t="s">
        <v>17</v>
      </c>
      <c r="E5" s="287">
        <f>B18</f>
        <v>1.0000000000000001E-5</v>
      </c>
      <c r="G5" s="262" t="s">
        <v>17</v>
      </c>
      <c r="H5" s="287">
        <f>B18</f>
        <v>1.0000000000000001E-5</v>
      </c>
      <c r="J5" s="262" t="s">
        <v>17</v>
      </c>
      <c r="K5" s="287">
        <f>B18</f>
        <v>1.0000000000000001E-5</v>
      </c>
      <c r="M5" s="249" t="s">
        <v>17</v>
      </c>
      <c r="N5" s="287">
        <f>B18</f>
        <v>1.0000000000000001E-5</v>
      </c>
      <c r="P5" s="249" t="s">
        <v>17</v>
      </c>
      <c r="Q5" s="287">
        <f>B18</f>
        <v>1.0000000000000001E-5</v>
      </c>
      <c r="S5" s="249" t="s">
        <v>17</v>
      </c>
      <c r="T5" s="287">
        <f>B18</f>
        <v>1.0000000000000001E-5</v>
      </c>
      <c r="V5" s="249" t="s">
        <v>17</v>
      </c>
      <c r="W5" s="287">
        <f>B18</f>
        <v>1.0000000000000001E-5</v>
      </c>
      <c r="Y5" s="249" t="s">
        <v>17</v>
      </c>
      <c r="Z5" s="287">
        <f>B18</f>
        <v>1.0000000000000001E-5</v>
      </c>
      <c r="AB5" s="262" t="s">
        <v>17</v>
      </c>
      <c r="AC5" s="287">
        <f>B18</f>
        <v>1.0000000000000001E-5</v>
      </c>
      <c r="AD5" s="287">
        <f>B18</f>
        <v>1.0000000000000001E-5</v>
      </c>
      <c r="AE5" s="287">
        <f>B18</f>
        <v>1.0000000000000001E-5</v>
      </c>
      <c r="AF5" s="287">
        <f>B18</f>
        <v>1.0000000000000001E-5</v>
      </c>
      <c r="AG5" s="287">
        <f>B18</f>
        <v>1.0000000000000001E-5</v>
      </c>
      <c r="AI5" s="249" t="s">
        <v>17</v>
      </c>
      <c r="AJ5" s="287">
        <f>B18</f>
        <v>1.0000000000000001E-5</v>
      </c>
      <c r="AL5" s="249" t="s">
        <v>17</v>
      </c>
      <c r="AM5" s="287">
        <f>B18</f>
        <v>1.0000000000000001E-5</v>
      </c>
      <c r="AO5" s="249" t="s">
        <v>17</v>
      </c>
      <c r="AP5" s="287">
        <f>B18</f>
        <v>1.0000000000000001E-5</v>
      </c>
      <c r="AR5" s="249" t="s">
        <v>17</v>
      </c>
      <c r="AS5" s="287">
        <f>B18</f>
        <v>1.0000000000000001E-5</v>
      </c>
      <c r="AU5" s="249" t="s">
        <v>17</v>
      </c>
      <c r="AV5" s="287">
        <f>B18</f>
        <v>1.0000000000000001E-5</v>
      </c>
      <c r="AX5" s="249" t="s">
        <v>17</v>
      </c>
      <c r="AY5" s="287">
        <f>B18</f>
        <v>1.0000000000000001E-5</v>
      </c>
      <c r="BA5" s="249" t="s">
        <v>17</v>
      </c>
      <c r="BB5" s="287">
        <f>B18</f>
        <v>1.0000000000000001E-5</v>
      </c>
      <c r="BD5" s="249" t="s">
        <v>17</v>
      </c>
      <c r="BE5" s="287">
        <f>B18</f>
        <v>1.0000000000000001E-5</v>
      </c>
      <c r="BG5" s="249" t="s">
        <v>17</v>
      </c>
      <c r="BH5" s="287">
        <f>B18</f>
        <v>1.0000000000000001E-5</v>
      </c>
      <c r="BJ5" s="249" t="s">
        <v>17</v>
      </c>
      <c r="BK5" s="287">
        <f>B18</f>
        <v>1.0000000000000001E-5</v>
      </c>
      <c r="BM5" s="249" t="s">
        <v>17</v>
      </c>
      <c r="BN5" s="287">
        <f>B18</f>
        <v>1.0000000000000001E-5</v>
      </c>
      <c r="BP5" s="249" t="s">
        <v>17</v>
      </c>
      <c r="BQ5" s="287">
        <f>B18</f>
        <v>1.0000000000000001E-5</v>
      </c>
      <c r="BS5" s="249" t="s">
        <v>17</v>
      </c>
      <c r="BT5" s="287">
        <f>B18</f>
        <v>1.0000000000000001E-5</v>
      </c>
      <c r="BV5" s="262" t="s">
        <v>17</v>
      </c>
      <c r="BW5" s="287">
        <f>B18</f>
        <v>1.0000000000000001E-5</v>
      </c>
      <c r="BY5" s="262" t="s">
        <v>17</v>
      </c>
      <c r="BZ5" s="287">
        <f>B18</f>
        <v>1.0000000000000001E-5</v>
      </c>
      <c r="CB5" s="249" t="s">
        <v>17</v>
      </c>
      <c r="CC5" s="287">
        <f>B18</f>
        <v>1.0000000000000001E-5</v>
      </c>
      <c r="CE5" s="249" t="s">
        <v>17</v>
      </c>
      <c r="CF5" s="287">
        <f>B18</f>
        <v>1.0000000000000001E-5</v>
      </c>
      <c r="CH5" s="249" t="s">
        <v>17</v>
      </c>
      <c r="CI5" s="287">
        <f>B18</f>
        <v>1.0000000000000001E-5</v>
      </c>
      <c r="CK5" s="249" t="s">
        <v>17</v>
      </c>
      <c r="CL5" s="287">
        <f>B18</f>
        <v>1.0000000000000001E-5</v>
      </c>
      <c r="CM5" s="76"/>
      <c r="CN5" s="262" t="s">
        <v>264</v>
      </c>
      <c r="CO5" s="287">
        <f>B43</f>
        <v>6.0000000000000001E-3</v>
      </c>
      <c r="CQ5" s="262" t="s">
        <v>264</v>
      </c>
      <c r="CR5" s="287">
        <f>CO5</f>
        <v>6.0000000000000001E-3</v>
      </c>
      <c r="CT5" s="262" t="s">
        <v>17</v>
      </c>
      <c r="CU5" s="287">
        <f>B18</f>
        <v>1.0000000000000001E-5</v>
      </c>
      <c r="CW5" s="249" t="s">
        <v>17</v>
      </c>
      <c r="CX5" s="287">
        <f>B18</f>
        <v>1.0000000000000001E-5</v>
      </c>
      <c r="CZ5" s="262" t="s">
        <v>17</v>
      </c>
      <c r="DA5" s="287">
        <f>B18</f>
        <v>1.0000000000000001E-5</v>
      </c>
      <c r="DC5" s="262" t="s">
        <v>17</v>
      </c>
      <c r="DD5" s="287">
        <f>B18</f>
        <v>1.0000000000000001E-5</v>
      </c>
      <c r="DF5" s="249" t="s">
        <v>18</v>
      </c>
      <c r="DG5" s="118">
        <f>(DG8*DG9*DG10*((1-EXP(-DG11*DG12))))/(DG13*DG11)</f>
        <v>6.6877504027585484E-4</v>
      </c>
      <c r="DH5" s="249" t="s">
        <v>19</v>
      </c>
      <c r="DI5" s="262" t="s">
        <v>20</v>
      </c>
      <c r="DJ5" s="305">
        <f>DJ7</f>
        <v>1.914E-5</v>
      </c>
      <c r="DK5" s="262"/>
      <c r="DL5" s="262" t="s">
        <v>20</v>
      </c>
      <c r="DM5" s="305">
        <f>DM7</f>
        <v>1.914E-5</v>
      </c>
      <c r="DO5" s="249" t="s">
        <v>18</v>
      </c>
      <c r="DP5" s="118">
        <f>(DP8*DP9*DP10*((1-EXP(-DP11*DP12))))/(DP13*DP11)</f>
        <v>6.6877504027585484E-4</v>
      </c>
      <c r="DQ5" s="249" t="s">
        <v>19</v>
      </c>
      <c r="DR5" s="262" t="s">
        <v>17</v>
      </c>
      <c r="DS5" s="287">
        <f>B18</f>
        <v>1.0000000000000001E-5</v>
      </c>
      <c r="DU5" s="262" t="s">
        <v>278</v>
      </c>
      <c r="DV5" s="310">
        <f>B37</f>
        <v>4.2E-7</v>
      </c>
      <c r="DW5" s="262"/>
      <c r="DX5" s="262" t="s">
        <v>21</v>
      </c>
      <c r="DY5" s="305">
        <f>DY7</f>
        <v>2.1999999999999999E-5</v>
      </c>
      <c r="DZ5" s="262"/>
      <c r="EA5" s="262" t="s">
        <v>21</v>
      </c>
      <c r="EB5" s="305">
        <f>EB7</f>
        <v>2.1999999999999999E-5</v>
      </c>
      <c r="EC5" s="263"/>
      <c r="ED5" s="262" t="s">
        <v>21</v>
      </c>
      <c r="EE5" s="305">
        <f>EE7</f>
        <v>2.1999999999999999E-5</v>
      </c>
      <c r="EF5" s="263"/>
      <c r="EG5" s="262" t="s">
        <v>17</v>
      </c>
      <c r="EH5" s="287">
        <f>B18</f>
        <v>1.0000000000000001E-5</v>
      </c>
      <c r="EJ5" s="262" t="s">
        <v>275</v>
      </c>
      <c r="EK5" s="310">
        <f>B38</f>
        <v>5.0000000000000001E-4</v>
      </c>
      <c r="EL5" s="262"/>
      <c r="EM5" s="262" t="s">
        <v>21</v>
      </c>
      <c r="EN5" s="305">
        <f>EN7</f>
        <v>2.1999999999999999E-5</v>
      </c>
      <c r="EO5" s="262"/>
      <c r="EP5" s="262" t="s">
        <v>21</v>
      </c>
      <c r="EQ5" s="305">
        <f>EQ7</f>
        <v>2.1999999999999999E-5</v>
      </c>
      <c r="ER5" s="263"/>
      <c r="ES5" s="262" t="s">
        <v>21</v>
      </c>
      <c r="ET5" s="305">
        <f>ET7</f>
        <v>2.1999999999999999E-5</v>
      </c>
      <c r="EU5" s="263"/>
      <c r="EV5" s="262" t="s">
        <v>17</v>
      </c>
      <c r="EW5" s="287">
        <f>B18</f>
        <v>1.0000000000000001E-5</v>
      </c>
      <c r="EY5" s="262" t="s">
        <v>201</v>
      </c>
      <c r="EZ5" s="310">
        <f>B40</f>
        <v>3.0000000000000001E-3</v>
      </c>
      <c r="FA5" s="262"/>
      <c r="FB5" s="262" t="s">
        <v>21</v>
      </c>
      <c r="FC5" s="305">
        <f>FC7</f>
        <v>2.1999999999999999E-5</v>
      </c>
      <c r="FD5" s="262"/>
      <c r="FE5" s="262" t="s">
        <v>21</v>
      </c>
      <c r="FF5" s="305">
        <f>FF7</f>
        <v>2.1999999999999999E-5</v>
      </c>
      <c r="FG5" s="263"/>
      <c r="FH5" s="263" t="s">
        <v>21</v>
      </c>
      <c r="FI5" s="290">
        <f>FI7</f>
        <v>2.1999999999999999E-5</v>
      </c>
      <c r="FJ5" s="263"/>
      <c r="FK5" s="262" t="s">
        <v>17</v>
      </c>
      <c r="FL5" s="287">
        <f>B18</f>
        <v>1.0000000000000001E-5</v>
      </c>
      <c r="FN5" s="263" t="s">
        <v>122</v>
      </c>
      <c r="FO5" s="308">
        <f>B36</f>
        <v>240</v>
      </c>
      <c r="FP5" s="263"/>
      <c r="FQ5" s="263" t="s">
        <v>122</v>
      </c>
      <c r="FR5" s="298">
        <f>B36</f>
        <v>240</v>
      </c>
      <c r="FS5" s="263"/>
      <c r="FT5" s="263" t="s">
        <v>122</v>
      </c>
      <c r="FU5" s="298">
        <f>B36</f>
        <v>240</v>
      </c>
      <c r="FV5" s="263"/>
      <c r="FW5" s="262" t="s">
        <v>181</v>
      </c>
      <c r="FX5" s="305">
        <f>B46</f>
        <v>4</v>
      </c>
      <c r="FY5" s="249" t="s">
        <v>19</v>
      </c>
      <c r="FZ5" s="262" t="s">
        <v>17</v>
      </c>
      <c r="GA5" s="287">
        <f>B18</f>
        <v>1.0000000000000001E-5</v>
      </c>
      <c r="GC5" s="263" t="s">
        <v>276</v>
      </c>
      <c r="GD5" s="310">
        <f>B39</f>
        <v>6.0000000000000001E-3</v>
      </c>
      <c r="GE5" s="262"/>
      <c r="GF5" s="262" t="s">
        <v>21</v>
      </c>
      <c r="GG5" s="305">
        <f>GG7</f>
        <v>2.1999999999999999E-5</v>
      </c>
      <c r="GH5" s="262"/>
      <c r="GI5" s="262" t="s">
        <v>21</v>
      </c>
      <c r="GJ5" s="305">
        <f>GJ7</f>
        <v>2.1999999999999999E-5</v>
      </c>
      <c r="GK5" s="262"/>
      <c r="GL5" s="262" t="s">
        <v>21</v>
      </c>
      <c r="GM5" s="305">
        <f>GM7</f>
        <v>2.1999999999999999E-5</v>
      </c>
      <c r="GN5" s="263"/>
      <c r="GO5" s="262" t="s">
        <v>17</v>
      </c>
      <c r="GP5" s="287">
        <f>B18</f>
        <v>1.0000000000000001E-5</v>
      </c>
      <c r="GR5" s="263" t="s">
        <v>277</v>
      </c>
      <c r="GS5" s="310">
        <f>B41</f>
        <v>1.7000000000000001E-4</v>
      </c>
      <c r="GT5" s="262"/>
      <c r="GU5" s="262" t="s">
        <v>21</v>
      </c>
      <c r="GV5" s="305">
        <f>GV7</f>
        <v>2.1999999999999999E-5</v>
      </c>
      <c r="GW5" s="262"/>
      <c r="GX5" s="262" t="s">
        <v>21</v>
      </c>
      <c r="GY5" s="305">
        <f>GY7</f>
        <v>2.1999999999999999E-5</v>
      </c>
      <c r="GZ5" s="262"/>
      <c r="HA5" s="262" t="s">
        <v>21</v>
      </c>
      <c r="HB5" s="305">
        <f>HB7</f>
        <v>2.1999999999999999E-5</v>
      </c>
      <c r="HC5" s="263"/>
      <c r="HD5" s="265" t="s">
        <v>22</v>
      </c>
      <c r="HE5" s="293">
        <f>B47</f>
        <v>15</v>
      </c>
      <c r="HF5" s="262" t="s">
        <v>14</v>
      </c>
    </row>
    <row r="6" spans="1:214" ht="13.5" thickTop="1" x14ac:dyDescent="0.2">
      <c r="A6" s="278" t="s">
        <v>454</v>
      </c>
      <c r="B6" s="362">
        <v>1.17E-4</v>
      </c>
      <c r="C6" s="240"/>
      <c r="D6" s="262" t="s">
        <v>23</v>
      </c>
      <c r="E6" s="288">
        <f>0.693/E7</f>
        <v>1.6034243405830633E-3</v>
      </c>
      <c r="G6" s="262" t="s">
        <v>439</v>
      </c>
      <c r="H6" s="287">
        <f>B20</f>
        <v>1.036E-10</v>
      </c>
      <c r="I6" s="262" t="s">
        <v>35</v>
      </c>
      <c r="J6" s="262" t="s">
        <v>316</v>
      </c>
      <c r="K6" s="287">
        <f>B21</f>
        <v>1.8425999999999999E-10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1.6034243405830633E-3</v>
      </c>
      <c r="Y6" s="262" t="s">
        <v>23</v>
      </c>
      <c r="Z6" s="288">
        <f>0.693/Z7</f>
        <v>1.6034243405830633E-3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BK12</f>
        <v>5</v>
      </c>
      <c r="BR6" s="249" t="s">
        <v>69</v>
      </c>
      <c r="BS6" s="262" t="s">
        <v>23</v>
      </c>
      <c r="BT6" s="288">
        <f>0.693/BT7</f>
        <v>1.6034243405830633E-3</v>
      </c>
      <c r="BV6" s="262" t="s">
        <v>163</v>
      </c>
      <c r="BW6" s="287">
        <f>B20</f>
        <v>1.036E-10</v>
      </c>
      <c r="BX6" s="262" t="s">
        <v>35</v>
      </c>
      <c r="BY6" s="262" t="s">
        <v>45</v>
      </c>
      <c r="BZ6" s="287">
        <f>B21</f>
        <v>1.8425999999999999E-10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1.3357000000000001E-10</v>
      </c>
      <c r="CM6" s="266" t="s">
        <v>13</v>
      </c>
      <c r="CN6" s="263" t="s">
        <v>21</v>
      </c>
      <c r="CO6" s="290">
        <f>CO8</f>
        <v>2.1999999999999999E-5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1.8425999999999999E-10</v>
      </c>
      <c r="CV6" s="262" t="s">
        <v>35</v>
      </c>
      <c r="CW6" s="262" t="s">
        <v>23</v>
      </c>
      <c r="CX6" s="288">
        <f>0.693/CX7</f>
        <v>1.6034243405830633E-3</v>
      </c>
      <c r="CZ6" s="262" t="s">
        <v>163</v>
      </c>
      <c r="DA6" s="287">
        <f>B20</f>
        <v>1.036E-10</v>
      </c>
      <c r="DB6" s="262" t="s">
        <v>35</v>
      </c>
      <c r="DC6" s="262" t="s">
        <v>438</v>
      </c>
      <c r="DD6" s="287">
        <f>B30</f>
        <v>1.3357000000000001E-10</v>
      </c>
      <c r="DE6" s="267" t="s">
        <v>35</v>
      </c>
      <c r="DF6" s="249" t="s">
        <v>27</v>
      </c>
      <c r="DG6" s="118">
        <f>(DG8*DG9*DG14*((1-EXP(-DG11*DG12))))/(DG13*DG11)</f>
        <v>9.0847184154504852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9.0847184154504852</v>
      </c>
      <c r="DQ6" s="249" t="s">
        <v>19</v>
      </c>
      <c r="DR6" s="262" t="s">
        <v>438</v>
      </c>
      <c r="DS6" s="287">
        <f>B30</f>
        <v>1.3357000000000001E-10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1.3357000000000001E-10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1.3357000000000001E-10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1.3357000000000001E-10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4</v>
      </c>
      <c r="FS6" s="249" t="s">
        <v>19</v>
      </c>
      <c r="FT6" s="262" t="s">
        <v>181</v>
      </c>
      <c r="FU6" s="305">
        <f>B46</f>
        <v>4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1.3357000000000001E-10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1.3357000000000001E-10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16.097212215779209</v>
      </c>
      <c r="HF6" s="262" t="s">
        <v>14</v>
      </c>
    </row>
    <row r="7" spans="1:214" x14ac:dyDescent="0.2">
      <c r="A7" s="279" t="s">
        <v>455</v>
      </c>
      <c r="B7" s="363">
        <v>0.74299999999999999</v>
      </c>
      <c r="C7" s="241"/>
      <c r="D7" s="266" t="s">
        <v>270</v>
      </c>
      <c r="E7" s="287">
        <f>B31</f>
        <v>432.2</v>
      </c>
      <c r="F7" s="249" t="s">
        <v>69</v>
      </c>
      <c r="G7" s="262" t="s">
        <v>43</v>
      </c>
      <c r="H7" s="290">
        <f>B19</f>
        <v>3.7739999999999999E-8</v>
      </c>
      <c r="I7" s="263" t="s">
        <v>35</v>
      </c>
      <c r="J7" s="262" t="s">
        <v>43</v>
      </c>
      <c r="K7" s="290">
        <f>B19</f>
        <v>3.7739999999999999E-8</v>
      </c>
      <c r="L7" s="263" t="s">
        <v>35</v>
      </c>
      <c r="M7" s="262" t="s">
        <v>23</v>
      </c>
      <c r="N7" s="288">
        <f>0.693/N8</f>
        <v>1.6034243405830633E-3</v>
      </c>
      <c r="P7" s="262" t="s">
        <v>23</v>
      </c>
      <c r="Q7" s="288">
        <f>0.693/Q8</f>
        <v>1.6034243405830633E-3</v>
      </c>
      <c r="S7" s="262" t="s">
        <v>23</v>
      </c>
      <c r="T7" s="288">
        <f>0.693/T8</f>
        <v>1.6034243405830633E-3</v>
      </c>
      <c r="V7" s="266" t="s">
        <v>270</v>
      </c>
      <c r="W7" s="287">
        <f>B31</f>
        <v>432.2</v>
      </c>
      <c r="X7" s="249" t="s">
        <v>69</v>
      </c>
      <c r="Y7" s="266" t="s">
        <v>270</v>
      </c>
      <c r="Z7" s="287">
        <f>B31</f>
        <v>432.2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1.6034243405830633E-3</v>
      </c>
      <c r="AL7" s="262" t="s">
        <v>23</v>
      </c>
      <c r="AM7" s="288">
        <f>0.693/AM8</f>
        <v>1.6034243405830633E-3</v>
      </c>
      <c r="AO7" s="262" t="s">
        <v>23</v>
      </c>
      <c r="AP7" s="288">
        <f>0.693/AP8</f>
        <v>1.6034243405830633E-3</v>
      </c>
      <c r="AR7" s="262" t="s">
        <v>23</v>
      </c>
      <c r="AS7" s="288">
        <f>0.693/AS8</f>
        <v>1.6034243405830633E-3</v>
      </c>
      <c r="AU7" s="262" t="s">
        <v>23</v>
      </c>
      <c r="AV7" s="288">
        <f>0.693/AV8</f>
        <v>1.6034243405830633E-3</v>
      </c>
      <c r="AX7" s="262" t="s">
        <v>23</v>
      </c>
      <c r="AY7" s="288">
        <f>0.693/AY8</f>
        <v>1.6034243405830633E-3</v>
      </c>
      <c r="BA7" s="262" t="s">
        <v>23</v>
      </c>
      <c r="BB7" s="288">
        <f>0.693/BB8</f>
        <v>1.6034243405830633E-3</v>
      </c>
      <c r="BD7" s="262" t="s">
        <v>23</v>
      </c>
      <c r="BE7" s="288">
        <f>0.693/BE8</f>
        <v>1.6034243405830633E-3</v>
      </c>
      <c r="BG7" s="262" t="s">
        <v>23</v>
      </c>
      <c r="BH7" s="288">
        <f>0.693/BH8</f>
        <v>1.6034243405830633E-3</v>
      </c>
      <c r="BJ7" s="262" t="s">
        <v>23</v>
      </c>
      <c r="BK7" s="288">
        <f>0.693/BK8</f>
        <v>1.6034243405830633E-3</v>
      </c>
      <c r="BM7" s="262" t="s">
        <v>23</v>
      </c>
      <c r="BN7" s="288">
        <f>0.693/BN8</f>
        <v>1.6034243405830633E-3</v>
      </c>
      <c r="BP7" s="262" t="s">
        <v>23</v>
      </c>
      <c r="BQ7" s="288">
        <f>0.693/BQ8</f>
        <v>1.6034243405830633E-3</v>
      </c>
      <c r="BS7" s="266" t="s">
        <v>270</v>
      </c>
      <c r="BT7" s="287">
        <f>B31</f>
        <v>432.2</v>
      </c>
      <c r="BU7" s="249" t="s">
        <v>69</v>
      </c>
      <c r="BV7" s="262" t="s">
        <v>43</v>
      </c>
      <c r="BW7" s="290">
        <f>E10</f>
        <v>3.7739999999999999E-8</v>
      </c>
      <c r="BX7" s="263" t="s">
        <v>35</v>
      </c>
      <c r="BY7" s="262" t="s">
        <v>43</v>
      </c>
      <c r="BZ7" s="290">
        <f>B19</f>
        <v>3.7739999999999999E-8</v>
      </c>
      <c r="CA7" s="263" t="s">
        <v>35</v>
      </c>
      <c r="CB7" s="262" t="s">
        <v>23</v>
      </c>
      <c r="CC7" s="288">
        <f>0.693/CC8</f>
        <v>1.6034243405830633E-3</v>
      </c>
      <c r="CE7" s="262" t="s">
        <v>23</v>
      </c>
      <c r="CF7" s="288">
        <f>0.693/CF8</f>
        <v>1.6034243405830633E-3</v>
      </c>
      <c r="CH7" s="262" t="s">
        <v>23</v>
      </c>
      <c r="CI7" s="288">
        <f>0.693/CI8</f>
        <v>1.6034243405830633E-3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3.7739999999999999E-8</v>
      </c>
      <c r="CV7" s="263" t="s">
        <v>35</v>
      </c>
      <c r="CW7" s="266" t="s">
        <v>270</v>
      </c>
      <c r="CX7" s="287">
        <f>B31</f>
        <v>432.2</v>
      </c>
      <c r="CY7" s="249" t="s">
        <v>69</v>
      </c>
      <c r="CZ7" s="263" t="s">
        <v>43</v>
      </c>
      <c r="DA7" s="290">
        <f>B19</f>
        <v>3.7739999999999999E-8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3.6421488784670224</v>
      </c>
      <c r="DH7" s="249" t="s">
        <v>19</v>
      </c>
      <c r="DI7" s="262" t="s">
        <v>37</v>
      </c>
      <c r="DJ7" s="287">
        <f>B44</f>
        <v>1.914E-5</v>
      </c>
      <c r="DL7" s="262" t="s">
        <v>37</v>
      </c>
      <c r="DM7" s="287">
        <f>B44</f>
        <v>1.914E-5</v>
      </c>
      <c r="DO7" s="249" t="s">
        <v>36</v>
      </c>
      <c r="DP7" s="118">
        <f>(DP8*DP9*DP15*DP21*((1-EXP(-DP16*DP17))))/(DP18*DP16)</f>
        <v>3.6421488784670224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2.1999999999999999E-5</v>
      </c>
      <c r="EA7" s="262" t="s">
        <v>38</v>
      </c>
      <c r="EB7" s="287">
        <f>B45</f>
        <v>2.1999999999999999E-5</v>
      </c>
      <c r="EC7" s="263"/>
      <c r="ED7" s="262" t="s">
        <v>38</v>
      </c>
      <c r="EE7" s="287">
        <f>B45</f>
        <v>2.1999999999999999E-5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2.1999999999999999E-5</v>
      </c>
      <c r="EP7" s="262" t="s">
        <v>38</v>
      </c>
      <c r="EQ7" s="287">
        <f>B45</f>
        <v>2.1999999999999999E-5</v>
      </c>
      <c r="ER7" s="263"/>
      <c r="ES7" s="262" t="s">
        <v>38</v>
      </c>
      <c r="ET7" s="287">
        <f>B45</f>
        <v>2.1999999999999999E-5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2.1999999999999999E-5</v>
      </c>
      <c r="FD7" s="262"/>
      <c r="FE7" s="262" t="s">
        <v>38</v>
      </c>
      <c r="FF7" s="305">
        <f>B45</f>
        <v>2.1999999999999999E-5</v>
      </c>
      <c r="FG7" s="263"/>
      <c r="FH7" s="263" t="s">
        <v>38</v>
      </c>
      <c r="FI7" s="290">
        <f>B45</f>
        <v>2.1999999999999999E-5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2.1999999999999999E-5</v>
      </c>
      <c r="GH7" s="262"/>
      <c r="GI7" s="262" t="s">
        <v>38</v>
      </c>
      <c r="GJ7" s="305">
        <f>B45</f>
        <v>2.1999999999999999E-5</v>
      </c>
      <c r="GK7" s="262"/>
      <c r="GL7" s="262" t="s">
        <v>38</v>
      </c>
      <c r="GM7" s="305">
        <f>B45</f>
        <v>2.1999999999999999E-5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2.1999999999999999E-5</v>
      </c>
      <c r="GW7" s="262"/>
      <c r="GX7" s="262" t="s">
        <v>38</v>
      </c>
      <c r="GY7" s="305">
        <f>B45</f>
        <v>2.1999999999999999E-5</v>
      </c>
      <c r="GZ7" s="262"/>
      <c r="HA7" s="262" t="s">
        <v>38</v>
      </c>
      <c r="HB7" s="305">
        <f>B45</f>
        <v>2.1999999999999999E-5</v>
      </c>
      <c r="HC7" s="263"/>
      <c r="HD7" s="262" t="s">
        <v>23</v>
      </c>
      <c r="HE7" s="288">
        <f>0.693/HE8</f>
        <v>1.6034243405830633E-3</v>
      </c>
    </row>
    <row r="8" spans="1:214" x14ac:dyDescent="0.2">
      <c r="A8" s="279" t="s">
        <v>458</v>
      </c>
      <c r="B8" s="363">
        <v>1.35E-4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1.319423256E-13</v>
      </c>
      <c r="I8" s="263" t="s">
        <v>35</v>
      </c>
      <c r="J8" s="262" t="s">
        <v>71</v>
      </c>
      <c r="K8" s="287">
        <f>B23</f>
        <v>2.767285944E-8</v>
      </c>
      <c r="L8" s="262" t="s">
        <v>445</v>
      </c>
      <c r="M8" s="266" t="s">
        <v>270</v>
      </c>
      <c r="N8" s="287">
        <f>B31</f>
        <v>432.2</v>
      </c>
      <c r="O8" s="249" t="s">
        <v>69</v>
      </c>
      <c r="P8" s="266" t="s">
        <v>270</v>
      </c>
      <c r="Q8" s="287">
        <f>B31</f>
        <v>432.2</v>
      </c>
      <c r="R8" s="249" t="s">
        <v>69</v>
      </c>
      <c r="S8" s="266" t="s">
        <v>270</v>
      </c>
      <c r="T8" s="287">
        <f>B31</f>
        <v>432.2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432.2</v>
      </c>
      <c r="AK8" s="249" t="s">
        <v>69</v>
      </c>
      <c r="AL8" s="266" t="s">
        <v>270</v>
      </c>
      <c r="AM8" s="287">
        <f>B31</f>
        <v>432.2</v>
      </c>
      <c r="AN8" s="249" t="s">
        <v>69</v>
      </c>
      <c r="AO8" s="266" t="s">
        <v>270</v>
      </c>
      <c r="AP8" s="287">
        <f>B31</f>
        <v>432.2</v>
      </c>
      <c r="AQ8" s="249" t="s">
        <v>69</v>
      </c>
      <c r="AR8" s="266" t="s">
        <v>270</v>
      </c>
      <c r="AS8" s="287">
        <f>B31</f>
        <v>432.2</v>
      </c>
      <c r="AT8" s="249" t="s">
        <v>69</v>
      </c>
      <c r="AU8" s="266" t="s">
        <v>270</v>
      </c>
      <c r="AV8" s="287">
        <f>B31</f>
        <v>432.2</v>
      </c>
      <c r="AW8" s="249" t="s">
        <v>69</v>
      </c>
      <c r="AX8" s="266" t="s">
        <v>270</v>
      </c>
      <c r="AY8" s="287">
        <f>B31</f>
        <v>432.2</v>
      </c>
      <c r="AZ8" s="249" t="s">
        <v>69</v>
      </c>
      <c r="BA8" s="266" t="s">
        <v>270</v>
      </c>
      <c r="BB8" s="287">
        <f>B31</f>
        <v>432.2</v>
      </c>
      <c r="BC8" s="249" t="s">
        <v>69</v>
      </c>
      <c r="BD8" s="266" t="s">
        <v>270</v>
      </c>
      <c r="BE8" s="287">
        <f>B31</f>
        <v>432.2</v>
      </c>
      <c r="BF8" s="249" t="s">
        <v>69</v>
      </c>
      <c r="BG8" s="266" t="s">
        <v>270</v>
      </c>
      <c r="BH8" s="287">
        <f>B31</f>
        <v>432.2</v>
      </c>
      <c r="BI8" s="249" t="s">
        <v>69</v>
      </c>
      <c r="BJ8" s="266" t="s">
        <v>270</v>
      </c>
      <c r="BK8" s="287">
        <f>B31</f>
        <v>432.2</v>
      </c>
      <c r="BL8" s="249" t="s">
        <v>69</v>
      </c>
      <c r="BM8" s="266" t="s">
        <v>270</v>
      </c>
      <c r="BN8" s="287">
        <f>B31</f>
        <v>432.2</v>
      </c>
      <c r="BO8" s="249" t="s">
        <v>69</v>
      </c>
      <c r="BP8" s="266" t="s">
        <v>270</v>
      </c>
      <c r="BQ8" s="287">
        <f>B31</f>
        <v>432.2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1.319423256E-13</v>
      </c>
      <c r="BX8" s="263" t="s">
        <v>35</v>
      </c>
      <c r="BY8" s="262" t="s">
        <v>71</v>
      </c>
      <c r="BZ8" s="287">
        <f>B23</f>
        <v>2.767285944E-8</v>
      </c>
      <c r="CA8" s="262" t="s">
        <v>95</v>
      </c>
      <c r="CB8" s="266" t="s">
        <v>270</v>
      </c>
      <c r="CC8" s="287">
        <f>B31</f>
        <v>432.2</v>
      </c>
      <c r="CD8" s="249" t="s">
        <v>69</v>
      </c>
      <c r="CE8" s="266" t="s">
        <v>270</v>
      </c>
      <c r="CF8" s="287">
        <f>B31</f>
        <v>432.2</v>
      </c>
      <c r="CG8" s="249" t="s">
        <v>69</v>
      </c>
      <c r="CH8" s="266" t="s">
        <v>270</v>
      </c>
      <c r="CI8" s="287">
        <f>B31</f>
        <v>432.2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2.1999999999999999E-5</v>
      </c>
      <c r="CT8" s="262" t="s">
        <v>71</v>
      </c>
      <c r="CU8" s="287">
        <f>B23</f>
        <v>2.767285944E-8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1.319423256E-13</v>
      </c>
      <c r="DB8" s="262" t="s">
        <v>35</v>
      </c>
      <c r="DC8" s="262" t="s">
        <v>380</v>
      </c>
      <c r="DD8" s="297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432.2</v>
      </c>
      <c r="HF8" s="249" t="s">
        <v>69</v>
      </c>
    </row>
    <row r="9" spans="1:214" x14ac:dyDescent="0.2">
      <c r="A9" s="279" t="s">
        <v>459</v>
      </c>
      <c r="B9" s="363">
        <v>0.71099999999999997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1.3357000000000001E-10</v>
      </c>
      <c r="I9" s="267" t="s">
        <v>35</v>
      </c>
      <c r="J9" s="262" t="s">
        <v>438</v>
      </c>
      <c r="K9" s="287">
        <f>B30</f>
        <v>1.3357000000000001E-10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9.1019999999999999E-11</v>
      </c>
      <c r="AD9" s="287">
        <f>B22</f>
        <v>9.1019999999999999E-11</v>
      </c>
      <c r="AE9" s="287">
        <f>B22</f>
        <v>9.1019999999999999E-11</v>
      </c>
      <c r="AF9" s="287">
        <f>B22</f>
        <v>9.1019999999999999E-11</v>
      </c>
      <c r="AG9" s="287">
        <f>B22</f>
        <v>9.1019999999999999E-11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1.3357000000000001E-10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331</v>
      </c>
      <c r="CO9" s="306">
        <f>B49</f>
        <v>0.25</v>
      </c>
      <c r="CT9" s="262" t="s">
        <v>256</v>
      </c>
      <c r="CU9" s="287">
        <f>B30</f>
        <v>1.3357000000000001E-10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1.3357000000000001E-10</v>
      </c>
      <c r="DB9" s="263" t="s">
        <v>35</v>
      </c>
      <c r="DC9" s="262" t="s">
        <v>381</v>
      </c>
      <c r="DD9" s="297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4.2E-7</v>
      </c>
      <c r="EA9" s="262" t="s">
        <v>278</v>
      </c>
      <c r="EB9" s="287">
        <f>B37</f>
        <v>4.2E-7</v>
      </c>
      <c r="EC9" s="263"/>
      <c r="ED9" s="262" t="s">
        <v>278</v>
      </c>
      <c r="EE9" s="287">
        <f>B37</f>
        <v>4.2E-7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5.0000000000000001E-4</v>
      </c>
      <c r="EP9" s="262" t="s">
        <v>275</v>
      </c>
      <c r="EQ9" s="310">
        <f>B38</f>
        <v>5.0000000000000001E-4</v>
      </c>
      <c r="ER9" s="263"/>
      <c r="ES9" s="262" t="s">
        <v>275</v>
      </c>
      <c r="ET9" s="310">
        <f>B38</f>
        <v>5.0000000000000001E-4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3.0000000000000001E-3</v>
      </c>
      <c r="FD9" s="262"/>
      <c r="FE9" s="262" t="s">
        <v>201</v>
      </c>
      <c r="FF9" s="310">
        <f>B40</f>
        <v>3.0000000000000001E-3</v>
      </c>
      <c r="FG9" s="263"/>
      <c r="FH9" s="262" t="s">
        <v>201</v>
      </c>
      <c r="FI9" s="310">
        <f>B40</f>
        <v>3.0000000000000001E-3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6.0000000000000001E-3</v>
      </c>
      <c r="GH9" s="262"/>
      <c r="GI9" s="262" t="s">
        <v>276</v>
      </c>
      <c r="GJ9" s="310">
        <f>B39</f>
        <v>6.0000000000000001E-3</v>
      </c>
      <c r="GK9" s="262"/>
      <c r="GL9" s="262" t="s">
        <v>276</v>
      </c>
      <c r="GM9" s="310">
        <f>B39</f>
        <v>6.0000000000000001E-3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1.7000000000000001E-4</v>
      </c>
      <c r="GW9" s="262"/>
      <c r="GX9" s="262" t="s">
        <v>277</v>
      </c>
      <c r="GY9" s="310">
        <f>B41</f>
        <v>1.7000000000000001E-4</v>
      </c>
      <c r="GZ9" s="262"/>
      <c r="HA9" s="262" t="s">
        <v>277</v>
      </c>
      <c r="HB9" s="310">
        <f>B41</f>
        <v>1.7000000000000001E-4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2.2599999999999999E-4</v>
      </c>
      <c r="C10" s="185"/>
      <c r="D10" s="88" t="s">
        <v>43</v>
      </c>
      <c r="E10" s="187">
        <f>B19</f>
        <v>3.7739999999999999E-8</v>
      </c>
      <c r="F10" s="188" t="s">
        <v>35</v>
      </c>
      <c r="G10" s="266" t="s">
        <v>80</v>
      </c>
      <c r="H10" s="294">
        <f>H5/(H6*H15)</f>
        <v>17.550017550017554</v>
      </c>
      <c r="I10" s="271" t="s">
        <v>14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3.7739999999999999E-8</v>
      </c>
      <c r="X10" s="263" t="s">
        <v>44</v>
      </c>
      <c r="Y10" s="249" t="s">
        <v>43</v>
      </c>
      <c r="Z10" s="290">
        <f>B19</f>
        <v>3.7739999999999999E-8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3.7739999999999999E-8</v>
      </c>
      <c r="BU10" s="263" t="s">
        <v>35</v>
      </c>
      <c r="BV10" s="266" t="s">
        <v>80</v>
      </c>
      <c r="BW10" s="294">
        <f>BW5/(BW6*BW12)</f>
        <v>9.900009900009902</v>
      </c>
      <c r="BX10" s="271" t="s">
        <v>12</v>
      </c>
      <c r="BY10" s="188" t="s">
        <v>16</v>
      </c>
      <c r="BZ10" s="191">
        <f>(BZ33*BZ11)/(1-EXP(-BZ11*BZ33))</f>
        <v>1.0209893435208997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266" t="s">
        <v>270</v>
      </c>
      <c r="CL10" s="287">
        <f>B31</f>
        <v>432.2</v>
      </c>
      <c r="CM10" s="249" t="s">
        <v>69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3.7739999999999999E-8</v>
      </c>
      <c r="CY10" s="263" t="s">
        <v>35</v>
      </c>
      <c r="CZ10" s="263" t="s">
        <v>16</v>
      </c>
      <c r="DA10" s="288">
        <f>(DA38*DA11)/(1-EXP(-DA11*DA38))</f>
        <v>1.0242441803942341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1.914E-5</v>
      </c>
      <c r="DL10" s="267"/>
      <c r="DO10" s="267" t="s">
        <v>37</v>
      </c>
      <c r="DP10" s="287">
        <f>B44</f>
        <v>1.914E-5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0.66200000000000003</v>
      </c>
      <c r="C11" s="185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H5/(H7*H16*H28)</f>
        <v>1.4014987277019364E-2</v>
      </c>
      <c r="I11" s="271" t="s">
        <v>14</v>
      </c>
      <c r="J11" s="188" t="s">
        <v>16</v>
      </c>
      <c r="K11" s="109">
        <f>(K46*K12)/(1-EXP(-K12*K46))</f>
        <v>1.0161199409242025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BW5/(BW8*(1/BW31)*BW15)</f>
        <v>340475103.18460631</v>
      </c>
      <c r="BX11" s="271" t="s">
        <v>12</v>
      </c>
      <c r="BY11" s="266" t="s">
        <v>23</v>
      </c>
      <c r="BZ11" s="109">
        <f>0.693/BZ12</f>
        <v>1.6034243405830633E-3</v>
      </c>
      <c r="CA11" s="88"/>
      <c r="CB11" s="249" t="s">
        <v>456</v>
      </c>
      <c r="CC11" s="287">
        <f>B3</f>
        <v>2.41E-4</v>
      </c>
      <c r="CE11" s="249" t="s">
        <v>454</v>
      </c>
      <c r="CF11" s="287">
        <f>B6</f>
        <v>1.17E-4</v>
      </c>
      <c r="CH11" s="249" t="s">
        <v>460</v>
      </c>
      <c r="CI11" s="287">
        <f>B10</f>
        <v>2.2599999999999999E-4</v>
      </c>
      <c r="CK11" s="249" t="s">
        <v>23</v>
      </c>
      <c r="CL11" s="288">
        <f>693/CL10</f>
        <v>1.6034243405830635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1.0242441803942341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1.6034243405830633E-3</v>
      </c>
      <c r="DC11" s="262" t="s">
        <v>382</v>
      </c>
      <c r="DD11" s="297">
        <f>B141</f>
        <v>55</v>
      </c>
      <c r="DE11" s="267" t="s">
        <v>254</v>
      </c>
      <c r="DF11" s="267" t="s">
        <v>55</v>
      </c>
      <c r="DG11" s="288">
        <f>DG19+DG20</f>
        <v>3.1394977168949772E-5</v>
      </c>
      <c r="DL11" s="267"/>
      <c r="DO11" s="267" t="s">
        <v>55</v>
      </c>
      <c r="DP11" s="288">
        <f>DP19+DP20</f>
        <v>3.1394977168949772E-5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1.5699999999999999E-5</v>
      </c>
      <c r="C12" s="185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H5/(H8*(1/H45)*H21)</f>
        <v>150892375.27499598</v>
      </c>
      <c r="I12" s="271" t="s">
        <v>14</v>
      </c>
      <c r="J12" s="266" t="s">
        <v>23</v>
      </c>
      <c r="K12" s="109">
        <f>0.693/K13</f>
        <v>1.6034243405830633E-3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432.2</v>
      </c>
      <c r="CA12" s="88" t="s">
        <v>69</v>
      </c>
      <c r="CB12" s="249" t="s">
        <v>457</v>
      </c>
      <c r="CC12" s="287">
        <f>B4</f>
        <v>0.753</v>
      </c>
      <c r="CE12" s="249" t="s">
        <v>455</v>
      </c>
      <c r="CF12" s="287">
        <f>B7</f>
        <v>0.74299999999999999</v>
      </c>
      <c r="CH12" s="249" t="s">
        <v>461</v>
      </c>
      <c r="CI12" s="287">
        <f>B11</f>
        <v>0.66200000000000003</v>
      </c>
      <c r="CK12" s="249" t="s">
        <v>16</v>
      </c>
      <c r="CL12" s="288">
        <f>(CL13*CL11)/(1-EXP(-CL11*CL13))</f>
        <v>41.689032855159653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1.6034243405830633E-3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432.2</v>
      </c>
      <c r="DB12" s="249" t="s">
        <v>69</v>
      </c>
      <c r="DC12" s="262" t="s">
        <v>383</v>
      </c>
      <c r="DD12" s="297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0.80900000000000005</v>
      </c>
      <c r="C13" s="186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>
        <f>H14/((1/H42)*(H50+H51+H52))</f>
        <v>194.45600474010257</v>
      </c>
      <c r="I13" s="271" t="s">
        <v>14</v>
      </c>
      <c r="J13" s="266" t="s">
        <v>270</v>
      </c>
      <c r="K13" s="189">
        <f>B31</f>
        <v>432.2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2.41E-4</v>
      </c>
      <c r="BM13" s="249" t="s">
        <v>454</v>
      </c>
      <c r="BN13" s="287">
        <f>B6</f>
        <v>1.17E-4</v>
      </c>
      <c r="BP13" s="249" t="s">
        <v>460</v>
      </c>
      <c r="BQ13" s="287">
        <f>B10</f>
        <v>2.2599999999999999E-4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>
        <f>(BZ5/(BZ6*BZ16*(1/BZ36)))*BZ10</f>
        <v>516.64572662015769</v>
      </c>
      <c r="CA13" s="271" t="s">
        <v>13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111</v>
      </c>
      <c r="CL13" s="289">
        <f>B109</f>
        <v>26</v>
      </c>
      <c r="CM13" s="249" t="s">
        <v>69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432.2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>
        <f>DA5/(DA6*DA23)</f>
        <v>11.700011700011702</v>
      </c>
      <c r="DB13" s="266" t="s">
        <v>14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thickTop="1" x14ac:dyDescent="0.2">
      <c r="A14" s="583" t="s">
        <v>272</v>
      </c>
      <c r="B14" s="584"/>
      <c r="C14" s="584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>
        <f>H5/(H9*(H22+H25)*H43)</f>
        <v>2.4749458141550815</v>
      </c>
      <c r="I14" s="271" t="s">
        <v>13</v>
      </c>
      <c r="J14" s="266" t="s">
        <v>80</v>
      </c>
      <c r="K14" s="294">
        <f>(K5/(K6*K19*(1/K49)))*K11</f>
        <v>911.50390341729019</v>
      </c>
      <c r="L14" s="271" t="s">
        <v>13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5.8031270640000001E-11</v>
      </c>
      <c r="X14" s="262" t="s">
        <v>64</v>
      </c>
      <c r="Y14" s="262" t="s">
        <v>63</v>
      </c>
      <c r="Z14" s="287">
        <f>B28</f>
        <v>5.8031270640000001E-11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0.753</v>
      </c>
      <c r="BM14" s="249" t="s">
        <v>455</v>
      </c>
      <c r="BN14" s="287">
        <f>B7</f>
        <v>0.74299999999999999</v>
      </c>
      <c r="BP14" s="249" t="s">
        <v>461</v>
      </c>
      <c r="BQ14" s="287">
        <f>B11</f>
        <v>0.66200000000000003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(BZ5/(BZ7*BZ17*(1/BZ9)*BZ35))*BZ10</f>
        <v>82292.978262053352</v>
      </c>
      <c r="CA14" s="271" t="s">
        <v>13</v>
      </c>
      <c r="CB14" s="249" t="s">
        <v>71</v>
      </c>
      <c r="CC14" s="290">
        <f>B23</f>
        <v>2.767285944E-8</v>
      </c>
      <c r="CD14" s="263" t="s">
        <v>72</v>
      </c>
      <c r="CE14" s="249" t="s">
        <v>71</v>
      </c>
      <c r="CF14" s="290">
        <f>B25</f>
        <v>1.3754695536000001E-8</v>
      </c>
      <c r="CG14" s="263" t="s">
        <v>72</v>
      </c>
      <c r="CH14" s="249" t="s">
        <v>71</v>
      </c>
      <c r="CI14" s="290">
        <f>B27</f>
        <v>2.767285944E-8</v>
      </c>
      <c r="CJ14" s="263" t="s">
        <v>72</v>
      </c>
      <c r="CK14" s="263"/>
      <c r="CL14" s="307"/>
      <c r="CM14" s="263"/>
      <c r="CO14" s="308"/>
      <c r="CQ14" s="263"/>
      <c r="CR14" s="307"/>
      <c r="CS14" s="263"/>
      <c r="CT14" s="266" t="s">
        <v>80</v>
      </c>
      <c r="CU14" s="294">
        <f>(CU5/(CU6*CU24*(1/CU47)))*CU11</f>
        <v>612.52780036487809</v>
      </c>
      <c r="CV14" s="271" t="s">
        <v>13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DA5/(DA7*DA24*DA46)</f>
        <v>9.3433248513462436E-3</v>
      </c>
      <c r="DB14" s="266" t="s">
        <v>14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4</v>
      </c>
      <c r="HF14" s="249" t="s">
        <v>19</v>
      </c>
    </row>
    <row r="15" spans="1:214" x14ac:dyDescent="0.2">
      <c r="A15" s="585"/>
      <c r="B15" s="586"/>
      <c r="C15" s="5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(K5/(K7*K20*(1/K10)*K48))*K11</f>
        <v>9679.149824181688</v>
      </c>
      <c r="L15" s="271" t="s">
        <v>13</v>
      </c>
      <c r="M15" s="249" t="s">
        <v>448</v>
      </c>
      <c r="N15" s="290">
        <f>B23</f>
        <v>2.767285944E-8</v>
      </c>
      <c r="O15" s="263" t="s">
        <v>446</v>
      </c>
      <c r="P15" s="249" t="s">
        <v>449</v>
      </c>
      <c r="Q15" s="290">
        <f>B25</f>
        <v>1.3754695536000001E-8</v>
      </c>
      <c r="R15" s="263" t="s">
        <v>446</v>
      </c>
      <c r="S15" s="249" t="s">
        <v>453</v>
      </c>
      <c r="T15" s="290">
        <f>B27</f>
        <v>2.767285944E-8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2.767285944E-8</v>
      </c>
      <c r="AK15" s="263" t="s">
        <v>72</v>
      </c>
      <c r="AL15" s="262" t="s">
        <v>449</v>
      </c>
      <c r="AM15" s="290">
        <f>B25</f>
        <v>1.3754695536000001E-8</v>
      </c>
      <c r="AN15" s="263" t="s">
        <v>72</v>
      </c>
      <c r="AO15" s="262" t="s">
        <v>452</v>
      </c>
      <c r="AP15" s="290">
        <f>B27</f>
        <v>2.767285944E-8</v>
      </c>
      <c r="AQ15" s="263" t="s">
        <v>72</v>
      </c>
      <c r="AR15" s="249" t="s">
        <v>448</v>
      </c>
      <c r="AS15" s="290">
        <f>B23</f>
        <v>2.767285944E-8</v>
      </c>
      <c r="AT15" s="263" t="s">
        <v>72</v>
      </c>
      <c r="AU15" s="262" t="s">
        <v>449</v>
      </c>
      <c r="AV15" s="290">
        <f>B25</f>
        <v>1.3754695536000001E-8</v>
      </c>
      <c r="AW15" s="263" t="s">
        <v>72</v>
      </c>
      <c r="AX15" s="262" t="s">
        <v>452</v>
      </c>
      <c r="AY15" s="290">
        <f>B27</f>
        <v>2.767285944E-8</v>
      </c>
      <c r="AZ15" s="263" t="s">
        <v>72</v>
      </c>
      <c r="BA15" s="249" t="s">
        <v>448</v>
      </c>
      <c r="BB15" s="290">
        <f>B23</f>
        <v>2.767285944E-8</v>
      </c>
      <c r="BC15" s="263" t="s">
        <v>72</v>
      </c>
      <c r="BD15" s="262" t="s">
        <v>449</v>
      </c>
      <c r="BE15" s="290">
        <f>B25</f>
        <v>1.3754695536000001E-8</v>
      </c>
      <c r="BF15" s="263" t="s">
        <v>72</v>
      </c>
      <c r="BG15" s="262" t="s">
        <v>452</v>
      </c>
      <c r="BH15" s="290">
        <f>B27</f>
        <v>2.767285944E-8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((BZ5)/(BZ8*BZ22*(1/BZ34)*BZ25*BZ28*(1/24)*BZ31*BZ32))*BZ10</f>
        <v>9133235.3321404662</v>
      </c>
      <c r="CA15" s="271" t="s">
        <v>13</v>
      </c>
      <c r="CT15" s="266" t="s">
        <v>74</v>
      </c>
      <c r="CU15" s="295">
        <f>(CU5/(CU7*CU25*(1/CU10)*CU46))*CU11</f>
        <v>6504.3587076048998</v>
      </c>
      <c r="CV15" s="271" t="s">
        <v>13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DA5/(DA8*DA25*(DA47/DA48))</f>
        <v>100594916.84999734</v>
      </c>
      <c r="DB15" s="266" t="s">
        <v>14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s="262" customFormat="1" x14ac:dyDescent="0.2">
      <c r="A16" s="585"/>
      <c r="B16" s="586"/>
      <c r="C16" s="5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(K5/(K8*K45*((K40*K44*(1/24))+(K41*K43*(1/24)))*K32*(1/K47)*K34))*K11</f>
        <v>591.36024089599334</v>
      </c>
      <c r="L16" s="271" t="s">
        <v>13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(W5)/((W11/W12)*W8*W9*W10*W13)</f>
        <v>8.4089923662116178E-2</v>
      </c>
      <c r="X16" s="88" t="s">
        <v>15</v>
      </c>
      <c r="Y16" s="88" t="s">
        <v>74</v>
      </c>
      <c r="Z16" s="294">
        <f>(Z5)/((Z11/Z12)*Z8*Z9*Z10*Z13)</f>
        <v>8.4089923662116178E-2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2.41E-4</v>
      </c>
      <c r="AG16" s="305">
        <f>B3</f>
        <v>2.41E-4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2.767285944E-8</v>
      </c>
      <c r="BL16" s="263" t="s">
        <v>72</v>
      </c>
      <c r="BM16" s="262" t="s">
        <v>449</v>
      </c>
      <c r="BN16" s="290">
        <f>B25</f>
        <v>1.3754695536000001E-8</v>
      </c>
      <c r="BO16" s="263" t="s">
        <v>72</v>
      </c>
      <c r="BP16" s="262" t="s">
        <v>452</v>
      </c>
      <c r="BQ16" s="290">
        <f>B27</f>
        <v>2.767285944E-8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C16" s="293"/>
      <c r="CF16" s="293"/>
      <c r="CH16" s="249"/>
      <c r="CI16" s="289"/>
      <c r="CJ16" s="249"/>
      <c r="CL16" s="293"/>
      <c r="CO16" s="293"/>
      <c r="CR16" s="293"/>
      <c r="CT16" s="266" t="s">
        <v>117</v>
      </c>
      <c r="CU16" s="295">
        <f>(CU5*CU44*CU12)/((1-EXP(-CU12*CU44))*CU8*CU31*(1/365)*CU32*((CU38*(1/24)*CU42)+(CU39*(1/24)*CU41))*CU43)</f>
        <v>651.40238713080646</v>
      </c>
      <c r="CV16" s="271" t="s">
        <v>13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>
        <f>DG2</f>
        <v>16.204667061675213</v>
      </c>
      <c r="DB16" s="266" t="s">
        <v>14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4.9504394977168943E-2</v>
      </c>
      <c r="DH16" s="262" t="s">
        <v>82</v>
      </c>
      <c r="DJ16" s="293"/>
      <c r="DL16" s="267"/>
      <c r="DM16" s="293"/>
      <c r="DO16" s="267" t="s">
        <v>81</v>
      </c>
      <c r="DP16" s="299">
        <f>DP20+(0.693/DP22)</f>
        <v>4.9504394977168943E-2</v>
      </c>
      <c r="DQ16" s="262" t="s">
        <v>82</v>
      </c>
      <c r="DR16" s="267" t="s">
        <v>400</v>
      </c>
      <c r="DS16" s="297">
        <f>B175</f>
        <v>2</v>
      </c>
      <c r="DT16" s="249"/>
      <c r="DU16" s="267"/>
      <c r="DV16" s="293"/>
      <c r="DY16" s="293"/>
      <c r="EA16" s="267"/>
      <c r="EB16" s="293"/>
      <c r="ED16" s="267" t="s">
        <v>81</v>
      </c>
      <c r="EE16" s="299">
        <f>EE20+(0.693/EE22)</f>
        <v>4.9504394977168943E-2</v>
      </c>
      <c r="EF16" s="262" t="s">
        <v>82</v>
      </c>
      <c r="EG16" s="267" t="s">
        <v>401</v>
      </c>
      <c r="EH16" s="297">
        <f>B176</f>
        <v>2</v>
      </c>
      <c r="EI16" s="249"/>
      <c r="EJ16" s="267"/>
      <c r="EK16" s="293"/>
      <c r="EN16" s="293"/>
      <c r="EP16" s="267"/>
      <c r="EQ16" s="293"/>
      <c r="ES16" s="267" t="s">
        <v>81</v>
      </c>
      <c r="ET16" s="299">
        <f>ET20+(0.693/ET22)</f>
        <v>4.9504394977168943E-2</v>
      </c>
      <c r="EU16" s="262" t="s">
        <v>82</v>
      </c>
      <c r="EV16" s="267" t="s">
        <v>402</v>
      </c>
      <c r="EW16" s="297">
        <f>B177</f>
        <v>2</v>
      </c>
      <c r="EX16" s="249"/>
      <c r="EZ16" s="293"/>
      <c r="FC16" s="293"/>
      <c r="FF16" s="293"/>
      <c r="FH16" s="262" t="s">
        <v>81</v>
      </c>
      <c r="FI16" s="299">
        <f>FI20+(0.693/FI22)</f>
        <v>4.9504394977168943E-2</v>
      </c>
      <c r="FJ16" s="262" t="s">
        <v>82</v>
      </c>
      <c r="FK16" s="267" t="s">
        <v>403</v>
      </c>
      <c r="FL16" s="297">
        <f>B178</f>
        <v>2</v>
      </c>
      <c r="FM16" s="249"/>
      <c r="FO16" s="293"/>
      <c r="FR16" s="293"/>
      <c r="FU16" s="293"/>
      <c r="FX16" s="293"/>
      <c r="FZ16" s="267" t="s">
        <v>404</v>
      </c>
      <c r="GA16" s="297">
        <f>B179</f>
        <v>2</v>
      </c>
      <c r="GB16" s="249"/>
      <c r="GD16" s="293"/>
      <c r="GG16" s="293"/>
      <c r="GJ16" s="293"/>
      <c r="GL16" s="262" t="s">
        <v>81</v>
      </c>
      <c r="GM16" s="299">
        <f>GM20+(0.693/GM22)</f>
        <v>4.9504394977168943E-2</v>
      </c>
      <c r="GN16" s="262" t="s">
        <v>82</v>
      </c>
      <c r="GP16" s="297">
        <v>365</v>
      </c>
      <c r="GQ16" s="249" t="s">
        <v>26</v>
      </c>
      <c r="GS16" s="293"/>
      <c r="GV16" s="293"/>
      <c r="GY16" s="293"/>
      <c r="HA16" s="262" t="s">
        <v>81</v>
      </c>
      <c r="HB16" s="299">
        <f>HB20+(0.693/HB22)</f>
        <v>4.9504394977168943E-2</v>
      </c>
      <c r="HC16" s="262" t="s">
        <v>82</v>
      </c>
      <c r="HE16" s="293"/>
    </row>
    <row r="17" spans="1:214" ht="13.5" thickBot="1" x14ac:dyDescent="0.25">
      <c r="A17" s="587"/>
      <c r="B17" s="588"/>
      <c r="C17" s="588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>
        <f>(K18/(K50+K51))*K11</f>
        <v>9.6717564501977193</v>
      </c>
      <c r="L17" s="271" t="s">
        <v>13</v>
      </c>
      <c r="M17" s="262"/>
      <c r="N17" s="293"/>
      <c r="O17" s="262"/>
      <c r="P17" s="262"/>
      <c r="Q17" s="293"/>
      <c r="R17" s="262"/>
      <c r="S17" s="262"/>
      <c r="T17" s="293"/>
      <c r="U17" s="262"/>
      <c r="V17" s="88" t="s">
        <v>78</v>
      </c>
      <c r="W17" s="296">
        <f>(W5)/((W11/W12)*W8*W9*W14*(1/365))</f>
        <v>1097840.7022019827</v>
      </c>
      <c r="X17" s="88" t="s">
        <v>15</v>
      </c>
      <c r="Y17" s="88" t="s">
        <v>78</v>
      </c>
      <c r="Z17" s="296">
        <f>(Z5)/((Z11/Z12)*Z8*Z9*Z14*(1/365))</f>
        <v>1097840.7022019827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262"/>
      <c r="AJ17" s="293"/>
      <c r="AK17" s="262"/>
      <c r="AL17" s="262"/>
      <c r="AM17" s="293"/>
      <c r="AN17" s="262"/>
      <c r="AO17" s="262"/>
      <c r="AP17" s="293"/>
      <c r="AQ17" s="262"/>
      <c r="AR17" s="262"/>
      <c r="AS17" s="293"/>
      <c r="AT17" s="262"/>
      <c r="AU17" s="262"/>
      <c r="AV17" s="293"/>
      <c r="AW17" s="262"/>
      <c r="AX17" s="262"/>
      <c r="AY17" s="293"/>
      <c r="AZ17" s="262"/>
      <c r="BA17" s="262"/>
      <c r="BB17" s="293"/>
      <c r="BC17" s="262"/>
      <c r="BD17" s="262"/>
      <c r="BE17" s="293"/>
      <c r="BF17" s="262"/>
      <c r="BG17" s="262"/>
      <c r="BH17" s="293"/>
      <c r="BI17" s="262"/>
      <c r="BJ17" s="262"/>
      <c r="BK17" s="293"/>
      <c r="BL17" s="262"/>
      <c r="BM17" s="262"/>
      <c r="BN17" s="293"/>
      <c r="BO17" s="262"/>
      <c r="BP17" s="262"/>
      <c r="BQ17" s="293"/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0.81242379789792019</v>
      </c>
      <c r="CV17" s="271" t="s">
        <v>13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>
        <f>EZ2</f>
        <v>343742.47418820573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1.6034243405830633E-3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1.0000000000000001E-5</v>
      </c>
      <c r="D18" s="266" t="s">
        <v>63</v>
      </c>
      <c r="E18" s="189">
        <f>B28</f>
        <v>5.8031270640000001E-11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>
        <f>K5/(K9*(K25+K28)*K39)</f>
        <v>2.4749458141550815</v>
      </c>
      <c r="L18" s="271" t="s">
        <v>13</v>
      </c>
      <c r="V18" s="88" t="s">
        <v>74</v>
      </c>
      <c r="W18" s="294">
        <f>(W5*W6*W9)/((W11/W12)*(1-EXP(-W6*W9))*W10*W13*W8*W9)</f>
        <v>8.4427453638958525E-2</v>
      </c>
      <c r="X18" s="88" t="s">
        <v>16</v>
      </c>
      <c r="Y18" s="88" t="s">
        <v>74</v>
      </c>
      <c r="Z18" s="294">
        <f>(Z5*Z6*Z9)/((Z11/Z12)*(1-EXP(-Z6*Z9))*Z10*Z13*Z8*Z9)</f>
        <v>8.4427453638958525E-2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1955.8595238156836</v>
      </c>
      <c r="CV18" s="271" t="s">
        <v>13</v>
      </c>
      <c r="CW18" s="266" t="s">
        <v>63</v>
      </c>
      <c r="CX18" s="189">
        <f>B28</f>
        <v>5.8031270640000001E-11</v>
      </c>
      <c r="CY18" s="266" t="s">
        <v>64</v>
      </c>
      <c r="CZ18" s="266" t="s">
        <v>258</v>
      </c>
      <c r="DA18" s="295">
        <f>GS2</f>
        <v>212843.63726823882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1.6034243405830633E-3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1.6034243405830633E-3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1.6034243405830633E-3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1.6034243405830633E-3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1.6034243405830633E-3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432.2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3.7739999999999999E-8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(W5*W6*W9)/((W11/W12)*(1-EXP(-W6*W9))*W14*W8*W9*(1/365))</f>
        <v>1102247.3436954364</v>
      </c>
      <c r="X19" s="88" t="s">
        <v>16</v>
      </c>
      <c r="Y19" s="88" t="s">
        <v>78</v>
      </c>
      <c r="Z19" s="296">
        <f>(Z5*Z6*Z9)/((Z11/Z12)*(1-EXP(-Z6*Z9))*Z14*Z8*Z9*(1/365))</f>
        <v>1102247.3436954364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0.753</v>
      </c>
      <c r="AG19" s="305">
        <f>B4</f>
        <v>0.753</v>
      </c>
      <c r="AH19" s="267"/>
      <c r="BS19" s="262" t="s">
        <v>63</v>
      </c>
      <c r="BT19" s="287">
        <f>E18</f>
        <v>5.8031270640000001E-11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(CC22*CC23*CC24)/((1-EXP(-CC24*CC23))*CC27*CC31*(CC26/365)*CC29*(CC30/24)*CC28)</f>
        <v>193293324.72699538</v>
      </c>
      <c r="CD19" s="404" t="s">
        <v>94</v>
      </c>
      <c r="CE19" s="402" t="s">
        <v>562</v>
      </c>
      <c r="CF19" s="400">
        <f>(CF22*CF23*CF24)/((1-EXP(-CF24*CF23))*CF27*CF31*(CF26/365)*CF29*(CF30/24)*CF28)</f>
        <v>18534572.546850141</v>
      </c>
      <c r="CG19" s="398" t="s">
        <v>13</v>
      </c>
      <c r="CK19" s="410" t="s">
        <v>510</v>
      </c>
      <c r="CL19" s="400">
        <f>CL22/(CL23*CL24*CL25*CL26)</f>
        <v>38.393390193944207</v>
      </c>
      <c r="CM19" s="404" t="s">
        <v>13</v>
      </c>
      <c r="CN19" s="402" t="s">
        <v>7</v>
      </c>
      <c r="CO19" s="400">
        <f>(CL19/(CO22*((CO27*CO29*CO30*(CO23+CO24))+(CO28*CO29))))*CL29</f>
        <v>2560888.2167134732</v>
      </c>
      <c r="CP19" s="412" t="s">
        <v>13</v>
      </c>
      <c r="CQ19" s="402" t="s">
        <v>6</v>
      </c>
      <c r="CR19" s="400">
        <f>CL19/(CR22*CR23*(1/CR24))</f>
        <v>76786780.387888417</v>
      </c>
      <c r="CS19" s="415" t="s">
        <v>14</v>
      </c>
      <c r="CT19" s="266" t="s">
        <v>258</v>
      </c>
      <c r="CU19" s="295">
        <f>GV2</f>
        <v>1608.4644999083287</v>
      </c>
      <c r="CV19" s="271" t="s">
        <v>13</v>
      </c>
      <c r="CW19" s="266" t="s">
        <v>255</v>
      </c>
      <c r="CX19" s="304">
        <f>B173</f>
        <v>2</v>
      </c>
      <c r="CY19" s="88"/>
      <c r="CZ19" s="266" t="s">
        <v>184</v>
      </c>
      <c r="DA19" s="295">
        <f>EK2</f>
        <v>15565.696944371583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432.2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432.2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432.2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432.2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432.2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267"/>
      <c r="GP19" s="292"/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1.036E-10</v>
      </c>
      <c r="C20" s="263" t="s">
        <v>35</v>
      </c>
      <c r="D20" s="88" t="s">
        <v>74</v>
      </c>
      <c r="E20" s="294">
        <f>(E5)/(E10*E11)</f>
        <v>4.3796835240685512E-3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AB20" s="262" t="s">
        <v>71</v>
      </c>
      <c r="AC20" s="287">
        <f>B23</f>
        <v>2.767285944E-8</v>
      </c>
      <c r="AD20" s="287">
        <f>B23</f>
        <v>2.767285944E-8</v>
      </c>
      <c r="AE20" s="287">
        <f>B23</f>
        <v>2.767285944E-8</v>
      </c>
      <c r="AF20" s="287">
        <f>B23</f>
        <v>2.767285944E-8</v>
      </c>
      <c r="AG20" s="287">
        <f>B23</f>
        <v>2.767285944E-8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245.43773284916779</v>
      </c>
      <c r="CV20" s="271" t="s">
        <v>13</v>
      </c>
      <c r="CW20" s="88" t="s">
        <v>74</v>
      </c>
      <c r="CX20" s="294">
        <f>(CX5)/((CX14/CX15)*CX10*CX11)</f>
        <v>4.6716624256731218E-3</v>
      </c>
      <c r="CY20" s="88" t="s">
        <v>15</v>
      </c>
      <c r="CZ20" s="266" t="s">
        <v>493</v>
      </c>
      <c r="DA20" s="295">
        <f>DV2</f>
        <v>10995489.081175527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4.3949771689497717E-6</v>
      </c>
      <c r="DH20" s="249" t="s">
        <v>82</v>
      </c>
      <c r="DL20" s="267"/>
      <c r="DO20" s="267" t="s">
        <v>90</v>
      </c>
      <c r="DP20" s="288">
        <f>0.693/B35</f>
        <v>4.3949771689497717E-6</v>
      </c>
      <c r="DQ20" s="249" t="s">
        <v>82</v>
      </c>
      <c r="DU20" s="267"/>
      <c r="EA20" s="267"/>
      <c r="EB20" s="307"/>
      <c r="EC20" s="263"/>
      <c r="ED20" s="267" t="s">
        <v>90</v>
      </c>
      <c r="EE20" s="299">
        <f>0.693/B35</f>
        <v>4.3949771689497717E-6</v>
      </c>
      <c r="EF20" s="263" t="s">
        <v>82</v>
      </c>
      <c r="EJ20" s="267"/>
      <c r="EP20" s="267"/>
      <c r="EQ20" s="307"/>
      <c r="ER20" s="263"/>
      <c r="ES20" s="267" t="s">
        <v>90</v>
      </c>
      <c r="ET20" s="299">
        <f>0.693/B35</f>
        <v>4.3949771689497717E-6</v>
      </c>
      <c r="EU20" s="263" t="s">
        <v>82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4.3949771689497717E-6</v>
      </c>
      <c r="FJ20" s="263" t="s">
        <v>82</v>
      </c>
      <c r="FK20" s="267"/>
      <c r="FL20" s="292"/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267"/>
      <c r="GA20" s="292"/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4.3949771689497717E-6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4.3949771689497717E-6</v>
      </c>
      <c r="HC20" s="263" t="s">
        <v>82</v>
      </c>
    </row>
    <row r="21" spans="1:214" ht="15" thickTop="1" thickBot="1" x14ac:dyDescent="0.25">
      <c r="A21" s="262" t="s">
        <v>316</v>
      </c>
      <c r="B21" s="315">
        <v>1.8425999999999999E-10</v>
      </c>
      <c r="C21" s="262" t="s">
        <v>35</v>
      </c>
      <c r="D21" s="88" t="s">
        <v>78</v>
      </c>
      <c r="E21" s="295">
        <f>(E5)/((E14/E15)*E8*E9*E18*(1/365)*E19)</f>
        <v>57179.203239686605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(N24*N25*N26)/((1-EXP(-N26*N25))*N29*N34*(N28/365)*N32*(((N33/24)*N31)+((N35/24)*N30)))</f>
        <v>523.19930247099785</v>
      </c>
      <c r="O21" s="637" t="s">
        <v>94</v>
      </c>
      <c r="P21" s="639" t="s">
        <v>516</v>
      </c>
      <c r="Q21" s="647">
        <f>(Q24*Q25*Q26)/((1-EXP(-Q26*Q25))*Q29*Q34*(Q28/365)*Q32*(((Q33/24)*Q31)+((Q35/24)*Q30)))</f>
        <v>379.12992932681004</v>
      </c>
      <c r="R21" s="643" t="s">
        <v>13</v>
      </c>
      <c r="AB21" s="262" t="s">
        <v>43</v>
      </c>
      <c r="AC21" s="290">
        <f>B19</f>
        <v>3.7739999999999999E-8</v>
      </c>
      <c r="AD21" s="290">
        <f>B19</f>
        <v>3.7739999999999999E-8</v>
      </c>
      <c r="AE21" s="290">
        <f>B19</f>
        <v>3.7739999999999999E-8</v>
      </c>
      <c r="AF21" s="290">
        <f>B19</f>
        <v>3.7739999999999999E-8</v>
      </c>
      <c r="AG21" s="290">
        <f>B19</f>
        <v>3.7739999999999999E-8</v>
      </c>
      <c r="AH21" s="263" t="s">
        <v>35</v>
      </c>
      <c r="AI21" s="381" t="s">
        <v>516</v>
      </c>
      <c r="AJ21" s="387">
        <f>(AJ24*AJ25*AJ26)/((1-EXP(-AJ26*AJ25))*AJ34*(AJ28/365)*AJ29*(AJ35/24)*AJ30*AJ32)</f>
        <v>8559.6395283848742</v>
      </c>
      <c r="AK21" s="629" t="s">
        <v>94</v>
      </c>
      <c r="AL21" s="383" t="s">
        <v>516</v>
      </c>
      <c r="AM21" s="387">
        <f>(AM24*AM25*AM26)/((1-EXP(-AM26*AM25))*AM34*(AM28/365)*AM29*(AM35/24)*AM30*AM32)</f>
        <v>6202.637339409328</v>
      </c>
      <c r="AN21" s="635" t="s">
        <v>13</v>
      </c>
      <c r="AR21" s="381" t="s">
        <v>516</v>
      </c>
      <c r="AS21" s="387">
        <f>(AS24*AS25*AS26)/((1-EXP(-AS26*AS25))*AS34*(AS28/365)*AS29*(AS33/24)*AS31*AS32)</f>
        <v>3423.8558113539493</v>
      </c>
      <c r="AT21" s="391" t="s">
        <v>94</v>
      </c>
      <c r="AU21" s="383" t="s">
        <v>516</v>
      </c>
      <c r="AV21" s="387">
        <f>(AV24*AV25*AV26)/((1-EXP(-AV26*AV25))*AV34*(AV28/365)*AV29*(AV33/24)*AV31*AV32)</f>
        <v>2481.0549357637315</v>
      </c>
      <c r="AW21" s="385" t="s">
        <v>13</v>
      </c>
      <c r="BA21" s="381" t="s">
        <v>516</v>
      </c>
      <c r="BB21" s="387">
        <f>(BB24*BB25*BB26)/((1-EXP(-BB26*BB25))*BB34*(BB28/365)*BB29*((BB33+BB35)/24)*BB31*BB32)</f>
        <v>3423.8558113539493</v>
      </c>
      <c r="BC21" s="391" t="s">
        <v>94</v>
      </c>
      <c r="BD21" s="383" t="s">
        <v>516</v>
      </c>
      <c r="BE21" s="387">
        <f>(BE24*BE25*BE26)/((1-EXP(-BE26*BE25))*BE34*(BE28/365)*BE29*((BE33+BE35)/24)*BE31*BE32)</f>
        <v>2481.0549357637315</v>
      </c>
      <c r="BF21" s="385" t="s">
        <v>13</v>
      </c>
      <c r="BJ21" s="381" t="s">
        <v>561</v>
      </c>
      <c r="BK21" s="389">
        <f>(BK24*BK25*BK26)/((1-EXP(-BK26*BK25))*BK31*BK35*(BK28/365)*BK33*(BK34/24)*BK32)</f>
        <v>269567352.2674017</v>
      </c>
      <c r="BL21" s="391" t="s">
        <v>94</v>
      </c>
      <c r="BM21" s="383" t="s">
        <v>562</v>
      </c>
      <c r="BN21" s="389">
        <f>(BN24*BN25*BN26)/((1-EXP(-BN26*BN25))*BN31*BN35*(BN28/365)*BN33*(BN34/24)*BN32)</f>
        <v>25848361.053953547</v>
      </c>
      <c r="BO21" s="385" t="s">
        <v>13</v>
      </c>
      <c r="BS21" s="88" t="s">
        <v>74</v>
      </c>
      <c r="BT21" s="294">
        <f>(BT5)/(BT10*BT11)</f>
        <v>5.9294176941235767E-2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189228.40825118788</v>
      </c>
      <c r="CV21" s="271" t="s">
        <v>13</v>
      </c>
      <c r="CW21" s="88" t="s">
        <v>78</v>
      </c>
      <c r="CX21" s="296">
        <f>(CX5)/((CX14/CX15)*CX8*CX9*CX18*(1/365)*CX19)</f>
        <v>19059.734413228871</v>
      </c>
      <c r="CY21" s="88" t="s">
        <v>15</v>
      </c>
      <c r="CZ21" s="266" t="s">
        <v>492</v>
      </c>
      <c r="DA21" s="295">
        <f>GD2</f>
        <v>171871.23709410286</v>
      </c>
      <c r="DB21" s="88"/>
      <c r="DC21" s="249" t="s">
        <v>23</v>
      </c>
      <c r="DD21" s="287">
        <f>0.693/DD22</f>
        <v>1.6034243405830633E-3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/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9.1019999999999999E-11</v>
      </c>
      <c r="C22" s="262" t="s">
        <v>35</v>
      </c>
      <c r="D22" s="88" t="s">
        <v>74</v>
      </c>
      <c r="E22" s="295">
        <f>(E5*E9*E6)/((1-EXP(-E6*E9))*E10*E11)</f>
        <v>4.4502837637432398E-3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(BT5)/((BT14/24)*(BT8/365)*BT9*BT19*BT20)</f>
        <v>774118.44386037264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1.0000000000000001E-5</v>
      </c>
      <c r="CE22" s="249" t="s">
        <v>17</v>
      </c>
      <c r="CF22" s="287">
        <f>B18</f>
        <v>1.0000000000000001E-5</v>
      </c>
      <c r="CK22" s="249" t="s">
        <v>17</v>
      </c>
      <c r="CL22" s="287">
        <f>B18</f>
        <v>1.0000000000000001E-5</v>
      </c>
      <c r="CM22" s="76"/>
      <c r="CN22" s="249" t="s">
        <v>265</v>
      </c>
      <c r="CO22" s="287">
        <f>B42</f>
        <v>5.0000000000000001E-4</v>
      </c>
      <c r="CQ22" s="262" t="s">
        <v>265</v>
      </c>
      <c r="CR22" s="287">
        <f>CO22</f>
        <v>5.0000000000000001E-4</v>
      </c>
      <c r="CT22" s="266" t="s">
        <v>492</v>
      </c>
      <c r="CU22" s="295">
        <f>GG2</f>
        <v>977.92976190784179</v>
      </c>
      <c r="CV22" s="271" t="s">
        <v>13</v>
      </c>
      <c r="CW22" s="88" t="s">
        <v>74</v>
      </c>
      <c r="CX22" s="294">
        <f>(CX5*CX9*CX6)/((CX14/CX15)*(1-EXP(-CX6*CX9))*CX10*CX11)</f>
        <v>4.7849230522621069E-3</v>
      </c>
      <c r="CY22" s="88" t="s">
        <v>16</v>
      </c>
      <c r="CZ22" s="266" t="s">
        <v>183</v>
      </c>
      <c r="DA22" s="296">
        <f>FO2</f>
        <v>1.7187123709410288</v>
      </c>
      <c r="DB22" s="88"/>
      <c r="DC22" s="266" t="s">
        <v>270</v>
      </c>
      <c r="DD22" s="287">
        <f>B31</f>
        <v>432.2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2.767285944E-8</v>
      </c>
      <c r="C23" s="262" t="s">
        <v>95</v>
      </c>
      <c r="D23" s="88" t="s">
        <v>78</v>
      </c>
      <c r="E23" s="296">
        <f>(E5*E9*E6)/((E14/E15)*E8*E9*(1-EXP(-E6*E9))*E18*(1/365)*E19)</f>
        <v>58100.92861800333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(BT5*BT28*BT6)/((1-EXP(-BT6*BT28))*BT10*BT11)</f>
        <v>6.0538722789844374E-2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1.3357000000000001E-10</v>
      </c>
      <c r="CM23" s="266" t="s">
        <v>13</v>
      </c>
      <c r="CN23" s="249" t="s">
        <v>21</v>
      </c>
      <c r="CO23" s="290">
        <f>CO25</f>
        <v>2.1999999999999999E-5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7.0415245748317E-3</v>
      </c>
      <c r="CV23" s="271" t="s">
        <v>13</v>
      </c>
      <c r="CW23" s="88" t="s">
        <v>78</v>
      </c>
      <c r="CX23" s="296">
        <f>(CX5*CX9*CX6)/((CX14/CX15)*CX8*CX9*(1-EXP(-CX6*CX9))*CX18*(1/365)*CX19)</f>
        <v>19521.822052609386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F23" s="262" t="s">
        <v>17</v>
      </c>
      <c r="DG23" s="287">
        <f>B35</f>
        <v>157680</v>
      </c>
      <c r="DH23" s="249" t="s">
        <v>257</v>
      </c>
      <c r="DO23" s="262" t="s">
        <v>20</v>
      </c>
      <c r="DP23" s="305">
        <f>DP25</f>
        <v>1.914E-5</v>
      </c>
      <c r="EA23" s="262"/>
      <c r="EB23" s="293"/>
      <c r="EC23" s="263"/>
      <c r="ED23" s="262" t="s">
        <v>20</v>
      </c>
      <c r="EE23" s="305">
        <f>EE25</f>
        <v>2.1999999999999999E-5</v>
      </c>
      <c r="EF23" s="263"/>
      <c r="EP23" s="262"/>
      <c r="EQ23" s="293"/>
      <c r="ER23" s="263"/>
      <c r="ES23" s="262" t="s">
        <v>20</v>
      </c>
      <c r="ET23" s="305">
        <f>ET25</f>
        <v>2.1999999999999999E-5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1.914E-5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1.914E-5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1.914E-5</v>
      </c>
      <c r="HC23" s="263"/>
      <c r="HD23" s="219" t="s">
        <v>574</v>
      </c>
      <c r="HE23" s="348">
        <f>(HE25*HE33*HE38*HE32*10^-3*HE31*HE27)/(HE30*HE41*(1-EXP(-HE27*HE31)))</f>
        <v>0.214832295192568</v>
      </c>
      <c r="HF23" s="252" t="s">
        <v>13</v>
      </c>
    </row>
    <row r="24" spans="1:214" ht="14.25" thickTop="1" thickBot="1" x14ac:dyDescent="0.25">
      <c r="A24" s="262" t="s">
        <v>450</v>
      </c>
      <c r="B24" s="315">
        <v>1.86820992E-8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1.0000000000000001E-5</v>
      </c>
      <c r="P24" s="249" t="s">
        <v>17</v>
      </c>
      <c r="Q24" s="287">
        <f>B18</f>
        <v>1.0000000000000001E-5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1.0000000000000001E-5</v>
      </c>
      <c r="AL24" s="249" t="s">
        <v>17</v>
      </c>
      <c r="AM24" s="287">
        <f>B18</f>
        <v>1.0000000000000001E-5</v>
      </c>
      <c r="AR24" s="249" t="s">
        <v>17</v>
      </c>
      <c r="AS24" s="287">
        <f>B18</f>
        <v>1.0000000000000001E-5</v>
      </c>
      <c r="AU24" s="249" t="s">
        <v>17</v>
      </c>
      <c r="AV24" s="287">
        <f>B18</f>
        <v>1.0000000000000001E-5</v>
      </c>
      <c r="BA24" s="249" t="s">
        <v>17</v>
      </c>
      <c r="BB24" s="287">
        <f>B18</f>
        <v>1.0000000000000001E-5</v>
      </c>
      <c r="BD24" s="249" t="s">
        <v>17</v>
      </c>
      <c r="BE24" s="287">
        <f>B18</f>
        <v>1.0000000000000001E-5</v>
      </c>
      <c r="BJ24" s="249" t="s">
        <v>17</v>
      </c>
      <c r="BK24" s="287">
        <f>B18</f>
        <v>1.0000000000000001E-5</v>
      </c>
      <c r="BM24" s="249" t="s">
        <v>17</v>
      </c>
      <c r="BN24" s="287">
        <f>B18</f>
        <v>1.0000000000000001E-5</v>
      </c>
      <c r="BS24" s="88" t="s">
        <v>78</v>
      </c>
      <c r="BT24" s="296">
        <f>(BT5*BT28*BT6)/((BT14/24)*(BT8/365)*BT9*(1-EXP(-BT6*BT28))*BT19*BT20)</f>
        <v>790366.68180442217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1.6034243405830633E-3</v>
      </c>
      <c r="CE24" s="262" t="s">
        <v>23</v>
      </c>
      <c r="CF24" s="288">
        <f>0.693/CF25</f>
        <v>1.6034243405830633E-3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0.23054673643451271</v>
      </c>
      <c r="HF24" s="75" t="s">
        <v>13</v>
      </c>
    </row>
    <row r="25" spans="1:214" ht="13.5" thickTop="1" x14ac:dyDescent="0.2">
      <c r="A25" s="262" t="s">
        <v>449</v>
      </c>
      <c r="B25" s="315">
        <v>1.3754695536000001E-8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8.4427447172175527E-2</v>
      </c>
      <c r="X25" s="254" t="s">
        <v>10</v>
      </c>
      <c r="Y25" s="321" t="s">
        <v>16</v>
      </c>
      <c r="Z25" s="358">
        <f>1/((1/Z38)+(1/Z39))</f>
        <v>8.4157325466014343E-2</v>
      </c>
      <c r="AA25" s="255" t="s">
        <v>10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432.2</v>
      </c>
      <c r="CD25" s="249" t="s">
        <v>69</v>
      </c>
      <c r="CE25" s="266" t="s">
        <v>270</v>
      </c>
      <c r="CF25" s="287">
        <f>B31</f>
        <v>432.2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2.1999999999999999E-5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1.914E-5</v>
      </c>
      <c r="EA25" s="262"/>
      <c r="EC25" s="263"/>
      <c r="ED25" s="262" t="s">
        <v>38</v>
      </c>
      <c r="EE25" s="287">
        <f>B45</f>
        <v>2.1999999999999999E-5</v>
      </c>
      <c r="EF25" s="263"/>
      <c r="EP25" s="262"/>
      <c r="ER25" s="263"/>
      <c r="ES25" s="263" t="s">
        <v>37</v>
      </c>
      <c r="ET25" s="287">
        <f>B45</f>
        <v>2.1999999999999999E-5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1.914E-5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>
        <f>1.76/1.72</f>
        <v>1.0232558139534884</v>
      </c>
      <c r="GD25" s="293"/>
      <c r="GE25" s="262"/>
      <c r="GI25" s="262"/>
      <c r="GJ25" s="293"/>
      <c r="GK25" s="262"/>
      <c r="GL25" s="262" t="s">
        <v>37</v>
      </c>
      <c r="GM25" s="305">
        <f>B44</f>
        <v>1.914E-5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1.914E-5</v>
      </c>
      <c r="HC25" s="263"/>
      <c r="HD25" s="265" t="s">
        <v>22</v>
      </c>
      <c r="HE25" s="305">
        <f>B47</f>
        <v>15</v>
      </c>
      <c r="HF25" s="262" t="s">
        <v>14</v>
      </c>
    </row>
    <row r="26" spans="1:214" ht="13.5" thickBot="1" x14ac:dyDescent="0.25">
      <c r="A26" s="262" t="s">
        <v>451</v>
      </c>
      <c r="B26" s="315">
        <v>2.5781296896000001E-8</v>
      </c>
      <c r="C26" s="262" t="s">
        <v>95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1.6034243405830633E-3</v>
      </c>
      <c r="P26" s="262" t="s">
        <v>23</v>
      </c>
      <c r="Q26" s="288">
        <f>0.693/Q27</f>
        <v>1.6034243405830633E-3</v>
      </c>
      <c r="V26" s="320" t="s">
        <v>15</v>
      </c>
      <c r="W26" s="359">
        <f>1/((1/W38)+(1/W39))</f>
        <v>8.4089917221186541E-2</v>
      </c>
      <c r="X26" s="258" t="s">
        <v>10</v>
      </c>
      <c r="Y26" s="322" t="s">
        <v>15</v>
      </c>
      <c r="Z26" s="360">
        <f>1/((1/Z40)+(1/Z41))</f>
        <v>8.4089917221186555E-2</v>
      </c>
      <c r="AA26" s="259" t="s">
        <v>10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1.6034243405830633E-3</v>
      </c>
      <c r="AL26" s="262" t="s">
        <v>23</v>
      </c>
      <c r="AM26" s="288">
        <f>0.693/AM27</f>
        <v>1.6034243405830633E-3</v>
      </c>
      <c r="AR26" s="262" t="s">
        <v>23</v>
      </c>
      <c r="AS26" s="288">
        <f>0.693/AS27</f>
        <v>1.6034243405830633E-3</v>
      </c>
      <c r="AU26" s="262" t="s">
        <v>23</v>
      </c>
      <c r="AV26" s="288">
        <f>0.693/AV27</f>
        <v>1.6034243405830633E-3</v>
      </c>
      <c r="BA26" s="262" t="s">
        <v>23</v>
      </c>
      <c r="BB26" s="288">
        <f>0.693/BB27</f>
        <v>1.6034243405830633E-3</v>
      </c>
      <c r="BD26" s="262" t="s">
        <v>23</v>
      </c>
      <c r="BE26" s="288">
        <f>0.693/BE27</f>
        <v>1.6034243405830633E-3</v>
      </c>
      <c r="BJ26" s="262" t="s">
        <v>23</v>
      </c>
      <c r="BK26" s="288">
        <f>0.693/BK27</f>
        <v>1.6034243405830633E-3</v>
      </c>
      <c r="BM26" s="262" t="s">
        <v>23</v>
      </c>
      <c r="BN26" s="288">
        <f>0.693/BN27</f>
        <v>1.6034243405830633E-3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63" t="s">
        <v>331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88"/>
      <c r="CX26" s="192"/>
      <c r="CY26" s="88"/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2.1999999999999999E-5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>
        <f>1/GC25</f>
        <v>0.97727272727272718</v>
      </c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16.097212215779209</v>
      </c>
      <c r="HF26" s="262" t="s">
        <v>14</v>
      </c>
    </row>
    <row r="27" spans="1:214" ht="15" thickTop="1" x14ac:dyDescent="0.2">
      <c r="A27" s="262" t="s">
        <v>452</v>
      </c>
      <c r="B27" s="315">
        <v>2.767285944E-8</v>
      </c>
      <c r="C27" s="262" t="s">
        <v>95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432.2</v>
      </c>
      <c r="O27" s="249" t="s">
        <v>69</v>
      </c>
      <c r="P27" s="266" t="s">
        <v>270</v>
      </c>
      <c r="Q27" s="287">
        <f>B31</f>
        <v>432.2</v>
      </c>
      <c r="R27" s="249" t="s">
        <v>69</v>
      </c>
      <c r="V27" s="249" t="s">
        <v>17</v>
      </c>
      <c r="W27" s="287">
        <f>B18</f>
        <v>1.0000000000000001E-5</v>
      </c>
      <c r="Y27" s="249" t="s">
        <v>17</v>
      </c>
      <c r="Z27" s="287">
        <f>B18</f>
        <v>1.0000000000000001E-5</v>
      </c>
      <c r="AB27" s="269" t="s">
        <v>23</v>
      </c>
      <c r="AC27" s="288">
        <f>0.693/AC28</f>
        <v>1.6034243405830633E-3</v>
      </c>
      <c r="AD27" s="288">
        <f>0.693/AD28</f>
        <v>1.6034243405830633E-3</v>
      </c>
      <c r="AE27" s="288">
        <f>0.693/AE28</f>
        <v>1.6034243405830633E-3</v>
      </c>
      <c r="AF27" s="288">
        <f>0.693/AF28</f>
        <v>1.6034243405830633E-3</v>
      </c>
      <c r="AG27" s="288">
        <f>0.693/AG28</f>
        <v>1.6034243405830633E-3</v>
      </c>
      <c r="AI27" s="266" t="s">
        <v>270</v>
      </c>
      <c r="AJ27" s="287">
        <f>B31</f>
        <v>432.2</v>
      </c>
      <c r="AK27" s="249" t="s">
        <v>69</v>
      </c>
      <c r="AL27" s="266" t="s">
        <v>270</v>
      </c>
      <c r="AM27" s="287">
        <f>B31</f>
        <v>432.2</v>
      </c>
      <c r="AN27" s="249" t="s">
        <v>69</v>
      </c>
      <c r="AR27" s="266" t="s">
        <v>270</v>
      </c>
      <c r="AS27" s="287">
        <f>B31</f>
        <v>432.2</v>
      </c>
      <c r="AT27" s="249" t="s">
        <v>69</v>
      </c>
      <c r="AU27" s="266" t="s">
        <v>270</v>
      </c>
      <c r="AV27" s="287">
        <f>B31</f>
        <v>432.2</v>
      </c>
      <c r="AW27" s="249" t="s">
        <v>69</v>
      </c>
      <c r="BA27" s="266" t="s">
        <v>270</v>
      </c>
      <c r="BB27" s="287">
        <f>B31</f>
        <v>432.2</v>
      </c>
      <c r="BC27" s="249" t="s">
        <v>69</v>
      </c>
      <c r="BD27" s="266" t="s">
        <v>270</v>
      </c>
      <c r="BE27" s="287">
        <f>B31</f>
        <v>432.2</v>
      </c>
      <c r="BF27" s="249" t="s">
        <v>69</v>
      </c>
      <c r="BJ27" s="266" t="s">
        <v>270</v>
      </c>
      <c r="BK27" s="287">
        <f>B31</f>
        <v>432.2</v>
      </c>
      <c r="BL27" s="249" t="s">
        <v>69</v>
      </c>
      <c r="BM27" s="266" t="s">
        <v>270</v>
      </c>
      <c r="BN27" s="287">
        <f>B31</f>
        <v>432.2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266" t="s">
        <v>270</v>
      </c>
      <c r="CL27" s="287">
        <f>B31</f>
        <v>432.2</v>
      </c>
      <c r="CM27" s="249" t="s">
        <v>69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4.2E-7</v>
      </c>
      <c r="EP27" s="262"/>
      <c r="EQ27" s="310"/>
      <c r="ES27" s="262" t="s">
        <v>275</v>
      </c>
      <c r="ET27" s="310">
        <f>B38</f>
        <v>5.0000000000000001E-4</v>
      </c>
      <c r="FH27" s="262" t="s">
        <v>201</v>
      </c>
      <c r="FI27" s="310">
        <f>B40</f>
        <v>3.0000000000000001E-3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6.0000000000000001E-3</v>
      </c>
      <c r="GS27" s="328"/>
      <c r="GT27" s="264"/>
      <c r="GU27" s="264"/>
      <c r="GV27" s="328"/>
      <c r="GW27" s="264"/>
      <c r="HA27" s="262" t="s">
        <v>277</v>
      </c>
      <c r="HB27" s="310">
        <f>B41</f>
        <v>1.7000000000000001E-4</v>
      </c>
      <c r="HD27" s="262" t="s">
        <v>23</v>
      </c>
      <c r="HE27" s="288">
        <f>0.693/HE28</f>
        <v>1.6034243405830633E-3</v>
      </c>
    </row>
    <row r="28" spans="1:214" ht="15.75" thickBot="1" x14ac:dyDescent="0.25">
      <c r="A28" s="262" t="s">
        <v>63</v>
      </c>
      <c r="B28" s="315">
        <v>5.8031270640000001E-11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1.6034243405830633E-3</v>
      </c>
      <c r="Y28" s="262" t="s">
        <v>23</v>
      </c>
      <c r="Z28" s="288">
        <f>0.693/Z29</f>
        <v>1.6034243405830633E-3</v>
      </c>
      <c r="AB28" s="266" t="s">
        <v>270</v>
      </c>
      <c r="AC28" s="287">
        <f>B31</f>
        <v>432.2</v>
      </c>
      <c r="AD28" s="287">
        <f>B31</f>
        <v>432.2</v>
      </c>
      <c r="AE28" s="287">
        <f>B31</f>
        <v>432.2</v>
      </c>
      <c r="AF28" s="287">
        <f>B31</f>
        <v>432.2</v>
      </c>
      <c r="AG28" s="287">
        <f>B31</f>
        <v>432.2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1.5699999999999999E-5</v>
      </c>
      <c r="CE28" s="249" t="s">
        <v>458</v>
      </c>
      <c r="CF28" s="287">
        <f>B8</f>
        <v>1.35E-4</v>
      </c>
      <c r="CK28" s="249" t="s">
        <v>23</v>
      </c>
      <c r="CL28" s="288">
        <f>693/CL27</f>
        <v>1.6034243405830635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432.2</v>
      </c>
      <c r="HF28" s="249" t="s">
        <v>69</v>
      </c>
    </row>
    <row r="29" spans="1:214" ht="18.75" thickTop="1" x14ac:dyDescent="0.2">
      <c r="A29" s="266" t="s">
        <v>161</v>
      </c>
      <c r="B29" s="315">
        <v>1.319423256E-13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432.2</v>
      </c>
      <c r="X29" s="249" t="s">
        <v>69</v>
      </c>
      <c r="Y29" s="266" t="s">
        <v>270</v>
      </c>
      <c r="Z29" s="287">
        <f>B31</f>
        <v>432.2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266"/>
      <c r="BT29" s="115"/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0.80900000000000005</v>
      </c>
      <c r="CE29" s="249" t="s">
        <v>459</v>
      </c>
      <c r="CF29" s="287">
        <f>B9</f>
        <v>0.71099999999999997</v>
      </c>
      <c r="CK29" s="249" t="s">
        <v>16</v>
      </c>
      <c r="CL29" s="288">
        <f>(CL30*CL28)/(1-EXP(-CL28*CL30))</f>
        <v>41.689032855159653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1.3357000000000001E-10</v>
      </c>
      <c r="C30" s="267" t="s">
        <v>35</v>
      </c>
      <c r="D30" s="203" t="s">
        <v>510</v>
      </c>
      <c r="E30" s="204">
        <f>E37</f>
        <v>1.2374729070775405</v>
      </c>
      <c r="F30" s="184" t="s">
        <v>13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354">
        <f>(AC26*AC27)/(1-EXP(-AC27*AC26))</f>
        <v>1.0040139170324209</v>
      </c>
      <c r="AD30" s="354">
        <f>(AD26*AD27)/(1-EXP(-AD27*AD26))</f>
        <v>1.0040139170324209</v>
      </c>
      <c r="AE30" s="354">
        <f>(AE26*AE27)/(1-EXP(-AE27*AE26))</f>
        <v>1.0040139170324209</v>
      </c>
      <c r="AF30" s="354">
        <f>(AF26*AF27)/(1-EXP(-AF27*AF26))</f>
        <v>1.0040139170324209</v>
      </c>
      <c r="AG30" s="354">
        <f>(AG26*AG27)/(1-EXP(-AG27*AG26))</f>
        <v>1.0040139170324209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111</v>
      </c>
      <c r="CL30" s="289">
        <f>B109</f>
        <v>26</v>
      </c>
      <c r="CM30" s="249" t="s">
        <v>69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315">
        <v>432.2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2.41E-4</v>
      </c>
      <c r="CB31" s="249" t="s">
        <v>71</v>
      </c>
      <c r="CC31" s="290">
        <f>B24</f>
        <v>1.86820992E-8</v>
      </c>
      <c r="CD31" s="262" t="s">
        <v>282</v>
      </c>
      <c r="CE31" s="249" t="s">
        <v>71</v>
      </c>
      <c r="CF31" s="290">
        <f>B26</f>
        <v>2.5781296896000001E-8</v>
      </c>
      <c r="CG31" s="263" t="s">
        <v>72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1.0000000000000001E-5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3.7739999999999999E-8</v>
      </c>
      <c r="X32" s="263" t="s">
        <v>44</v>
      </c>
      <c r="Y32" s="249" t="s">
        <v>43</v>
      </c>
      <c r="Z32" s="290">
        <f>B19</f>
        <v>3.7739999999999999E-8</v>
      </c>
      <c r="AA32" s="263" t="s">
        <v>44</v>
      </c>
      <c r="AB32" s="266" t="s">
        <v>80</v>
      </c>
      <c r="AC32" s="294">
        <f>(AC5/(AC9*AC14*AC8*AC11*(1/AC6)))*AC30</f>
        <v>7293.0219098693851</v>
      </c>
      <c r="AD32" s="294">
        <f>(AD5/(AD9*AD14*AD8*AD11*(1/AD6)))*AD30</f>
        <v>7293.0219098693851</v>
      </c>
      <c r="AE32" s="294">
        <f>(AE5/(AE9*AE14*AE8*AE11*(1/AE6)))*AE30</f>
        <v>7293.0219098693851</v>
      </c>
      <c r="AF32" s="294">
        <f>(AF5/(AF9*AF14*AF8*AF11*(1/AF6)))*AF30</f>
        <v>7293.0219098693851</v>
      </c>
      <c r="AG32" s="294">
        <f>(AG5/(AG9*AG14*AG8*AG11*(1/AG6)))*AG30</f>
        <v>7293.0219098693851</v>
      </c>
      <c r="AH32" s="266" t="s">
        <v>13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1.5699999999999999E-5</v>
      </c>
      <c r="BM32" s="249" t="s">
        <v>458</v>
      </c>
      <c r="BN32" s="287">
        <f>B8</f>
        <v>1.35E-4</v>
      </c>
      <c r="BY32" s="262" t="s">
        <v>62</v>
      </c>
      <c r="BZ32" s="305">
        <f>B4</f>
        <v>0.753</v>
      </c>
      <c r="CO32" s="287"/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(AC5/(AC21*AC17*AC8*AC11*(1/AC35)*((8/1)/(24/1))*AC31))*AC30</f>
        <v>71728.745326669363</v>
      </c>
      <c r="AD33" s="295">
        <f>(AD5/(AD21*AD17*AD8*((8/1)/(24/1))*AD11*(1/AD35)*AD31))*AD30</f>
        <v>71728.745326669377</v>
      </c>
      <c r="AE33" s="295">
        <f>(AE5/(AE21*AE17*AE8*((8/1)/(24/1))*AE11*(1/AE35)*AE31))*AE30</f>
        <v>71728.745326669377</v>
      </c>
      <c r="AF33" s="295">
        <f>(AF5/(AF21*AF17*AF8*AF11*(1/AF36)*(AF23/24)*AF31))*AF30</f>
        <v>65.31997076414558</v>
      </c>
      <c r="AG33" s="295">
        <f>(AG5/(AG21*AG17*AG8*AG11*(1/AG37)*(AG23/24)*AG31))*AG30</f>
        <v>3044.1045295329427</v>
      </c>
      <c r="AH33" s="88" t="s">
        <v>13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0.80900000000000005</v>
      </c>
      <c r="BM33" s="249" t="s">
        <v>459</v>
      </c>
      <c r="BN33" s="287">
        <f>B9</f>
        <v>0.71099999999999997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1.3357000000000001E-10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1.86820992E-8</v>
      </c>
      <c r="O34" s="263" t="s">
        <v>447</v>
      </c>
      <c r="P34" s="249" t="s">
        <v>451</v>
      </c>
      <c r="Q34" s="290">
        <f>B26</f>
        <v>2.5781296896000001E-8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(AC5/(AC20*(AC8/365)*AC11*((AC23+AC24)/24)*AC16*AC19))*AC30</f>
        <v>2311.463838888742</v>
      </c>
      <c r="AD34" s="296">
        <f>(AD5/(AD20*(AD8/365)*AD11*(AD24/24)*AD18*AD19))*AD30</f>
        <v>5778.6595972218538</v>
      </c>
      <c r="AE34" s="296">
        <f>(AE5/(AE20*(AE8/365)*AE11*(AE23/24)*AE16*AE19))*AE30</f>
        <v>2311.463838888742</v>
      </c>
      <c r="AF34" s="296">
        <f>(AF5/(AF20*(AF8/365)*AF11*(AF23/24)*AF16*AF19))*AF30</f>
        <v>12737232.750264458</v>
      </c>
      <c r="AG34" s="296">
        <f>(AG5/(AG20*(AG8/365)*AG11*(AG23/24)*AG16*AG19))*AG30</f>
        <v>12737232.750264458</v>
      </c>
      <c r="AH34" s="266" t="s">
        <v>13</v>
      </c>
      <c r="AI34" s="262" t="s">
        <v>450</v>
      </c>
      <c r="AJ34" s="290">
        <f>B24</f>
        <v>1.86820992E-8</v>
      </c>
      <c r="AK34" s="262" t="s">
        <v>282</v>
      </c>
      <c r="AL34" s="262" t="s">
        <v>451</v>
      </c>
      <c r="AM34" s="290">
        <f>B26</f>
        <v>2.5781296896000001E-8</v>
      </c>
      <c r="AN34" s="263" t="s">
        <v>72</v>
      </c>
      <c r="AR34" s="262" t="s">
        <v>450</v>
      </c>
      <c r="AS34" s="290">
        <f>B24</f>
        <v>1.86820992E-8</v>
      </c>
      <c r="AT34" s="262" t="s">
        <v>282</v>
      </c>
      <c r="AU34" s="262" t="s">
        <v>451</v>
      </c>
      <c r="AV34" s="290">
        <f>B26</f>
        <v>2.5781296896000001E-8</v>
      </c>
      <c r="AW34" s="263" t="s">
        <v>72</v>
      </c>
      <c r="BA34" s="262" t="s">
        <v>450</v>
      </c>
      <c r="BB34" s="290">
        <f>B24</f>
        <v>1.86820992E-8</v>
      </c>
      <c r="BC34" s="262" t="s">
        <v>282</v>
      </c>
      <c r="BD34" s="262" t="s">
        <v>451</v>
      </c>
      <c r="BE34" s="290">
        <f>B26</f>
        <v>2.5781296896000001E-8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4</v>
      </c>
      <c r="HF34" s="249" t="s">
        <v>19</v>
      </c>
    </row>
    <row r="35" spans="1:214" x14ac:dyDescent="0.2">
      <c r="A35" s="266" t="s">
        <v>270</v>
      </c>
      <c r="B35" s="315">
        <v>157680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1.86820992E-8</v>
      </c>
      <c r="BL35" s="262" t="s">
        <v>282</v>
      </c>
      <c r="BM35" s="262" t="s">
        <v>451</v>
      </c>
      <c r="BN35" s="290">
        <f>B26</f>
        <v>2.5781296896000001E-8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x14ac:dyDescent="0.2">
      <c r="A36" s="262" t="s">
        <v>122</v>
      </c>
      <c r="B36" s="314">
        <v>240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281"/>
      <c r="N36" s="361"/>
      <c r="O36" s="281"/>
      <c r="P36" s="281"/>
      <c r="Q36" s="361"/>
      <c r="R36" s="281"/>
      <c r="V36" s="262" t="s">
        <v>63</v>
      </c>
      <c r="W36" s="287">
        <f>B28</f>
        <v>5.8031270640000001E-11</v>
      </c>
      <c r="X36" s="262" t="s">
        <v>64</v>
      </c>
      <c r="Y36" s="262" t="s">
        <v>63</v>
      </c>
      <c r="Z36" s="287">
        <f>B28</f>
        <v>5.8031270640000001E-11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x14ac:dyDescent="0.2">
      <c r="A37" s="262" t="s">
        <v>278</v>
      </c>
      <c r="B37" s="315">
        <v>4.2E-7</v>
      </c>
      <c r="C37" s="263" t="s">
        <v>298</v>
      </c>
      <c r="D37" s="262" t="s">
        <v>80</v>
      </c>
      <c r="E37" s="300">
        <f>E32/(E34*E33*E35*E36)</f>
        <v>1.2374729070775405</v>
      </c>
      <c r="F37" s="263" t="s">
        <v>13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5.0000000000000001E-4</v>
      </c>
      <c r="C38" s="263" t="s">
        <v>298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W27/((W33/W34)*W30*W31*W32*W35)</f>
        <v>8.4089923662116178E-2</v>
      </c>
      <c r="X38" s="88" t="s">
        <v>15</v>
      </c>
      <c r="Y38" s="88" t="s">
        <v>74</v>
      </c>
      <c r="Z38" s="294">
        <f>(Z27*Z31*Z28)/((1-EXP(-Z28))*Z31*Z32*Z30*Z44*(Z33/Z34)*Z35)</f>
        <v>8.4157357593368398E-2</v>
      </c>
      <c r="AA38" s="88" t="s">
        <v>16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x14ac:dyDescent="0.2">
      <c r="A39" s="262" t="s">
        <v>276</v>
      </c>
      <c r="B39" s="315">
        <v>6.0000000000000001E-3</v>
      </c>
      <c r="C39" s="263" t="s">
        <v>298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(W27)/((W33/W34)*W30*W31*W36*(1/365))</f>
        <v>1097840.7022019827</v>
      </c>
      <c r="X39" s="88" t="s">
        <v>15</v>
      </c>
      <c r="Y39" s="88" t="s">
        <v>78</v>
      </c>
      <c r="Z39" s="296">
        <f>(Z27*Z31*Z28)/((1-EXP(-Z28*Z31))*Z36*Z30*Z44*(Z33/Z34)*Z37*(Z44/Z45))</f>
        <v>220449.46873908729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thickBot="1" x14ac:dyDescent="0.25">
      <c r="A40" s="262" t="s">
        <v>201</v>
      </c>
      <c r="B40" s="315">
        <v>3.0000000000000001E-3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(W27*W28*W31)/((W33/W34)*(1-EXP(-W28*W31))*W32*W35*W30*W31)</f>
        <v>8.4427453638958525E-2</v>
      </c>
      <c r="X40" s="88" t="s">
        <v>16</v>
      </c>
      <c r="Y40" s="88" t="s">
        <v>74</v>
      </c>
      <c r="Z40" s="294">
        <f>Z27/((Z32*Z30*Z44*(Z33/Z34)*Z35))</f>
        <v>8.4089923662116192E-2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1.7000000000000001E-4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(W27*W28*W31)/((W33/W34)*(1-EXP(-W28*W31))*W36*W30*W31*(1/365))</f>
        <v>1102247.3436954364</v>
      </c>
      <c r="X41" s="88" t="s">
        <v>16</v>
      </c>
      <c r="Y41" s="88" t="s">
        <v>78</v>
      </c>
      <c r="Z41" s="296">
        <f>Z27/(Z36*Z30*(1/Z45)*Z44*(Z33/Z34)*Z37)</f>
        <v>1097840.7022019827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GV41" s="297"/>
      <c r="HD41" s="249" t="s">
        <v>119</v>
      </c>
      <c r="HE41" s="298">
        <f>B291</f>
        <v>2</v>
      </c>
      <c r="HF41" s="249" t="s">
        <v>113</v>
      </c>
    </row>
    <row r="42" spans="1:214" x14ac:dyDescent="0.2">
      <c r="A42" s="249" t="s">
        <v>265</v>
      </c>
      <c r="B42" s="315">
        <v>5.0000000000000001E-4</v>
      </c>
      <c r="C42" s="263" t="s">
        <v>298</v>
      </c>
      <c r="D42" s="203" t="s">
        <v>510</v>
      </c>
      <c r="E42" s="204">
        <f>E52</f>
        <v>5.1561371128230853</v>
      </c>
      <c r="F42" s="184" t="s">
        <v>14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2.41E-4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v>6.0000000000000001E-3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0.753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1.914E-5</v>
      </c>
      <c r="C44" s="249" t="s">
        <v>19</v>
      </c>
      <c r="D44" s="262" t="s">
        <v>17</v>
      </c>
      <c r="E44" s="287">
        <f>B18</f>
        <v>1.0000000000000001E-5</v>
      </c>
      <c r="G44" s="262"/>
      <c r="H44" s="297">
        <v>365</v>
      </c>
      <c r="I44" s="263" t="s">
        <v>26</v>
      </c>
      <c r="J44" s="262" t="s">
        <v>159</v>
      </c>
      <c r="K44" s="292">
        <f>B80</f>
        <v>2.41E-4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2.1999999999999999E-5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0.753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x14ac:dyDescent="0.2">
      <c r="A46" s="249" t="s">
        <v>284</v>
      </c>
      <c r="B46" s="97">
        <v>4</v>
      </c>
      <c r="C46" s="249" t="s">
        <v>19</v>
      </c>
      <c r="D46" s="262" t="s">
        <v>438</v>
      </c>
      <c r="E46" s="287">
        <f>B30</f>
        <v>1.3357000000000001E-10</v>
      </c>
      <c r="F46" s="262" t="s">
        <v>289</v>
      </c>
      <c r="G46" s="249" t="s">
        <v>20</v>
      </c>
      <c r="H46" s="287">
        <f>H48</f>
        <v>1.914E-5</v>
      </c>
      <c r="I46" s="263"/>
      <c r="J46" s="269" t="s">
        <v>107</v>
      </c>
      <c r="K46" s="292">
        <f>K34</f>
        <v>20</v>
      </c>
      <c r="L46" s="269" t="s">
        <v>69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15</v>
      </c>
      <c r="C47" s="262" t="s">
        <v>14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1.914E-5</v>
      </c>
      <c r="K48" s="289">
        <v>1000</v>
      </c>
      <c r="L48" s="249" t="s">
        <v>115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249" customFormat="1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262"/>
      <c r="BZ49" s="293"/>
      <c r="CC49" s="289"/>
      <c r="CF49" s="289"/>
      <c r="CI49" s="289"/>
      <c r="CL49" s="289"/>
      <c r="CO49" s="289"/>
      <c r="CR49" s="289"/>
      <c r="CU49" s="289"/>
      <c r="CX49" s="289"/>
      <c r="DA49" s="292">
        <v>1000</v>
      </c>
      <c r="DB49" s="267" t="s">
        <v>115</v>
      </c>
      <c r="DD49" s="289"/>
      <c r="DG49" s="289"/>
      <c r="DJ49" s="289"/>
      <c r="DM49" s="289"/>
      <c r="DP49" s="289"/>
      <c r="DS49" s="289"/>
      <c r="DV49" s="289"/>
      <c r="DW49" s="264"/>
      <c r="DX49" s="264"/>
      <c r="DY49" s="328"/>
      <c r="DZ49" s="264"/>
    </row>
    <row r="50" spans="1:130" s="249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240</v>
      </c>
      <c r="F50" s="263" t="s">
        <v>19</v>
      </c>
      <c r="G50" s="249" t="s">
        <v>18</v>
      </c>
      <c r="H50" s="288">
        <f>(H53*H54*H48*((1-EXP(-H55*H56))))/(H57*H55)</f>
        <v>6.6877504027585484E-4</v>
      </c>
      <c r="I50" s="249" t="s">
        <v>19</v>
      </c>
      <c r="J50" s="249" t="s">
        <v>20</v>
      </c>
      <c r="K50" s="287">
        <f>K52</f>
        <v>1.914E-5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263"/>
      <c r="BZ50" s="307"/>
      <c r="CC50" s="289"/>
      <c r="CF50" s="289"/>
      <c r="CI50" s="289"/>
      <c r="CL50" s="289"/>
      <c r="CO50" s="289"/>
      <c r="CR50" s="289"/>
      <c r="CT50" s="263"/>
      <c r="CU50" s="307"/>
      <c r="CX50" s="289"/>
      <c r="DA50" s="289"/>
      <c r="DD50" s="289"/>
      <c r="DG50" s="289"/>
      <c r="DJ50" s="289"/>
      <c r="DM50" s="289"/>
      <c r="DP50" s="289"/>
      <c r="DS50" s="289"/>
      <c r="DV50" s="289"/>
      <c r="DW50" s="264"/>
      <c r="DX50" s="264"/>
      <c r="DY50" s="328"/>
      <c r="DZ50" s="264"/>
    </row>
    <row r="51" spans="1:130" s="249" customFormat="1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9.0847184154504852</v>
      </c>
      <c r="I51" s="249" t="s">
        <v>19</v>
      </c>
      <c r="J51" s="262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262"/>
      <c r="BZ51" s="293"/>
      <c r="CC51" s="289"/>
      <c r="CF51" s="289"/>
      <c r="CI51" s="289"/>
      <c r="CL51" s="289"/>
      <c r="CO51" s="289"/>
      <c r="CR51" s="289"/>
      <c r="CT51" s="262"/>
      <c r="CU51" s="293"/>
      <c r="CX51" s="289"/>
      <c r="CZ51" s="267"/>
      <c r="DA51" s="289"/>
      <c r="DD51" s="289"/>
      <c r="DG51" s="289"/>
      <c r="DJ51" s="289"/>
      <c r="DM51" s="289"/>
      <c r="DP51" s="289"/>
      <c r="DS51" s="289"/>
      <c r="DV51" s="289"/>
      <c r="DW51" s="264"/>
      <c r="DX51" s="264"/>
      <c r="DY51" s="328"/>
      <c r="DZ51" s="264"/>
    </row>
    <row r="52" spans="1:130" s="249" customFormat="1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>
        <f>E44/(E46*E45*E47*E48*E50*E51*(1/E49))</f>
        <v>5.1561371128230853</v>
      </c>
      <c r="G52" s="249" t="s">
        <v>36</v>
      </c>
      <c r="H52" s="288">
        <f>(H53*H54*H58*H64*((1-EXP(-H59*H60))))/(H61*H59)</f>
        <v>3.6421488784670224</v>
      </c>
      <c r="I52" s="249" t="s">
        <v>19</v>
      </c>
      <c r="J52" s="263" t="s">
        <v>37</v>
      </c>
      <c r="K52" s="290">
        <f>B44</f>
        <v>1.914E-5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267"/>
      <c r="DA52" s="289"/>
      <c r="DD52" s="289"/>
      <c r="DG52" s="289"/>
      <c r="DJ52" s="289"/>
      <c r="DM52" s="289"/>
      <c r="DP52" s="289"/>
      <c r="DS52" s="289"/>
      <c r="DV52" s="289"/>
      <c r="DW52" s="264"/>
      <c r="DX52" s="264"/>
      <c r="DY52" s="328"/>
      <c r="DZ52" s="264"/>
    </row>
    <row r="53" spans="1:130" s="249" customFormat="1" x14ac:dyDescent="0.2">
      <c r="A53" s="262" t="s">
        <v>320</v>
      </c>
      <c r="B53" s="283">
        <v>55</v>
      </c>
      <c r="C53" s="263" t="s">
        <v>54</v>
      </c>
      <c r="E53" s="289"/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262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267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249" customFormat="1" x14ac:dyDescent="0.2">
      <c r="A54" s="262" t="s">
        <v>321</v>
      </c>
      <c r="B54" s="283">
        <v>55</v>
      </c>
      <c r="C54" s="263" t="s">
        <v>54</v>
      </c>
      <c r="E54" s="289"/>
      <c r="G54" s="262" t="s">
        <v>46</v>
      </c>
      <c r="H54" s="287">
        <f>B86</f>
        <v>0.25</v>
      </c>
      <c r="I54" s="249" t="s">
        <v>47</v>
      </c>
      <c r="K54" s="289"/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262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267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249" customFormat="1" x14ac:dyDescent="0.2">
      <c r="A55" s="262" t="s">
        <v>322</v>
      </c>
      <c r="B55" s="283">
        <v>5</v>
      </c>
      <c r="C55" s="262" t="s">
        <v>30</v>
      </c>
      <c r="E55" s="289"/>
      <c r="G55" s="267" t="s">
        <v>55</v>
      </c>
      <c r="H55" s="303">
        <f>H62+H63</f>
        <v>3.1394977168949772E-5</v>
      </c>
      <c r="K55" s="289"/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267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267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249" customFormat="1" x14ac:dyDescent="0.2">
      <c r="A56" s="262" t="s">
        <v>323</v>
      </c>
      <c r="B56" s="283">
        <v>5</v>
      </c>
      <c r="C56" s="262" t="s">
        <v>30</v>
      </c>
      <c r="E56" s="289"/>
      <c r="G56" s="267" t="s">
        <v>60</v>
      </c>
      <c r="H56" s="289">
        <f>B87</f>
        <v>10950</v>
      </c>
      <c r="I56" s="249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267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267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249" customFormat="1" x14ac:dyDescent="0.2">
      <c r="A57" s="262" t="s">
        <v>337</v>
      </c>
      <c r="B57" s="283">
        <v>55</v>
      </c>
      <c r="C57" s="249" t="s">
        <v>54</v>
      </c>
      <c r="E57" s="289"/>
      <c r="G57" s="267" t="s">
        <v>65</v>
      </c>
      <c r="H57" s="289">
        <f>B88</f>
        <v>240</v>
      </c>
      <c r="I57" s="249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267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267"/>
      <c r="DA57" s="293"/>
      <c r="DB57" s="262"/>
      <c r="DD57" s="289"/>
      <c r="DG57" s="289"/>
      <c r="DJ57" s="289"/>
      <c r="DM57" s="289"/>
      <c r="DP57" s="289"/>
      <c r="DS57" s="289"/>
      <c r="DV57" s="289"/>
      <c r="DY57" s="289"/>
    </row>
    <row r="58" spans="1:130" s="249" customFormat="1" x14ac:dyDescent="0.2">
      <c r="A58" s="249" t="s">
        <v>357</v>
      </c>
      <c r="B58" s="283">
        <v>55</v>
      </c>
      <c r="C58" s="249" t="s">
        <v>54</v>
      </c>
      <c r="E58" s="289"/>
      <c r="G58" s="267" t="s">
        <v>76</v>
      </c>
      <c r="H58" s="289">
        <f>B89</f>
        <v>0.42</v>
      </c>
      <c r="I58" s="249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267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267"/>
      <c r="DA58" s="293"/>
      <c r="DB58" s="262"/>
      <c r="DD58" s="289"/>
      <c r="DG58" s="289"/>
      <c r="DJ58" s="289"/>
      <c r="DM58" s="289"/>
      <c r="DP58" s="289"/>
      <c r="DS58" s="289"/>
      <c r="DV58" s="289"/>
      <c r="DY58" s="289"/>
    </row>
    <row r="59" spans="1:130" s="249" customFormat="1" x14ac:dyDescent="0.2">
      <c r="A59" s="249" t="s">
        <v>336</v>
      </c>
      <c r="B59" s="283">
        <v>55</v>
      </c>
      <c r="C59" s="249" t="s">
        <v>54</v>
      </c>
      <c r="E59" s="289"/>
      <c r="G59" s="267" t="s">
        <v>81</v>
      </c>
      <c r="H59" s="299">
        <f>H63+(0.693/H65)</f>
        <v>4.9504394977168943E-2</v>
      </c>
      <c r="I59" s="262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267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267"/>
      <c r="DA59" s="293"/>
      <c r="DB59" s="262"/>
      <c r="DD59" s="289"/>
      <c r="DG59" s="289"/>
      <c r="DJ59" s="289"/>
      <c r="DM59" s="289"/>
      <c r="DP59" s="289"/>
      <c r="DS59" s="289"/>
      <c r="DV59" s="289"/>
      <c r="DY59" s="289"/>
    </row>
    <row r="60" spans="1:130" s="249" customFormat="1" x14ac:dyDescent="0.2">
      <c r="A60" s="262" t="s">
        <v>332</v>
      </c>
      <c r="B60" s="283">
        <v>55</v>
      </c>
      <c r="C60" s="267" t="s">
        <v>254</v>
      </c>
      <c r="E60" s="289"/>
      <c r="G60" s="267" t="s">
        <v>85</v>
      </c>
      <c r="H60" s="293">
        <f>B90</f>
        <v>60</v>
      </c>
      <c r="I60" s="262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267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267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249" customFormat="1" x14ac:dyDescent="0.2">
      <c r="A61" s="262" t="s">
        <v>333</v>
      </c>
      <c r="B61" s="283">
        <v>55</v>
      </c>
      <c r="C61" s="267" t="s">
        <v>254</v>
      </c>
      <c r="E61" s="289"/>
      <c r="G61" s="267" t="s">
        <v>87</v>
      </c>
      <c r="H61" s="293">
        <f>B91</f>
        <v>2</v>
      </c>
      <c r="I61" s="262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267"/>
      <c r="BW61" s="293"/>
      <c r="BX61" s="262"/>
      <c r="BZ61" s="289"/>
      <c r="CC61" s="289"/>
      <c r="CF61" s="289"/>
      <c r="CI61" s="289"/>
      <c r="CL61" s="289"/>
      <c r="CO61" s="289"/>
      <c r="CR61" s="289"/>
      <c r="CU61" s="289"/>
      <c r="CX61" s="289"/>
      <c r="CZ61" s="267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249" customFormat="1" x14ac:dyDescent="0.2">
      <c r="A62" s="262" t="s">
        <v>334</v>
      </c>
      <c r="B62" s="283">
        <v>55</v>
      </c>
      <c r="C62" s="267" t="s">
        <v>254</v>
      </c>
      <c r="E62" s="289"/>
      <c r="G62" s="267" t="s">
        <v>89</v>
      </c>
      <c r="H62" s="289">
        <f>B92</f>
        <v>2.6999999999999999E-5</v>
      </c>
      <c r="I62" s="249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267"/>
      <c r="BW62" s="293"/>
      <c r="BX62" s="262"/>
      <c r="BZ62" s="289"/>
      <c r="CC62" s="289"/>
      <c r="CF62" s="289"/>
      <c r="CI62" s="289"/>
      <c r="CL62" s="289"/>
      <c r="CO62" s="289"/>
      <c r="CR62" s="289"/>
      <c r="CU62" s="289"/>
      <c r="CX62" s="289"/>
      <c r="CZ62" s="267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249" customFormat="1" x14ac:dyDescent="0.2">
      <c r="A63" s="262" t="s">
        <v>335</v>
      </c>
      <c r="B63" s="283">
        <v>55</v>
      </c>
      <c r="C63" s="267" t="s">
        <v>254</v>
      </c>
      <c r="E63" s="289"/>
      <c r="G63" s="267" t="s">
        <v>90</v>
      </c>
      <c r="H63" s="288">
        <f>0.693/H67</f>
        <v>4.3949771689497717E-6</v>
      </c>
      <c r="I63" s="249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267"/>
      <c r="BW63" s="293"/>
      <c r="BX63" s="262"/>
      <c r="BZ63" s="289"/>
      <c r="CC63" s="289"/>
      <c r="CF63" s="289"/>
      <c r="CI63" s="289"/>
      <c r="CL63" s="289"/>
      <c r="CO63" s="289"/>
      <c r="CR63" s="289"/>
      <c r="CU63" s="289"/>
      <c r="CX63" s="289"/>
      <c r="CZ63" s="267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249" customFormat="1" x14ac:dyDescent="0.2">
      <c r="A64" s="262" t="s">
        <v>343</v>
      </c>
      <c r="B64" s="283">
        <v>5</v>
      </c>
      <c r="C64" s="264" t="s">
        <v>69</v>
      </c>
      <c r="E64" s="289"/>
      <c r="G64" s="267" t="s">
        <v>91</v>
      </c>
      <c r="H64" s="289">
        <f>B93</f>
        <v>1</v>
      </c>
      <c r="I64" s="249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275"/>
      <c r="AJ64" s="353"/>
      <c r="AK64" s="275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267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249" customFormat="1" x14ac:dyDescent="0.2">
      <c r="A65" s="262" t="s">
        <v>342</v>
      </c>
      <c r="B65" s="283">
        <v>15</v>
      </c>
      <c r="C65" s="264" t="s">
        <v>69</v>
      </c>
      <c r="E65" s="289"/>
      <c r="G65" s="267" t="s">
        <v>92</v>
      </c>
      <c r="H65" s="289">
        <f>B94</f>
        <v>14</v>
      </c>
      <c r="I65" s="249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275"/>
      <c r="AJ65" s="353"/>
      <c r="AK65" s="275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267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249" customFormat="1" x14ac:dyDescent="0.2">
      <c r="A66" s="262" t="s">
        <v>341</v>
      </c>
      <c r="B66" s="283">
        <v>20</v>
      </c>
      <c r="C66" s="264" t="s">
        <v>69</v>
      </c>
      <c r="E66" s="289"/>
      <c r="G66" s="249" t="s">
        <v>38</v>
      </c>
      <c r="H66" s="287">
        <f>B45</f>
        <v>2.1999999999999999E-5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275"/>
      <c r="AJ66" s="353"/>
      <c r="AK66" s="275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267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262"/>
      <c r="DA66" s="287"/>
    </row>
    <row r="67" spans="1:105" s="249" customFormat="1" x14ac:dyDescent="0.2">
      <c r="A67" s="262" t="s">
        <v>340</v>
      </c>
      <c r="B67" s="283">
        <v>55</v>
      </c>
      <c r="C67" s="264" t="s">
        <v>26</v>
      </c>
      <c r="E67" s="289"/>
      <c r="G67" s="262" t="s">
        <v>273</v>
      </c>
      <c r="H67" s="287">
        <f>B35</f>
        <v>157680</v>
      </c>
      <c r="I67" s="249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275"/>
      <c r="AJ67" s="353"/>
      <c r="AK67" s="275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267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249" customFormat="1" x14ac:dyDescent="0.2">
      <c r="A68" s="262" t="s">
        <v>339</v>
      </c>
      <c r="B68" s="283">
        <v>55</v>
      </c>
      <c r="C68" s="264" t="s">
        <v>26</v>
      </c>
      <c r="E68" s="289"/>
      <c r="H68" s="289"/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275"/>
      <c r="AJ68" s="353"/>
      <c r="AK68" s="275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249" customFormat="1" x14ac:dyDescent="0.2">
      <c r="A69" s="262" t="s">
        <v>338</v>
      </c>
      <c r="B69" s="283">
        <v>55</v>
      </c>
      <c r="C69" s="264" t="s">
        <v>26</v>
      </c>
      <c r="E69" s="289"/>
      <c r="H69" s="289"/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275"/>
      <c r="AJ69" s="353"/>
      <c r="AK69" s="275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262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249" customFormat="1" x14ac:dyDescent="0.2">
      <c r="A70" s="249" t="s">
        <v>344</v>
      </c>
      <c r="B70" s="284">
        <v>2</v>
      </c>
      <c r="C70" s="92" t="s">
        <v>104</v>
      </c>
      <c r="E70" s="289"/>
      <c r="H70" s="289"/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275"/>
      <c r="AJ70" s="353"/>
      <c r="AK70" s="275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262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249" customFormat="1" x14ac:dyDescent="0.2">
      <c r="A71" s="249" t="s">
        <v>345</v>
      </c>
      <c r="B71" s="284">
        <v>2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275"/>
      <c r="AJ71" s="353"/>
      <c r="AK71" s="275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262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249" customFormat="1" x14ac:dyDescent="0.2">
      <c r="A72" s="262" t="s">
        <v>347</v>
      </c>
      <c r="B72" s="283">
        <v>15</v>
      </c>
      <c r="C72" s="264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275"/>
      <c r="AI72" s="275"/>
      <c r="AJ72" s="353"/>
      <c r="AK72" s="275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249" customFormat="1" x14ac:dyDescent="0.2">
      <c r="A73" s="262" t="s">
        <v>348</v>
      </c>
      <c r="B73" s="283">
        <v>15</v>
      </c>
      <c r="C73" s="264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275"/>
      <c r="AI73" s="275"/>
      <c r="AJ73" s="353"/>
      <c r="AK73" s="275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249" customFormat="1" x14ac:dyDescent="0.2">
      <c r="A74" s="262" t="s">
        <v>346</v>
      </c>
      <c r="B74" s="283">
        <v>15</v>
      </c>
      <c r="C74" s="264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275"/>
      <c r="AI74" s="275"/>
      <c r="AJ74" s="353"/>
      <c r="AK74" s="275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249" customFormat="1" x14ac:dyDescent="0.2">
      <c r="A75" s="249" t="s">
        <v>349</v>
      </c>
      <c r="B75" s="284">
        <v>2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275"/>
      <c r="AI75" s="275"/>
      <c r="AJ75" s="353"/>
      <c r="AK75" s="275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249" customFormat="1" x14ac:dyDescent="0.2">
      <c r="A76" s="249" t="s">
        <v>350</v>
      </c>
      <c r="B76" s="284">
        <v>2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275"/>
      <c r="AI76" s="275"/>
      <c r="AJ76" s="353"/>
      <c r="AK76" s="275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249" customFormat="1" x14ac:dyDescent="0.2">
      <c r="A77" s="262" t="s">
        <v>103</v>
      </c>
      <c r="B77" s="283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275"/>
      <c r="AI77" s="275"/>
      <c r="AJ77" s="353"/>
      <c r="AK77" s="275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249" customFormat="1" x14ac:dyDescent="0.2">
      <c r="A78" s="249" t="s">
        <v>353</v>
      </c>
      <c r="B78" s="284">
        <v>1</v>
      </c>
      <c r="C78" s="247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249" customFormat="1" x14ac:dyDescent="0.2">
      <c r="A79" s="249" t="s">
        <v>158</v>
      </c>
      <c r="B79" s="284">
        <v>0.4</v>
      </c>
      <c r="C79" s="247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275"/>
      <c r="AI79" s="275"/>
      <c r="AJ79" s="353"/>
      <c r="AK79" s="275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249" customFormat="1" x14ac:dyDescent="0.2">
      <c r="A80" s="249" t="s">
        <v>159</v>
      </c>
      <c r="B80" s="282">
        <f>B3</f>
        <v>2.41E-4</v>
      </c>
      <c r="C80" s="247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275"/>
      <c r="AI80" s="275"/>
      <c r="AJ80" s="353"/>
      <c r="AK80" s="275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249" customFormat="1" x14ac:dyDescent="0.2">
      <c r="A81" s="249" t="s">
        <v>62</v>
      </c>
      <c r="B81" s="282">
        <f>B4</f>
        <v>0.753</v>
      </c>
      <c r="C81" s="247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249" customFormat="1" x14ac:dyDescent="0.2">
      <c r="A82" s="262" t="s">
        <v>124</v>
      </c>
      <c r="B82" s="284">
        <v>1</v>
      </c>
      <c r="C82" s="263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249" customFormat="1" x14ac:dyDescent="0.2">
      <c r="A83" s="249" t="s">
        <v>83</v>
      </c>
      <c r="B83" s="284">
        <v>0.5</v>
      </c>
      <c r="C83" s="249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249" customFormat="1" x14ac:dyDescent="0.2">
      <c r="A84" s="249" t="s">
        <v>355</v>
      </c>
      <c r="B84" s="284">
        <v>0.25</v>
      </c>
      <c r="C84" s="24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249" customFormat="1" x14ac:dyDescent="0.2">
      <c r="A85" s="262" t="s">
        <v>41</v>
      </c>
      <c r="B85" s="284">
        <v>3.62</v>
      </c>
      <c r="C85" s="249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249" customFormat="1" x14ac:dyDescent="0.2">
      <c r="A86" s="262" t="s">
        <v>46</v>
      </c>
      <c r="B86" s="284">
        <v>0.25</v>
      </c>
      <c r="C86" s="249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249" customFormat="1" x14ac:dyDescent="0.2">
      <c r="A87" s="267" t="s">
        <v>60</v>
      </c>
      <c r="B87" s="284">
        <v>10950</v>
      </c>
      <c r="C87" s="249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249" customFormat="1" x14ac:dyDescent="0.2">
      <c r="A88" s="267" t="s">
        <v>65</v>
      </c>
      <c r="B88" s="284">
        <v>240</v>
      </c>
      <c r="C88" s="249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249" customFormat="1" x14ac:dyDescent="0.2">
      <c r="A89" s="267" t="s">
        <v>76</v>
      </c>
      <c r="B89" s="284">
        <v>0.42</v>
      </c>
      <c r="C89" s="24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249" customFormat="1" x14ac:dyDescent="0.2">
      <c r="A90" s="267" t="s">
        <v>85</v>
      </c>
      <c r="B90" s="284">
        <v>60</v>
      </c>
      <c r="C90" s="262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249" customFormat="1" x14ac:dyDescent="0.2">
      <c r="A91" s="267" t="s">
        <v>87</v>
      </c>
      <c r="B91" s="284">
        <v>2</v>
      </c>
      <c r="C91" s="262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249" customFormat="1" x14ac:dyDescent="0.2">
      <c r="A92" s="267" t="s">
        <v>89</v>
      </c>
      <c r="B92" s="284">
        <v>2.6999999999999999E-5</v>
      </c>
      <c r="C92" s="249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249" customFormat="1" x14ac:dyDescent="0.2">
      <c r="A93" s="267" t="s">
        <v>91</v>
      </c>
      <c r="B93" s="284">
        <v>1</v>
      </c>
      <c r="C93" s="249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249" customFormat="1" x14ac:dyDescent="0.2">
      <c r="A94" s="267" t="s">
        <v>92</v>
      </c>
      <c r="B94" s="284">
        <v>14</v>
      </c>
      <c r="C94" s="249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249" customFormat="1" x14ac:dyDescent="0.2">
      <c r="A95" s="262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249" customFormat="1" x14ac:dyDescent="0.2">
      <c r="A96" s="262" t="s">
        <v>351</v>
      </c>
      <c r="B96" s="283">
        <v>1.752</v>
      </c>
      <c r="C96" s="264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249" customFormat="1" x14ac:dyDescent="0.2">
      <c r="A97" s="262" t="s">
        <v>352</v>
      </c>
      <c r="B97" s="283">
        <v>16.416</v>
      </c>
      <c r="C97" s="264" t="s">
        <v>224</v>
      </c>
    </row>
    <row r="98" spans="1:3" s="249" customFormat="1" ht="15" x14ac:dyDescent="0.2">
      <c r="A98" s="517" t="s">
        <v>5</v>
      </c>
      <c r="B98" s="517"/>
      <c r="C98" s="517"/>
    </row>
    <row r="99" spans="1:3" s="249" customFormat="1" x14ac:dyDescent="0.2">
      <c r="A99" s="262" t="s">
        <v>358</v>
      </c>
      <c r="B99" s="284">
        <v>55</v>
      </c>
      <c r="C99" s="267" t="s">
        <v>359</v>
      </c>
    </row>
    <row r="100" spans="1:3" s="249" customFormat="1" x14ac:dyDescent="0.2">
      <c r="A100" s="262" t="s">
        <v>360</v>
      </c>
      <c r="B100" s="284">
        <v>55</v>
      </c>
      <c r="C100" s="267" t="s">
        <v>359</v>
      </c>
    </row>
    <row r="101" spans="1:3" s="249" customFormat="1" x14ac:dyDescent="0.2">
      <c r="A101" s="262" t="s">
        <v>305</v>
      </c>
      <c r="B101" s="283">
        <v>5</v>
      </c>
      <c r="C101" s="262" t="s">
        <v>361</v>
      </c>
    </row>
    <row r="102" spans="1:3" s="249" customFormat="1" x14ac:dyDescent="0.2">
      <c r="A102" s="262" t="s">
        <v>306</v>
      </c>
      <c r="B102" s="283">
        <v>5</v>
      </c>
      <c r="C102" s="262" t="s">
        <v>361</v>
      </c>
    </row>
    <row r="103" spans="1:3" s="249" customFormat="1" x14ac:dyDescent="0.2">
      <c r="A103" s="262" t="s">
        <v>362</v>
      </c>
      <c r="B103" s="284">
        <v>55</v>
      </c>
      <c r="C103" s="263" t="s">
        <v>54</v>
      </c>
    </row>
    <row r="104" spans="1:3" s="249" customFormat="1" x14ac:dyDescent="0.2">
      <c r="A104" s="262" t="s">
        <v>363</v>
      </c>
      <c r="B104" s="284">
        <v>55</v>
      </c>
      <c r="C104" s="263" t="s">
        <v>54</v>
      </c>
    </row>
    <row r="105" spans="1:3" s="249" customFormat="1" x14ac:dyDescent="0.2">
      <c r="A105" s="249" t="s">
        <v>187</v>
      </c>
      <c r="B105" s="284">
        <v>1</v>
      </c>
      <c r="C105" s="249" t="s">
        <v>254</v>
      </c>
    </row>
    <row r="106" spans="1:3" s="249" customFormat="1" x14ac:dyDescent="0.2">
      <c r="A106" s="249" t="s">
        <v>188</v>
      </c>
      <c r="B106" s="284">
        <v>1</v>
      </c>
      <c r="C106" s="249" t="s">
        <v>254</v>
      </c>
    </row>
    <row r="107" spans="1:3" s="249" customFormat="1" x14ac:dyDescent="0.2">
      <c r="A107" s="94" t="s">
        <v>373</v>
      </c>
      <c r="B107" s="283">
        <v>6</v>
      </c>
      <c r="C107" s="270" t="s">
        <v>69</v>
      </c>
    </row>
    <row r="108" spans="1:3" s="249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249" customFormat="1" x14ac:dyDescent="0.2">
      <c r="A109" s="94" t="s">
        <v>59</v>
      </c>
      <c r="B109" s="283">
        <v>26</v>
      </c>
      <c r="C109" s="270" t="s">
        <v>69</v>
      </c>
    </row>
    <row r="110" spans="1:3" s="249" customFormat="1" x14ac:dyDescent="0.2">
      <c r="A110" s="94" t="s">
        <v>371</v>
      </c>
      <c r="B110" s="107">
        <v>75</v>
      </c>
      <c r="C110" s="94" t="s">
        <v>26</v>
      </c>
    </row>
    <row r="111" spans="1:3" s="249" customFormat="1" x14ac:dyDescent="0.2">
      <c r="A111" s="94" t="s">
        <v>370</v>
      </c>
      <c r="B111" s="283">
        <v>75</v>
      </c>
      <c r="C111" s="94" t="s">
        <v>26</v>
      </c>
    </row>
    <row r="112" spans="1:3" s="249" customFormat="1" x14ac:dyDescent="0.2">
      <c r="A112" s="94" t="s">
        <v>157</v>
      </c>
      <c r="B112" s="283">
        <v>75</v>
      </c>
      <c r="C112" s="94" t="s">
        <v>26</v>
      </c>
    </row>
    <row r="113" spans="1:3" s="249" customFormat="1" x14ac:dyDescent="0.2">
      <c r="A113" s="94" t="s">
        <v>105</v>
      </c>
      <c r="B113" s="283">
        <v>1</v>
      </c>
      <c r="C113" s="92" t="s">
        <v>224</v>
      </c>
    </row>
    <row r="114" spans="1:3" s="249" customFormat="1" x14ac:dyDescent="0.2">
      <c r="A114" s="92" t="s">
        <v>368</v>
      </c>
      <c r="B114" s="284">
        <v>1</v>
      </c>
      <c r="C114" s="92" t="s">
        <v>224</v>
      </c>
    </row>
    <row r="115" spans="1:3" s="249" customFormat="1" x14ac:dyDescent="0.2">
      <c r="A115" s="92" t="s">
        <v>369</v>
      </c>
      <c r="B115" s="284">
        <v>1</v>
      </c>
      <c r="C115" s="92" t="s">
        <v>224</v>
      </c>
    </row>
    <row r="116" spans="1:3" s="249" customFormat="1" x14ac:dyDescent="0.2">
      <c r="A116" s="249" t="s">
        <v>366</v>
      </c>
      <c r="B116" s="284">
        <v>1</v>
      </c>
      <c r="C116" s="249" t="s">
        <v>104</v>
      </c>
    </row>
    <row r="117" spans="1:3" s="249" customFormat="1" x14ac:dyDescent="0.2">
      <c r="A117" s="249" t="s">
        <v>367</v>
      </c>
      <c r="B117" s="284">
        <v>1</v>
      </c>
      <c r="C117" s="249" t="s">
        <v>104</v>
      </c>
    </row>
    <row r="118" spans="1:3" s="249" customFormat="1" x14ac:dyDescent="0.2">
      <c r="A118" s="94" t="s">
        <v>364</v>
      </c>
      <c r="B118" s="284">
        <v>1</v>
      </c>
      <c r="C118" s="92" t="s">
        <v>98</v>
      </c>
    </row>
    <row r="119" spans="1:3" s="249" customFormat="1" x14ac:dyDescent="0.2">
      <c r="A119" s="94" t="s">
        <v>365</v>
      </c>
      <c r="B119" s="284">
        <v>1</v>
      </c>
      <c r="C119" s="92" t="s">
        <v>98</v>
      </c>
    </row>
    <row r="120" spans="1:3" s="249" customFormat="1" x14ac:dyDescent="0.2">
      <c r="A120" s="263" t="s">
        <v>192</v>
      </c>
      <c r="B120" s="283">
        <v>1</v>
      </c>
      <c r="C120" s="249" t="s">
        <v>283</v>
      </c>
    </row>
    <row r="121" spans="1:3" s="249" customFormat="1" x14ac:dyDescent="0.2">
      <c r="A121" s="263" t="s">
        <v>189</v>
      </c>
      <c r="B121" s="283">
        <v>1</v>
      </c>
      <c r="C121" s="249" t="s">
        <v>283</v>
      </c>
    </row>
    <row r="122" spans="1:3" s="249" customFormat="1" x14ac:dyDescent="0.2">
      <c r="A122" s="263" t="s">
        <v>190</v>
      </c>
      <c r="B122" s="283">
        <v>1</v>
      </c>
      <c r="C122" s="249" t="s">
        <v>47</v>
      </c>
    </row>
    <row r="123" spans="1:3" s="249" customFormat="1" x14ac:dyDescent="0.2">
      <c r="A123" s="263" t="s">
        <v>191</v>
      </c>
      <c r="B123" s="283">
        <v>1</v>
      </c>
      <c r="C123" s="249" t="s">
        <v>47</v>
      </c>
    </row>
    <row r="124" spans="1:3" s="249" customFormat="1" x14ac:dyDescent="0.2">
      <c r="A124" s="263" t="s">
        <v>199</v>
      </c>
      <c r="B124" s="283">
        <v>1</v>
      </c>
      <c r="C124" s="249" t="s">
        <v>30</v>
      </c>
    </row>
    <row r="125" spans="1:3" s="249" customFormat="1" x14ac:dyDescent="0.2">
      <c r="A125" s="249" t="s">
        <v>193</v>
      </c>
      <c r="B125" s="283">
        <v>1</v>
      </c>
      <c r="C125" s="249" t="s">
        <v>283</v>
      </c>
    </row>
    <row r="126" spans="1:3" s="249" customFormat="1" x14ac:dyDescent="0.2">
      <c r="A126" s="249" t="s">
        <v>196</v>
      </c>
      <c r="B126" s="283">
        <v>1</v>
      </c>
      <c r="C126" s="249" t="s">
        <v>283</v>
      </c>
    </row>
    <row r="127" spans="1:3" s="249" customFormat="1" x14ac:dyDescent="0.2">
      <c r="A127" s="268" t="s">
        <v>197</v>
      </c>
      <c r="B127" s="283">
        <v>1</v>
      </c>
      <c r="C127" s="249" t="s">
        <v>47</v>
      </c>
    </row>
    <row r="128" spans="1:3" s="249" customFormat="1" x14ac:dyDescent="0.2">
      <c r="A128" s="262" t="s">
        <v>198</v>
      </c>
      <c r="B128" s="283">
        <v>1</v>
      </c>
      <c r="C128" s="249" t="s">
        <v>47</v>
      </c>
    </row>
    <row r="129" spans="1:3" s="249" customFormat="1" x14ac:dyDescent="0.2">
      <c r="A129" s="263" t="s">
        <v>200</v>
      </c>
      <c r="B129" s="283">
        <v>1</v>
      </c>
      <c r="C129" s="249" t="s">
        <v>30</v>
      </c>
    </row>
    <row r="130" spans="1:3" s="249" customFormat="1" x14ac:dyDescent="0.2">
      <c r="A130" s="262" t="s">
        <v>255</v>
      </c>
      <c r="B130" s="284">
        <v>1</v>
      </c>
    </row>
    <row r="131" spans="1:3" s="249" customFormat="1" x14ac:dyDescent="0.2">
      <c r="A131" s="249" t="s">
        <v>83</v>
      </c>
      <c r="B131" s="284">
        <v>0.5</v>
      </c>
    </row>
    <row r="132" spans="1:3" s="249" customFormat="1" ht="15" x14ac:dyDescent="0.2">
      <c r="A132" s="518" t="s">
        <v>180</v>
      </c>
      <c r="B132" s="518"/>
      <c r="C132" s="518"/>
    </row>
    <row r="133" spans="1:3" s="249" customFormat="1" x14ac:dyDescent="0.2">
      <c r="A133" s="262" t="s">
        <v>374</v>
      </c>
      <c r="B133" s="283">
        <v>55</v>
      </c>
      <c r="C133" s="263" t="s">
        <v>54</v>
      </c>
    </row>
    <row r="134" spans="1:3" s="249" customFormat="1" x14ac:dyDescent="0.2">
      <c r="A134" s="262" t="s">
        <v>375</v>
      </c>
      <c r="B134" s="283">
        <v>55</v>
      </c>
      <c r="C134" s="263" t="s">
        <v>54</v>
      </c>
    </row>
    <row r="135" spans="1:3" s="249" customFormat="1" x14ac:dyDescent="0.2">
      <c r="A135" s="262" t="s">
        <v>376</v>
      </c>
      <c r="B135" s="283">
        <v>55</v>
      </c>
      <c r="C135" s="267" t="s">
        <v>359</v>
      </c>
    </row>
    <row r="136" spans="1:3" s="249" customFormat="1" x14ac:dyDescent="0.2">
      <c r="A136" s="262" t="s">
        <v>377</v>
      </c>
      <c r="B136" s="283">
        <v>55</v>
      </c>
      <c r="C136" s="267" t="s">
        <v>359</v>
      </c>
    </row>
    <row r="137" spans="1:3" s="249" customFormat="1" x14ac:dyDescent="0.2">
      <c r="A137" s="267" t="s">
        <v>378</v>
      </c>
      <c r="B137" s="284">
        <v>5</v>
      </c>
      <c r="C137" s="262" t="s">
        <v>30</v>
      </c>
    </row>
    <row r="138" spans="1:3" s="249" customFormat="1" x14ac:dyDescent="0.2">
      <c r="A138" s="267" t="s">
        <v>379</v>
      </c>
      <c r="B138" s="284">
        <v>5</v>
      </c>
      <c r="C138" s="262" t="s">
        <v>30</v>
      </c>
    </row>
    <row r="139" spans="1:3" s="249" customFormat="1" x14ac:dyDescent="0.2">
      <c r="A139" s="262" t="s">
        <v>380</v>
      </c>
      <c r="B139" s="283">
        <v>55</v>
      </c>
      <c r="C139" s="267" t="s">
        <v>254</v>
      </c>
    </row>
    <row r="140" spans="1:3" s="249" customFormat="1" x14ac:dyDescent="0.2">
      <c r="A140" s="262" t="s">
        <v>381</v>
      </c>
      <c r="B140" s="283">
        <v>55</v>
      </c>
      <c r="C140" s="267" t="s">
        <v>254</v>
      </c>
    </row>
    <row r="141" spans="1:3" s="249" customFormat="1" x14ac:dyDescent="0.2">
      <c r="A141" s="262" t="s">
        <v>382</v>
      </c>
      <c r="B141" s="283">
        <v>55</v>
      </c>
      <c r="C141" s="267" t="s">
        <v>254</v>
      </c>
    </row>
    <row r="142" spans="1:3" s="249" customFormat="1" x14ac:dyDescent="0.2">
      <c r="A142" s="262" t="s">
        <v>383</v>
      </c>
      <c r="B142" s="283">
        <v>55</v>
      </c>
      <c r="C142" s="267" t="s">
        <v>254</v>
      </c>
    </row>
    <row r="143" spans="1:3" s="249" customFormat="1" x14ac:dyDescent="0.2">
      <c r="A143" s="262" t="s">
        <v>479</v>
      </c>
      <c r="B143" s="283">
        <v>55</v>
      </c>
      <c r="C143" s="267" t="s">
        <v>254</v>
      </c>
    </row>
    <row r="144" spans="1:3" s="249" customFormat="1" x14ac:dyDescent="0.2">
      <c r="A144" s="262" t="s">
        <v>480</v>
      </c>
      <c r="B144" s="283">
        <v>55</v>
      </c>
      <c r="C144" s="267" t="s">
        <v>254</v>
      </c>
    </row>
    <row r="145" spans="1:3" s="249" customFormat="1" x14ac:dyDescent="0.2">
      <c r="A145" s="262" t="s">
        <v>481</v>
      </c>
      <c r="B145" s="283">
        <v>55</v>
      </c>
      <c r="C145" s="267" t="s">
        <v>254</v>
      </c>
    </row>
    <row r="146" spans="1:3" s="249" customFormat="1" x14ac:dyDescent="0.2">
      <c r="A146" s="262" t="s">
        <v>482</v>
      </c>
      <c r="B146" s="283">
        <v>55</v>
      </c>
      <c r="C146" s="267" t="s">
        <v>254</v>
      </c>
    </row>
    <row r="147" spans="1:3" s="249" customFormat="1" x14ac:dyDescent="0.2">
      <c r="A147" s="262" t="s">
        <v>326</v>
      </c>
      <c r="B147" s="283">
        <v>55</v>
      </c>
      <c r="C147" s="262" t="s">
        <v>254</v>
      </c>
    </row>
    <row r="148" spans="1:3" s="249" customFormat="1" x14ac:dyDescent="0.2">
      <c r="A148" s="262" t="s">
        <v>327</v>
      </c>
      <c r="B148" s="283">
        <v>55</v>
      </c>
      <c r="C148" s="262" t="s">
        <v>254</v>
      </c>
    </row>
    <row r="149" spans="1:3" s="249" customFormat="1" x14ac:dyDescent="0.2">
      <c r="A149" s="262" t="s">
        <v>483</v>
      </c>
      <c r="B149" s="283">
        <v>55</v>
      </c>
      <c r="C149" s="267" t="s">
        <v>254</v>
      </c>
    </row>
    <row r="150" spans="1:3" s="249" customFormat="1" x14ac:dyDescent="0.2">
      <c r="A150" s="262" t="s">
        <v>484</v>
      </c>
      <c r="B150" s="283">
        <v>55</v>
      </c>
      <c r="C150" s="267" t="s">
        <v>254</v>
      </c>
    </row>
    <row r="151" spans="1:3" s="249" customFormat="1" x14ac:dyDescent="0.2">
      <c r="A151" s="262" t="s">
        <v>324</v>
      </c>
      <c r="B151" s="283">
        <v>55</v>
      </c>
      <c r="C151" s="262" t="s">
        <v>254</v>
      </c>
    </row>
    <row r="152" spans="1:3" s="249" customFormat="1" x14ac:dyDescent="0.2">
      <c r="A152" s="262" t="s">
        <v>325</v>
      </c>
      <c r="B152" s="283">
        <v>55</v>
      </c>
      <c r="C152" s="262" t="s">
        <v>254</v>
      </c>
    </row>
    <row r="153" spans="1:3" s="249" customFormat="1" x14ac:dyDescent="0.2">
      <c r="A153" s="262" t="s">
        <v>328</v>
      </c>
      <c r="B153" s="283">
        <v>55</v>
      </c>
      <c r="C153" s="262" t="s">
        <v>254</v>
      </c>
    </row>
    <row r="154" spans="1:3" s="249" customFormat="1" x14ac:dyDescent="0.2">
      <c r="A154" s="262" t="s">
        <v>329</v>
      </c>
      <c r="B154" s="283">
        <v>55</v>
      </c>
      <c r="C154" s="262" t="s">
        <v>254</v>
      </c>
    </row>
    <row r="155" spans="1:3" s="249" customFormat="1" x14ac:dyDescent="0.2">
      <c r="A155" s="262" t="s">
        <v>384</v>
      </c>
      <c r="B155" s="284">
        <v>10</v>
      </c>
      <c r="C155" s="93" t="s">
        <v>69</v>
      </c>
    </row>
    <row r="156" spans="1:3" s="249" customFormat="1" x14ac:dyDescent="0.2">
      <c r="A156" s="262" t="s">
        <v>385</v>
      </c>
      <c r="B156" s="284">
        <v>20</v>
      </c>
      <c r="C156" s="93" t="s">
        <v>69</v>
      </c>
    </row>
    <row r="157" spans="1:3" s="249" customFormat="1" x14ac:dyDescent="0.2">
      <c r="A157" s="262" t="s">
        <v>386</v>
      </c>
      <c r="B157" s="284">
        <v>30</v>
      </c>
      <c r="C157" s="93" t="s">
        <v>69</v>
      </c>
    </row>
    <row r="158" spans="1:3" s="249" customFormat="1" x14ac:dyDescent="0.2">
      <c r="A158" s="262" t="s">
        <v>387</v>
      </c>
      <c r="B158" s="284">
        <v>55</v>
      </c>
      <c r="C158" s="262" t="s">
        <v>26</v>
      </c>
    </row>
    <row r="159" spans="1:3" s="249" customFormat="1" x14ac:dyDescent="0.2">
      <c r="A159" s="262" t="s">
        <v>388</v>
      </c>
      <c r="B159" s="284">
        <v>55</v>
      </c>
      <c r="C159" s="262" t="s">
        <v>26</v>
      </c>
    </row>
    <row r="160" spans="1:3" s="249" customFormat="1" x14ac:dyDescent="0.2">
      <c r="A160" s="262" t="s">
        <v>389</v>
      </c>
      <c r="B160" s="283">
        <v>15</v>
      </c>
      <c r="C160" s="263" t="s">
        <v>224</v>
      </c>
    </row>
    <row r="161" spans="1:3" s="249" customFormat="1" x14ac:dyDescent="0.2">
      <c r="A161" s="262" t="s">
        <v>390</v>
      </c>
      <c r="B161" s="283">
        <v>15</v>
      </c>
      <c r="C161" s="263" t="s">
        <v>224</v>
      </c>
    </row>
    <row r="162" spans="1:3" s="249" customFormat="1" x14ac:dyDescent="0.2">
      <c r="A162" s="262" t="s">
        <v>396</v>
      </c>
      <c r="B162" s="283">
        <v>15</v>
      </c>
      <c r="C162" s="263" t="s">
        <v>224</v>
      </c>
    </row>
    <row r="163" spans="1:3" s="249" customFormat="1" x14ac:dyDescent="0.2">
      <c r="A163" s="249" t="s">
        <v>393</v>
      </c>
      <c r="B163" s="283">
        <v>2</v>
      </c>
      <c r="C163" s="267" t="s">
        <v>395</v>
      </c>
    </row>
    <row r="164" spans="1:3" s="249" customFormat="1" x14ac:dyDescent="0.2">
      <c r="A164" s="249" t="s">
        <v>394</v>
      </c>
      <c r="B164" s="283">
        <v>2</v>
      </c>
      <c r="C164" s="267" t="s">
        <v>395</v>
      </c>
    </row>
    <row r="165" spans="1:3" s="249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249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249" customFormat="1" x14ac:dyDescent="0.2">
      <c r="A167" s="262" t="s">
        <v>397</v>
      </c>
      <c r="B167" s="283">
        <v>2</v>
      </c>
      <c r="C167" s="267" t="s">
        <v>166</v>
      </c>
    </row>
    <row r="168" spans="1:3" s="249" customFormat="1" x14ac:dyDescent="0.2">
      <c r="A168" s="262" t="s">
        <v>398</v>
      </c>
      <c r="B168" s="283">
        <v>2</v>
      </c>
      <c r="C168" s="267" t="s">
        <v>166</v>
      </c>
    </row>
    <row r="169" spans="1:3" s="249" customFormat="1" x14ac:dyDescent="0.2">
      <c r="A169" s="262" t="s">
        <v>103</v>
      </c>
      <c r="B169" s="283">
        <v>0.4</v>
      </c>
      <c r="C169" s="247"/>
    </row>
    <row r="170" spans="1:3" s="249" customFormat="1" x14ac:dyDescent="0.2">
      <c r="A170" s="262" t="s">
        <v>158</v>
      </c>
      <c r="B170" s="283">
        <v>0.4</v>
      </c>
      <c r="C170" s="247"/>
    </row>
    <row r="171" spans="1:3" s="249" customFormat="1" x14ac:dyDescent="0.2">
      <c r="A171" s="262" t="s">
        <v>159</v>
      </c>
      <c r="B171" s="282">
        <f>B3</f>
        <v>2.41E-4</v>
      </c>
      <c r="C171" s="247"/>
    </row>
    <row r="172" spans="1:3" s="249" customFormat="1" x14ac:dyDescent="0.2">
      <c r="A172" s="262" t="s">
        <v>62</v>
      </c>
      <c r="B172" s="282">
        <f>B4</f>
        <v>0.753</v>
      </c>
      <c r="C172" s="247"/>
    </row>
    <row r="173" spans="1:3" s="249" customFormat="1" x14ac:dyDescent="0.2">
      <c r="A173" s="262" t="s">
        <v>255</v>
      </c>
      <c r="B173" s="284">
        <v>2</v>
      </c>
      <c r="C173" s="247"/>
    </row>
    <row r="174" spans="1:3" s="249" customFormat="1" x14ac:dyDescent="0.2">
      <c r="A174" s="267" t="s">
        <v>399</v>
      </c>
      <c r="B174" s="283">
        <v>2</v>
      </c>
      <c r="C174" s="247"/>
    </row>
    <row r="175" spans="1:3" s="249" customFormat="1" x14ac:dyDescent="0.2">
      <c r="A175" s="267" t="s">
        <v>400</v>
      </c>
      <c r="B175" s="283">
        <v>2</v>
      </c>
      <c r="C175" s="247"/>
    </row>
    <row r="176" spans="1:3" s="249" customFormat="1" x14ac:dyDescent="0.2">
      <c r="A176" s="267" t="s">
        <v>401</v>
      </c>
      <c r="B176" s="283">
        <v>2</v>
      </c>
      <c r="C176" s="247"/>
    </row>
    <row r="177" spans="1:3" s="249" customFormat="1" x14ac:dyDescent="0.2">
      <c r="A177" s="267" t="s">
        <v>402</v>
      </c>
      <c r="B177" s="283">
        <v>2</v>
      </c>
      <c r="C177" s="247"/>
    </row>
    <row r="178" spans="1:3" s="249" customFormat="1" x14ac:dyDescent="0.2">
      <c r="A178" s="267" t="s">
        <v>403</v>
      </c>
      <c r="B178" s="283">
        <v>2</v>
      </c>
      <c r="C178" s="247"/>
    </row>
    <row r="179" spans="1:3" s="249" customFormat="1" x14ac:dyDescent="0.2">
      <c r="A179" s="267" t="s">
        <v>404</v>
      </c>
      <c r="B179" s="283">
        <v>2</v>
      </c>
      <c r="C179" s="247"/>
    </row>
    <row r="180" spans="1:3" s="249" customFormat="1" x14ac:dyDescent="0.2">
      <c r="A180" s="267" t="s">
        <v>405</v>
      </c>
      <c r="B180" s="284">
        <v>2</v>
      </c>
      <c r="C180" s="247"/>
    </row>
    <row r="181" spans="1:3" s="249" customFormat="1" x14ac:dyDescent="0.2">
      <c r="A181" s="262" t="s">
        <v>41</v>
      </c>
      <c r="B181" s="284">
        <v>3.62</v>
      </c>
      <c r="C181" s="249" t="s">
        <v>42</v>
      </c>
    </row>
    <row r="182" spans="1:3" s="249" customFormat="1" x14ac:dyDescent="0.2">
      <c r="A182" s="262" t="s">
        <v>46</v>
      </c>
      <c r="B182" s="284">
        <v>0.25</v>
      </c>
      <c r="C182" s="249" t="s">
        <v>47</v>
      </c>
    </row>
    <row r="183" spans="1:3" s="249" customFormat="1" x14ac:dyDescent="0.2">
      <c r="A183" s="267" t="s">
        <v>60</v>
      </c>
      <c r="B183" s="284">
        <v>10950</v>
      </c>
      <c r="C183" s="249" t="s">
        <v>61</v>
      </c>
    </row>
    <row r="184" spans="1:3" s="249" customFormat="1" x14ac:dyDescent="0.2">
      <c r="A184" s="267" t="s">
        <v>65</v>
      </c>
      <c r="B184" s="284">
        <v>240</v>
      </c>
      <c r="C184" s="249" t="s">
        <v>66</v>
      </c>
    </row>
    <row r="185" spans="1:3" s="249" customFormat="1" x14ac:dyDescent="0.2">
      <c r="A185" s="267" t="s">
        <v>76</v>
      </c>
      <c r="B185" s="284">
        <v>0.42</v>
      </c>
      <c r="C185" s="249" t="s">
        <v>47</v>
      </c>
    </row>
    <row r="186" spans="1:3" s="249" customFormat="1" x14ac:dyDescent="0.2">
      <c r="A186" s="267" t="s">
        <v>85</v>
      </c>
      <c r="B186" s="284">
        <v>60</v>
      </c>
      <c r="C186" s="262" t="s">
        <v>61</v>
      </c>
    </row>
    <row r="187" spans="1:3" s="249" customFormat="1" x14ac:dyDescent="0.2">
      <c r="A187" s="267" t="s">
        <v>87</v>
      </c>
      <c r="B187" s="284">
        <v>2</v>
      </c>
      <c r="C187" s="262" t="s">
        <v>66</v>
      </c>
    </row>
    <row r="188" spans="1:3" s="249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249" customFormat="1" x14ac:dyDescent="0.2">
      <c r="A189" s="267" t="s">
        <v>91</v>
      </c>
      <c r="B189" s="284">
        <v>1</v>
      </c>
      <c r="C189" s="249" t="s">
        <v>47</v>
      </c>
    </row>
    <row r="190" spans="1:3" s="249" customFormat="1" x14ac:dyDescent="0.2">
      <c r="A190" s="267" t="s">
        <v>92</v>
      </c>
      <c r="B190" s="284">
        <v>14</v>
      </c>
      <c r="C190" s="249" t="s">
        <v>93</v>
      </c>
    </row>
    <row r="191" spans="1:3" s="249" customFormat="1" x14ac:dyDescent="0.2">
      <c r="A191" s="262" t="s">
        <v>29</v>
      </c>
      <c r="B191" s="284">
        <v>92</v>
      </c>
      <c r="C191" s="262" t="s">
        <v>30</v>
      </c>
    </row>
    <row r="192" spans="1:3" s="249" customFormat="1" x14ac:dyDescent="0.2">
      <c r="A192" s="249" t="s">
        <v>287</v>
      </c>
      <c r="B192" s="283">
        <v>1.03</v>
      </c>
      <c r="C192" s="249" t="s">
        <v>288</v>
      </c>
    </row>
    <row r="193" spans="1:3" s="249" customFormat="1" x14ac:dyDescent="0.2">
      <c r="A193" s="262" t="s">
        <v>406</v>
      </c>
      <c r="B193" s="284">
        <v>20.3</v>
      </c>
      <c r="C193" s="249" t="s">
        <v>283</v>
      </c>
    </row>
    <row r="194" spans="1:3" s="249" customFormat="1" x14ac:dyDescent="0.2">
      <c r="A194" s="262" t="s">
        <v>407</v>
      </c>
      <c r="B194" s="284">
        <v>0.4</v>
      </c>
      <c r="C194" s="249" t="s">
        <v>283</v>
      </c>
    </row>
    <row r="195" spans="1:3" s="249" customFormat="1" x14ac:dyDescent="0.2">
      <c r="A195" s="262" t="s">
        <v>408</v>
      </c>
      <c r="B195" s="284">
        <v>1</v>
      </c>
      <c r="C195" s="247"/>
    </row>
    <row r="196" spans="1:3" s="249" customFormat="1" x14ac:dyDescent="0.2">
      <c r="A196" s="262" t="s">
        <v>409</v>
      </c>
      <c r="B196" s="284">
        <v>1</v>
      </c>
      <c r="C196" s="247"/>
    </row>
    <row r="197" spans="1:3" s="249" customFormat="1" x14ac:dyDescent="0.2">
      <c r="A197" s="262" t="s">
        <v>31</v>
      </c>
      <c r="B197" s="284">
        <v>53</v>
      </c>
      <c r="C197" s="262" t="s">
        <v>30</v>
      </c>
    </row>
    <row r="198" spans="1:3" s="249" customFormat="1" x14ac:dyDescent="0.2">
      <c r="A198" s="262" t="s">
        <v>410</v>
      </c>
      <c r="B198" s="284">
        <v>11.77</v>
      </c>
      <c r="C198" s="249" t="s">
        <v>283</v>
      </c>
    </row>
    <row r="199" spans="1:3" s="249" customFormat="1" x14ac:dyDescent="0.2">
      <c r="A199" s="262" t="s">
        <v>411</v>
      </c>
      <c r="B199" s="284">
        <v>0.5</v>
      </c>
      <c r="C199" s="249" t="s">
        <v>283</v>
      </c>
    </row>
    <row r="200" spans="1:3" s="249" customFormat="1" x14ac:dyDescent="0.2">
      <c r="A200" s="262" t="s">
        <v>412</v>
      </c>
      <c r="B200" s="284">
        <v>1</v>
      </c>
      <c r="C200" s="247"/>
    </row>
    <row r="201" spans="1:3" s="249" customFormat="1" x14ac:dyDescent="0.2">
      <c r="A201" s="262" t="s">
        <v>413</v>
      </c>
      <c r="B201" s="284">
        <v>1</v>
      </c>
      <c r="C201" s="247"/>
    </row>
    <row r="202" spans="1:3" s="249" customFormat="1" x14ac:dyDescent="0.2">
      <c r="A202" s="262" t="s">
        <v>173</v>
      </c>
      <c r="B202" s="283">
        <v>0.4</v>
      </c>
      <c r="C202" s="262" t="s">
        <v>30</v>
      </c>
    </row>
    <row r="203" spans="1:3" s="249" customFormat="1" x14ac:dyDescent="0.2">
      <c r="A203" s="262" t="s">
        <v>177</v>
      </c>
      <c r="B203" s="284">
        <v>0.2</v>
      </c>
      <c r="C203" s="249" t="s">
        <v>283</v>
      </c>
    </row>
    <row r="204" spans="1:3" s="249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249" customFormat="1" x14ac:dyDescent="0.2">
      <c r="A205" s="262" t="s">
        <v>178</v>
      </c>
      <c r="B205" s="283">
        <v>1</v>
      </c>
      <c r="C205" s="247"/>
    </row>
    <row r="206" spans="1:3" s="249" customFormat="1" x14ac:dyDescent="0.2">
      <c r="A206" s="262" t="s">
        <v>179</v>
      </c>
      <c r="B206" s="283">
        <v>1</v>
      </c>
      <c r="C206" s="247"/>
    </row>
    <row r="207" spans="1:3" s="249" customFormat="1" x14ac:dyDescent="0.2">
      <c r="A207" s="262" t="s">
        <v>414</v>
      </c>
      <c r="B207" s="283">
        <v>0.4</v>
      </c>
      <c r="C207" s="262" t="s">
        <v>30</v>
      </c>
    </row>
    <row r="208" spans="1:3" s="249" customFormat="1" x14ac:dyDescent="0.2">
      <c r="A208" s="262" t="s">
        <v>415</v>
      </c>
      <c r="B208" s="284">
        <v>0.2</v>
      </c>
      <c r="C208" s="249" t="s">
        <v>283</v>
      </c>
    </row>
    <row r="209" spans="1:3" s="249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249" customFormat="1" x14ac:dyDescent="0.2">
      <c r="A210" s="262" t="s">
        <v>417</v>
      </c>
      <c r="B210" s="284">
        <v>1</v>
      </c>
      <c r="C210" s="247"/>
    </row>
    <row r="211" spans="1:3" s="249" customFormat="1" x14ac:dyDescent="0.2">
      <c r="A211" s="262" t="s">
        <v>418</v>
      </c>
      <c r="B211" s="284">
        <v>1</v>
      </c>
      <c r="C211" s="247"/>
    </row>
    <row r="212" spans="1:3" s="249" customFormat="1" x14ac:dyDescent="0.2">
      <c r="A212" s="262" t="s">
        <v>174</v>
      </c>
      <c r="B212" s="284">
        <v>11.4</v>
      </c>
      <c r="C212" s="262" t="s">
        <v>30</v>
      </c>
    </row>
    <row r="213" spans="1:3" s="249" customFormat="1" x14ac:dyDescent="0.2">
      <c r="A213" s="262" t="s">
        <v>419</v>
      </c>
      <c r="B213" s="284">
        <v>4.7</v>
      </c>
      <c r="C213" s="249" t="s">
        <v>283</v>
      </c>
    </row>
    <row r="214" spans="1:3" s="249" customFormat="1" x14ac:dyDescent="0.2">
      <c r="A214" s="262" t="s">
        <v>420</v>
      </c>
      <c r="B214" s="284">
        <v>0.37</v>
      </c>
      <c r="C214" s="249" t="s">
        <v>283</v>
      </c>
    </row>
    <row r="215" spans="1:3" s="249" customFormat="1" x14ac:dyDescent="0.2">
      <c r="A215" s="262" t="s">
        <v>421</v>
      </c>
      <c r="B215" s="284">
        <v>1</v>
      </c>
      <c r="C215" s="247"/>
    </row>
    <row r="216" spans="1:3" s="249" customFormat="1" x14ac:dyDescent="0.2">
      <c r="A216" s="262" t="s">
        <v>422</v>
      </c>
      <c r="B216" s="284">
        <v>1</v>
      </c>
      <c r="C216" s="247"/>
    </row>
    <row r="217" spans="1:3" s="249" customFormat="1" x14ac:dyDescent="0.2">
      <c r="A217" s="249" t="s">
        <v>83</v>
      </c>
      <c r="B217" s="284">
        <v>0.5</v>
      </c>
    </row>
    <row r="218" spans="1:3" s="249" customFormat="1" x14ac:dyDescent="0.2">
      <c r="A218" s="558" t="s">
        <v>423</v>
      </c>
      <c r="B218" s="558"/>
      <c r="C218" s="558"/>
    </row>
    <row r="219" spans="1:3" s="249" customFormat="1" x14ac:dyDescent="0.2">
      <c r="A219" s="249" t="s">
        <v>424</v>
      </c>
      <c r="B219" s="283">
        <v>55</v>
      </c>
      <c r="C219" s="263" t="s">
        <v>359</v>
      </c>
    </row>
    <row r="220" spans="1:3" s="249" customFormat="1" x14ac:dyDescent="0.2">
      <c r="A220" s="262" t="s">
        <v>425</v>
      </c>
      <c r="B220" s="283">
        <v>55</v>
      </c>
      <c r="C220" s="249" t="s">
        <v>26</v>
      </c>
    </row>
    <row r="221" spans="1:3" s="249" customFormat="1" x14ac:dyDescent="0.2">
      <c r="A221" s="262" t="s">
        <v>75</v>
      </c>
      <c r="B221" s="284">
        <v>5</v>
      </c>
      <c r="C221" s="249" t="s">
        <v>69</v>
      </c>
    </row>
    <row r="222" spans="1:3" s="249" customFormat="1" x14ac:dyDescent="0.2">
      <c r="A222" s="262" t="s">
        <v>426</v>
      </c>
      <c r="B222" s="283">
        <v>55</v>
      </c>
      <c r="C222" s="263" t="s">
        <v>54</v>
      </c>
    </row>
    <row r="223" spans="1:3" s="249" customFormat="1" x14ac:dyDescent="0.2">
      <c r="A223" s="249" t="s">
        <v>353</v>
      </c>
      <c r="B223" s="284">
        <v>1</v>
      </c>
      <c r="C223" s="247"/>
    </row>
    <row r="224" spans="1:3" s="249" customFormat="1" x14ac:dyDescent="0.2">
      <c r="A224" s="262" t="s">
        <v>56</v>
      </c>
      <c r="B224" s="284">
        <v>1</v>
      </c>
      <c r="C224" s="247"/>
    </row>
    <row r="225" spans="1:3" s="249" customFormat="1" x14ac:dyDescent="0.2">
      <c r="A225" s="262" t="s">
        <v>52</v>
      </c>
      <c r="B225" s="284">
        <v>0.4</v>
      </c>
      <c r="C225" s="247"/>
    </row>
    <row r="226" spans="1:3" s="249" customFormat="1" x14ac:dyDescent="0.2">
      <c r="A226" s="262" t="s">
        <v>62</v>
      </c>
      <c r="B226" s="284">
        <v>1</v>
      </c>
      <c r="C226" s="247"/>
    </row>
    <row r="227" spans="1:3" s="249" customFormat="1" x14ac:dyDescent="0.2">
      <c r="A227" s="262" t="s">
        <v>467</v>
      </c>
      <c r="B227" s="283">
        <v>2</v>
      </c>
      <c r="C227" s="249" t="s">
        <v>224</v>
      </c>
    </row>
    <row r="228" spans="1:3" s="249" customFormat="1" x14ac:dyDescent="0.2">
      <c r="A228" s="262" t="s">
        <v>468</v>
      </c>
      <c r="B228" s="283">
        <v>3</v>
      </c>
      <c r="C228" s="249" t="s">
        <v>224</v>
      </c>
    </row>
    <row r="229" spans="1:3" s="249" customFormat="1" x14ac:dyDescent="0.2">
      <c r="A229" s="262" t="s">
        <v>103</v>
      </c>
      <c r="B229" s="283">
        <v>0.4</v>
      </c>
      <c r="C229" s="247"/>
    </row>
    <row r="230" spans="1:3" s="249" customFormat="1" x14ac:dyDescent="0.2">
      <c r="A230" s="558" t="s">
        <v>427</v>
      </c>
      <c r="B230" s="558"/>
      <c r="C230" s="558"/>
    </row>
    <row r="231" spans="1:3" s="249" customFormat="1" x14ac:dyDescent="0.2">
      <c r="A231" s="249" t="s">
        <v>428</v>
      </c>
      <c r="B231" s="283">
        <v>55</v>
      </c>
      <c r="C231" s="263" t="s">
        <v>359</v>
      </c>
    </row>
    <row r="232" spans="1:3" s="249" customFormat="1" x14ac:dyDescent="0.2">
      <c r="A232" s="262" t="s">
        <v>40</v>
      </c>
      <c r="B232" s="283">
        <v>55</v>
      </c>
      <c r="C232" s="249" t="s">
        <v>26</v>
      </c>
    </row>
    <row r="233" spans="1:3" s="249" customFormat="1" x14ac:dyDescent="0.2">
      <c r="A233" s="262" t="s">
        <v>429</v>
      </c>
      <c r="B233" s="284">
        <v>5</v>
      </c>
      <c r="C233" s="249" t="s">
        <v>69</v>
      </c>
    </row>
    <row r="234" spans="1:3" s="249" customFormat="1" x14ac:dyDescent="0.2">
      <c r="A234" s="262" t="s">
        <v>79</v>
      </c>
      <c r="B234" s="283">
        <v>55</v>
      </c>
      <c r="C234" s="263" t="s">
        <v>54</v>
      </c>
    </row>
    <row r="235" spans="1:3" s="249" customFormat="1" x14ac:dyDescent="0.2">
      <c r="A235" s="249" t="s">
        <v>353</v>
      </c>
      <c r="B235" s="284">
        <v>1</v>
      </c>
      <c r="C235" s="247"/>
    </row>
    <row r="236" spans="1:3" s="249" customFormat="1" x14ac:dyDescent="0.2">
      <c r="A236" s="262" t="s">
        <v>56</v>
      </c>
      <c r="B236" s="284">
        <v>1</v>
      </c>
      <c r="C236" s="247"/>
    </row>
    <row r="237" spans="1:3" s="249" customFormat="1" x14ac:dyDescent="0.2">
      <c r="A237" s="262" t="s">
        <v>52</v>
      </c>
      <c r="B237" s="284">
        <v>0.4</v>
      </c>
      <c r="C237" s="247"/>
    </row>
    <row r="238" spans="1:3" s="249" customFormat="1" x14ac:dyDescent="0.2">
      <c r="A238" s="262" t="s">
        <v>62</v>
      </c>
      <c r="B238" s="284">
        <v>1</v>
      </c>
      <c r="C238" s="247"/>
    </row>
    <row r="239" spans="1:3" s="249" customFormat="1" x14ac:dyDescent="0.2">
      <c r="A239" s="262" t="s">
        <v>469</v>
      </c>
      <c r="B239" s="283">
        <v>0</v>
      </c>
      <c r="C239" s="249" t="s">
        <v>224</v>
      </c>
    </row>
    <row r="240" spans="1:3" s="249" customFormat="1" x14ac:dyDescent="0.2">
      <c r="A240" s="262" t="s">
        <v>470</v>
      </c>
      <c r="B240" s="283">
        <v>5</v>
      </c>
      <c r="C240" s="249" t="s">
        <v>224</v>
      </c>
    </row>
    <row r="241" spans="1:3" s="249" customFormat="1" x14ac:dyDescent="0.2">
      <c r="A241" s="262" t="s">
        <v>103</v>
      </c>
      <c r="B241" s="283">
        <v>0.4</v>
      </c>
      <c r="C241" s="247"/>
    </row>
    <row r="242" spans="1:3" s="249" customFormat="1" x14ac:dyDescent="0.2">
      <c r="A242" s="558" t="s">
        <v>430</v>
      </c>
      <c r="B242" s="558"/>
      <c r="C242" s="558"/>
    </row>
    <row r="243" spans="1:3" s="249" customFormat="1" x14ac:dyDescent="0.2">
      <c r="A243" s="249" t="s">
        <v>58</v>
      </c>
      <c r="B243" s="283">
        <v>55</v>
      </c>
      <c r="C243" s="263" t="s">
        <v>359</v>
      </c>
    </row>
    <row r="244" spans="1:3" s="249" customFormat="1" x14ac:dyDescent="0.2">
      <c r="A244" s="262" t="s">
        <v>431</v>
      </c>
      <c r="B244" s="283">
        <v>55</v>
      </c>
      <c r="C244" s="249" t="s">
        <v>26</v>
      </c>
    </row>
    <row r="245" spans="1:3" s="249" customFormat="1" x14ac:dyDescent="0.2">
      <c r="A245" s="262" t="s">
        <v>432</v>
      </c>
      <c r="B245" s="284">
        <v>5</v>
      </c>
      <c r="C245" s="249" t="s">
        <v>69</v>
      </c>
    </row>
    <row r="246" spans="1:3" s="249" customFormat="1" x14ac:dyDescent="0.2">
      <c r="A246" s="262" t="s">
        <v>433</v>
      </c>
      <c r="B246" s="283">
        <v>55</v>
      </c>
      <c r="C246" s="263" t="s">
        <v>54</v>
      </c>
    </row>
    <row r="247" spans="1:3" s="249" customFormat="1" x14ac:dyDescent="0.2">
      <c r="A247" s="249" t="s">
        <v>353</v>
      </c>
      <c r="B247" s="284">
        <v>1</v>
      </c>
      <c r="C247" s="247"/>
    </row>
    <row r="248" spans="1:3" s="249" customFormat="1" x14ac:dyDescent="0.2">
      <c r="A248" s="262" t="s">
        <v>56</v>
      </c>
      <c r="B248" s="284">
        <v>1</v>
      </c>
      <c r="C248" s="247"/>
    </row>
    <row r="249" spans="1:3" s="249" customFormat="1" x14ac:dyDescent="0.2">
      <c r="A249" s="262" t="s">
        <v>52</v>
      </c>
      <c r="B249" s="284">
        <v>0.4</v>
      </c>
      <c r="C249" s="247"/>
    </row>
    <row r="250" spans="1:3" s="249" customFormat="1" x14ac:dyDescent="0.2">
      <c r="A250" s="262" t="s">
        <v>62</v>
      </c>
      <c r="B250" s="284">
        <v>1</v>
      </c>
      <c r="C250" s="247"/>
    </row>
    <row r="251" spans="1:3" s="249" customFormat="1" x14ac:dyDescent="0.2">
      <c r="A251" s="262" t="s">
        <v>466</v>
      </c>
      <c r="B251" s="283">
        <v>5</v>
      </c>
      <c r="C251" s="249" t="s">
        <v>224</v>
      </c>
    </row>
    <row r="252" spans="1:3" s="249" customFormat="1" x14ac:dyDescent="0.2">
      <c r="A252" s="262" t="s">
        <v>465</v>
      </c>
      <c r="B252" s="283">
        <v>0</v>
      </c>
      <c r="C252" s="249" t="s">
        <v>224</v>
      </c>
    </row>
    <row r="253" spans="1:3" s="249" customFormat="1" x14ac:dyDescent="0.2">
      <c r="A253" s="262" t="s">
        <v>103</v>
      </c>
      <c r="B253" s="283">
        <v>0.4</v>
      </c>
      <c r="C253" s="247"/>
    </row>
    <row r="254" spans="1:3" s="249" customFormat="1" x14ac:dyDescent="0.2">
      <c r="A254" s="558" t="s">
        <v>434</v>
      </c>
      <c r="B254" s="558"/>
      <c r="C254" s="558"/>
    </row>
    <row r="255" spans="1:3" s="249" customFormat="1" x14ac:dyDescent="0.2">
      <c r="A255" s="249" t="s">
        <v>435</v>
      </c>
      <c r="B255" s="283">
        <v>55</v>
      </c>
      <c r="C255" s="263" t="s">
        <v>359</v>
      </c>
    </row>
    <row r="256" spans="1:3" s="249" customFormat="1" x14ac:dyDescent="0.2">
      <c r="A256" s="262" t="s">
        <v>221</v>
      </c>
      <c r="B256" s="283">
        <v>55</v>
      </c>
      <c r="C256" s="249" t="s">
        <v>26</v>
      </c>
    </row>
    <row r="257" spans="1:3" s="249" customFormat="1" x14ac:dyDescent="0.2">
      <c r="A257" s="262" t="s">
        <v>186</v>
      </c>
      <c r="B257" s="284">
        <v>5</v>
      </c>
      <c r="C257" s="249" t="s">
        <v>69</v>
      </c>
    </row>
    <row r="258" spans="1:3" s="249" customFormat="1" x14ac:dyDescent="0.2">
      <c r="A258" s="262" t="s">
        <v>436</v>
      </c>
      <c r="B258" s="283">
        <v>55</v>
      </c>
      <c r="C258" s="263" t="s">
        <v>54</v>
      </c>
    </row>
    <row r="259" spans="1:3" s="249" customFormat="1" x14ac:dyDescent="0.2">
      <c r="A259" s="249" t="s">
        <v>353</v>
      </c>
      <c r="B259" s="284">
        <v>1</v>
      </c>
      <c r="C259" s="247"/>
    </row>
    <row r="260" spans="1:3" s="249" customFormat="1" x14ac:dyDescent="0.2">
      <c r="A260" s="262" t="s">
        <v>56</v>
      </c>
      <c r="B260" s="284">
        <v>1</v>
      </c>
      <c r="C260" s="247"/>
    </row>
    <row r="261" spans="1:3" s="249" customFormat="1" x14ac:dyDescent="0.2">
      <c r="A261" s="262" t="s">
        <v>52</v>
      </c>
      <c r="B261" s="284">
        <v>0.4</v>
      </c>
      <c r="C261" s="247"/>
    </row>
    <row r="262" spans="1:3" s="249" customFormat="1" x14ac:dyDescent="0.2">
      <c r="A262" s="262" t="s">
        <v>62</v>
      </c>
      <c r="B262" s="284">
        <v>1</v>
      </c>
      <c r="C262" s="247"/>
    </row>
    <row r="263" spans="1:3" s="249" customFormat="1" x14ac:dyDescent="0.2">
      <c r="A263" s="262" t="s">
        <v>471</v>
      </c>
      <c r="B263" s="283">
        <v>5</v>
      </c>
      <c r="C263" s="249" t="s">
        <v>224</v>
      </c>
    </row>
    <row r="264" spans="1:3" s="249" customFormat="1" x14ac:dyDescent="0.2">
      <c r="A264" s="262" t="s">
        <v>472</v>
      </c>
      <c r="B264" s="283">
        <v>0</v>
      </c>
      <c r="C264" s="249" t="s">
        <v>224</v>
      </c>
    </row>
    <row r="265" spans="1:3" s="249" customFormat="1" x14ac:dyDescent="0.2">
      <c r="A265" s="262" t="s">
        <v>103</v>
      </c>
      <c r="B265" s="283">
        <v>0.4</v>
      </c>
      <c r="C265" s="247"/>
    </row>
    <row r="266" spans="1:3" s="249" customFormat="1" x14ac:dyDescent="0.2">
      <c r="A266" s="262" t="s">
        <v>220</v>
      </c>
      <c r="B266" s="283">
        <v>5</v>
      </c>
      <c r="C266" s="249" t="s">
        <v>129</v>
      </c>
    </row>
    <row r="267" spans="1:3" s="249" customFormat="1" x14ac:dyDescent="0.2">
      <c r="A267" s="262" t="s">
        <v>219</v>
      </c>
      <c r="B267" s="283">
        <v>11</v>
      </c>
      <c r="C267" s="249" t="s">
        <v>130</v>
      </c>
    </row>
    <row r="268" spans="1:3" s="249" customFormat="1" x14ac:dyDescent="0.2">
      <c r="A268" s="558" t="s">
        <v>437</v>
      </c>
      <c r="B268" s="558"/>
      <c r="C268" s="558"/>
    </row>
    <row r="269" spans="1:3" s="249" customFormat="1" x14ac:dyDescent="0.2">
      <c r="A269" s="249" t="s">
        <v>435</v>
      </c>
      <c r="B269" s="283">
        <v>55</v>
      </c>
      <c r="C269" s="263" t="s">
        <v>359</v>
      </c>
    </row>
    <row r="270" spans="1:3" s="249" customFormat="1" x14ac:dyDescent="0.2">
      <c r="A270" s="262" t="s">
        <v>221</v>
      </c>
      <c r="B270" s="283">
        <v>55</v>
      </c>
      <c r="C270" s="249" t="s">
        <v>26</v>
      </c>
    </row>
    <row r="271" spans="1:3" s="249" customFormat="1" x14ac:dyDescent="0.2">
      <c r="A271" s="262" t="s">
        <v>186</v>
      </c>
      <c r="B271" s="284">
        <v>5</v>
      </c>
      <c r="C271" s="249" t="s">
        <v>69</v>
      </c>
    </row>
    <row r="272" spans="1:3" s="249" customFormat="1" x14ac:dyDescent="0.2">
      <c r="A272" s="262" t="s">
        <v>436</v>
      </c>
      <c r="B272" s="283">
        <v>55</v>
      </c>
      <c r="C272" s="263" t="s">
        <v>54</v>
      </c>
    </row>
    <row r="273" spans="1:3" s="249" customFormat="1" x14ac:dyDescent="0.2">
      <c r="A273" s="262" t="s">
        <v>56</v>
      </c>
      <c r="B273" s="284">
        <v>1</v>
      </c>
      <c r="C273" s="247"/>
    </row>
    <row r="274" spans="1:3" s="249" customFormat="1" x14ac:dyDescent="0.2">
      <c r="A274" s="262" t="s">
        <v>52</v>
      </c>
      <c r="B274" s="284">
        <v>0.4</v>
      </c>
      <c r="C274" s="247"/>
    </row>
    <row r="275" spans="1:3" s="249" customFormat="1" x14ac:dyDescent="0.2">
      <c r="A275" s="262" t="s">
        <v>62</v>
      </c>
      <c r="B275" s="284">
        <v>1</v>
      </c>
      <c r="C275" s="247"/>
    </row>
    <row r="276" spans="1:3" s="249" customFormat="1" x14ac:dyDescent="0.2">
      <c r="A276" s="262" t="s">
        <v>471</v>
      </c>
      <c r="B276" s="283">
        <v>5</v>
      </c>
      <c r="C276" s="249" t="s">
        <v>224</v>
      </c>
    </row>
    <row r="277" spans="1:3" s="249" customFormat="1" x14ac:dyDescent="0.2">
      <c r="A277" s="262" t="s">
        <v>472</v>
      </c>
      <c r="B277" s="283">
        <v>0</v>
      </c>
      <c r="C277" s="249" t="s">
        <v>224</v>
      </c>
    </row>
    <row r="278" spans="1:3" s="249" customFormat="1" x14ac:dyDescent="0.2">
      <c r="A278" s="262" t="s">
        <v>103</v>
      </c>
      <c r="B278" s="283">
        <v>0.4</v>
      </c>
      <c r="C278" s="247"/>
    </row>
    <row r="279" spans="1:3" s="249" customFormat="1" x14ac:dyDescent="0.2">
      <c r="A279" s="262" t="s">
        <v>220</v>
      </c>
      <c r="B279" s="283">
        <v>5</v>
      </c>
      <c r="C279" s="249" t="s">
        <v>129</v>
      </c>
    </row>
    <row r="280" spans="1:3" s="249" customFormat="1" x14ac:dyDescent="0.2">
      <c r="A280" s="262" t="s">
        <v>219</v>
      </c>
      <c r="B280" s="283">
        <v>11</v>
      </c>
      <c r="C280" s="249" t="s">
        <v>130</v>
      </c>
    </row>
    <row r="281" spans="1:3" s="249" customFormat="1" x14ac:dyDescent="0.2">
      <c r="A281" s="663" t="s">
        <v>576</v>
      </c>
      <c r="B281" s="663"/>
      <c r="C281" s="663"/>
    </row>
    <row r="282" spans="1:3" s="249" customFormat="1" x14ac:dyDescent="0.2">
      <c r="A282" s="263" t="s">
        <v>577</v>
      </c>
      <c r="B282" s="283">
        <v>2</v>
      </c>
    </row>
    <row r="283" spans="1:3" s="249" customFormat="1" x14ac:dyDescent="0.2">
      <c r="A283" s="249" t="s">
        <v>100</v>
      </c>
      <c r="B283" s="283">
        <v>0.6</v>
      </c>
    </row>
    <row r="284" spans="1:3" s="249" customFormat="1" x14ac:dyDescent="0.2">
      <c r="A284" s="249" t="s">
        <v>107</v>
      </c>
      <c r="B284" s="283">
        <v>20</v>
      </c>
      <c r="C284" s="249" t="s">
        <v>69</v>
      </c>
    </row>
    <row r="285" spans="1:3" s="249" customFormat="1" x14ac:dyDescent="0.2">
      <c r="A285" s="263" t="s">
        <v>39</v>
      </c>
      <c r="B285" s="283">
        <v>50</v>
      </c>
      <c r="C285" s="249" t="s">
        <v>69</v>
      </c>
    </row>
    <row r="286" spans="1:3" s="249" customFormat="1" x14ac:dyDescent="0.2">
      <c r="A286" s="263" t="s">
        <v>83</v>
      </c>
      <c r="B286" s="283">
        <v>2</v>
      </c>
      <c r="C286" s="249" t="s">
        <v>582</v>
      </c>
    </row>
    <row r="287" spans="1:3" s="249" customFormat="1" x14ac:dyDescent="0.2">
      <c r="A287" s="249" t="s">
        <v>109</v>
      </c>
      <c r="B287" s="283">
        <v>2</v>
      </c>
      <c r="C287" s="249" t="s">
        <v>110</v>
      </c>
    </row>
    <row r="288" spans="1:3" s="249" customFormat="1" x14ac:dyDescent="0.2">
      <c r="A288" s="249" t="s">
        <v>114</v>
      </c>
      <c r="B288" s="283">
        <v>0.36</v>
      </c>
      <c r="C288" s="249" t="s">
        <v>582</v>
      </c>
    </row>
    <row r="289" spans="1:3" s="249" customFormat="1" x14ac:dyDescent="0.2">
      <c r="A289" s="249" t="s">
        <v>116</v>
      </c>
      <c r="B289" s="283">
        <v>2</v>
      </c>
      <c r="C289" s="249" t="s">
        <v>113</v>
      </c>
    </row>
    <row r="290" spans="1:3" s="249" customFormat="1" x14ac:dyDescent="0.2">
      <c r="A290" s="249" t="s">
        <v>118</v>
      </c>
      <c r="B290" s="283">
        <v>2</v>
      </c>
      <c r="C290" s="249" t="s">
        <v>113</v>
      </c>
    </row>
    <row r="291" spans="1:3" s="249" customFormat="1" x14ac:dyDescent="0.2">
      <c r="A291" s="249" t="s">
        <v>119</v>
      </c>
      <c r="B291" s="283">
        <v>2</v>
      </c>
      <c r="C291" s="249" t="s">
        <v>113</v>
      </c>
    </row>
  </sheetData>
  <mergeCells count="336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N19:CN21"/>
    <mergeCell ref="CO19:CO21"/>
    <mergeCell ref="CP19:CP21"/>
    <mergeCell ref="CQ19:CQ21"/>
    <mergeCell ref="CR19:CR21"/>
    <mergeCell ref="CS19:CS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G19:CG21"/>
    <mergeCell ref="CK19:CK21"/>
    <mergeCell ref="CL19:CL21"/>
    <mergeCell ref="CM19:CM21"/>
    <mergeCell ref="CB18:CD18"/>
    <mergeCell ref="CE18:CG18"/>
    <mergeCell ref="CK18:CM18"/>
    <mergeCell ref="CN18:CP18"/>
    <mergeCell ref="GY2:GY4"/>
    <mergeCell ref="GZ2:GZ4"/>
    <mergeCell ref="HA2:HA4"/>
    <mergeCell ref="HB2:HB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CQ18:CS18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U2:AU4"/>
    <mergeCell ref="AV2:AV4"/>
    <mergeCell ref="AW2:AW4"/>
    <mergeCell ref="AN2:AN4"/>
    <mergeCell ref="AO2:AO4"/>
    <mergeCell ref="AP2:AP4"/>
    <mergeCell ref="AQ2:AQ4"/>
    <mergeCell ref="AR2:AR4"/>
    <mergeCell ref="BC2:BC4"/>
    <mergeCell ref="GU1:GW1"/>
    <mergeCell ref="GX1:GZ1"/>
    <mergeCell ref="HA1:HC1"/>
    <mergeCell ref="HD1:HF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DX1:DZ1"/>
    <mergeCell ref="FN1:FP1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AC2:AC4"/>
    <mergeCell ref="CT1:CV1"/>
    <mergeCell ref="CW1:CY1"/>
    <mergeCell ref="CZ1:DB1"/>
    <mergeCell ref="DC1:DE1"/>
    <mergeCell ref="Y1:AA1"/>
    <mergeCell ref="AB1:AB4"/>
    <mergeCell ref="AI1:AK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AL2:AL4"/>
    <mergeCell ref="AM2:AM4"/>
    <mergeCell ref="AD2:AD4"/>
    <mergeCell ref="AE2:AE4"/>
    <mergeCell ref="AF2:AF4"/>
    <mergeCell ref="AG2:AG4"/>
    <mergeCell ref="AH2:AH4"/>
    <mergeCell ref="AI2:AI4"/>
    <mergeCell ref="AJ2:AJ4"/>
    <mergeCell ref="AK2:AK4"/>
    <mergeCell ref="FB1:FD1"/>
    <mergeCell ref="FE1:FG1"/>
    <mergeCell ref="FH1:FJ1"/>
    <mergeCell ref="FK1:FM1"/>
    <mergeCell ref="EM1:EO1"/>
    <mergeCell ref="EP1:ER1"/>
    <mergeCell ref="ES1:EU1"/>
    <mergeCell ref="EV1:EX1"/>
    <mergeCell ref="EY1:FA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S2:AS4"/>
    <mergeCell ref="AT2:AT4"/>
    <mergeCell ref="GC1:GE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DF1:DH1"/>
    <mergeCell ref="CE1:CG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O2:O4"/>
    <mergeCell ref="P2:P4"/>
    <mergeCell ref="Q2:Q4"/>
    <mergeCell ref="A5:C5"/>
    <mergeCell ref="R2:R4"/>
    <mergeCell ref="S2:S4"/>
    <mergeCell ref="T2:T4"/>
    <mergeCell ref="U2:U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1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9.85546875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85546875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9.85546875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9.28515625" style="289" bestFit="1" customWidth="1"/>
    <col min="115" max="115" width="6.28515625" style="249" bestFit="1" customWidth="1"/>
    <col min="116" max="116" width="12.42578125" style="249" bestFit="1" customWidth="1"/>
    <col min="117" max="117" width="9.2851562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.28515625" style="249" bestFit="1" customWidth="1"/>
    <col min="128" max="128" width="12" style="249" bestFit="1" customWidth="1"/>
    <col min="129" max="129" width="9.28515625" style="289" bestFit="1" customWidth="1"/>
    <col min="130" max="130" width="6.285156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.28515625" style="249" bestFit="1" customWidth="1"/>
    <col min="143" max="143" width="12" style="249" bestFit="1" customWidth="1"/>
    <col min="144" max="144" width="9.28515625" style="289" bestFit="1" customWidth="1"/>
    <col min="145" max="145" width="6.28515625" style="249" bestFit="1" customWidth="1"/>
    <col min="146" max="146" width="12" style="249" bestFit="1" customWidth="1"/>
    <col min="147" max="147" width="9.2851562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6.285156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6.285156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6.285156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6.285156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customHeight="1" thickTop="1" thickBot="1" x14ac:dyDescent="0.25">
      <c r="A1" s="682" t="s">
        <v>8</v>
      </c>
      <c r="B1" s="683"/>
      <c r="C1" s="684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1/((1/H10)+(1/H12)+(1/H13))</f>
        <v>55.47333981698435</v>
      </c>
      <c r="I2" s="625" t="s">
        <v>14</v>
      </c>
      <c r="J2" s="619" t="s">
        <v>507</v>
      </c>
      <c r="K2" s="623">
        <f>1/((1/K14)+(1/K15)+(1/K16+(1/K17)))</f>
        <v>6.5287241793278366</v>
      </c>
      <c r="L2" s="621" t="s">
        <v>13</v>
      </c>
      <c r="M2" s="617" t="s">
        <v>516</v>
      </c>
      <c r="N2" s="647">
        <f>(N5*N6*N7)/((1-EXP(-N7*N6))*N10*N15*(N9/365)*N13*(((N14/24)*N12)+((N16/24)*N11)))</f>
        <v>5.018410272302261</v>
      </c>
      <c r="O2" s="615" t="s">
        <v>13</v>
      </c>
      <c r="P2" s="639" t="s">
        <v>516</v>
      </c>
      <c r="Q2" s="647">
        <f>(Q5*Q6*Q7)/((1-EXP(-Q7*Q6))*Q10*Q15*(Q9/365)*Q13*(((Q14/24)*Q12)+((Q16/24)*Q11)))</f>
        <v>3.8611866039148719</v>
      </c>
      <c r="R2" s="637" t="s">
        <v>13</v>
      </c>
      <c r="S2" s="641" t="s">
        <v>516</v>
      </c>
      <c r="T2" s="647">
        <f>(T5*T6*T7)/((1-EXP(-T7*T6))*T10*T15*(T9/365)*T13*(((T14/24)*T12)+((T16/24)*T11)))</f>
        <v>0.88210201178096448</v>
      </c>
      <c r="U2" s="643" t="s">
        <v>13</v>
      </c>
      <c r="V2" s="55"/>
      <c r="W2" s="357"/>
      <c r="X2" s="56"/>
      <c r="Y2" s="57"/>
      <c r="Z2" s="357"/>
      <c r="AA2" s="58"/>
      <c r="AB2" s="650"/>
      <c r="AC2" s="660">
        <f>1/((1/AC32)+(1/AC33)+(1/AC34))</f>
        <v>26.583599102749591</v>
      </c>
      <c r="AD2" s="657">
        <f>1/((1/AD32)+(1/AD33)+(1/AD34))</f>
        <v>66.338761203787499</v>
      </c>
      <c r="AE2" s="657">
        <f>1/((1/AE32)+(1/AE33)+(1/AE34))</f>
        <v>26.583599102749591</v>
      </c>
      <c r="AF2" s="657">
        <f>1/((1/AF32)+(1/AF33)+(1/AF34))</f>
        <v>406.31774996803705</v>
      </c>
      <c r="AG2" s="654">
        <f>1/((1/AG32)+(1/AG33)+(1/AG34))</f>
        <v>413.43174297270878</v>
      </c>
      <c r="AH2" s="652" t="s">
        <v>13</v>
      </c>
      <c r="AI2" s="381" t="s">
        <v>516</v>
      </c>
      <c r="AJ2" s="387">
        <f>(AJ5*AJ6*AJ7)/((1-EXP(-AJ7*AJ6))*AJ15*(AJ9/365)*AJ10*(AJ16/24)*AJ11*AJ13)</f>
        <v>66.539397889984343</v>
      </c>
      <c r="AK2" s="629" t="s">
        <v>13</v>
      </c>
      <c r="AL2" s="383" t="s">
        <v>516</v>
      </c>
      <c r="AM2" s="387">
        <f>(AM5*AM6*AM7)/((1-EXP(-AM7*AM6))*AM15*(AM9/365)*AM10*(AM16/24)*AM11*AM13)</f>
        <v>325.79082450646666</v>
      </c>
      <c r="AN2" s="629" t="s">
        <v>13</v>
      </c>
      <c r="AO2" s="383" t="s">
        <v>516</v>
      </c>
      <c r="AP2" s="387">
        <f>(AP5*AP6*AP7)/((1-EXP(-AP7*AP6))*AP15*(AP9/365)*AP10*(AP16/24)*AP11*AP13)</f>
        <v>74.428089392405184</v>
      </c>
      <c r="AQ2" s="635" t="s">
        <v>13</v>
      </c>
      <c r="AR2" s="381" t="s">
        <v>516</v>
      </c>
      <c r="AS2" s="387">
        <f>(AS5*AS6*AS7)/((1-EXP(-AS7*AS6))*AS15*(AS9/365)*AS10*(AS14/24)*AS12*AS13)</f>
        <v>26.615759155993739</v>
      </c>
      <c r="AT2" s="391" t="s">
        <v>13</v>
      </c>
      <c r="AU2" s="383" t="s">
        <v>516</v>
      </c>
      <c r="AV2" s="387">
        <f>(AV5*AV6*AV7)/((1-EXP(-AV7*AV6))*AV15*(AV9/365)*AV10*(AV14/24)*AV12*AV13)</f>
        <v>130.31632980258669</v>
      </c>
      <c r="AW2" s="391" t="s">
        <v>13</v>
      </c>
      <c r="AX2" s="383" t="s">
        <v>516</v>
      </c>
      <c r="AY2" s="387">
        <f>(AY5*AY6*AY7)/((1-EXP(-AY7*AY6))*AY15*(AY9/365)*AY10*(AY14/24)*AY12*AY13)</f>
        <v>29.771235756962071</v>
      </c>
      <c r="AZ2" s="385" t="s">
        <v>13</v>
      </c>
      <c r="BA2" s="381" t="s">
        <v>516</v>
      </c>
      <c r="BB2" s="387">
        <f>(BB5*BB6*BB7)/((1-EXP(-BB7*BB6))*BB15*(BB9/365)*BB10*((BB14+BB16)/24)*BB12*BB13)</f>
        <v>26.615759155993739</v>
      </c>
      <c r="BC2" s="391" t="s">
        <v>13</v>
      </c>
      <c r="BD2" s="383" t="s">
        <v>516</v>
      </c>
      <c r="BE2" s="387">
        <f>(BE5*BE6*BE7)/((1-EXP(-BE7*BE6))*BE15*(BE9/365)*BE10*((BE14+BE16)/24)*BE12*BE13)</f>
        <v>130.31632980258669</v>
      </c>
      <c r="BF2" s="391" t="s">
        <v>13</v>
      </c>
      <c r="BG2" s="383" t="s">
        <v>516</v>
      </c>
      <c r="BH2" s="387">
        <f>(BH5*BH6*BH7)/((1-EXP(-BH7*BH6))*BH15*(BH9/365)*BH10*((BH14+BH16)/24)*BH12*BH13)</f>
        <v>29.771235756962071</v>
      </c>
      <c r="BI2" s="385" t="s">
        <v>13</v>
      </c>
      <c r="BJ2" s="381" t="s">
        <v>558</v>
      </c>
      <c r="BK2" s="389">
        <f>(BK5*BK6*BK7)/((1-EXP(-BK7*BK6))*BK12*BK16*(BK9/365)*BK14*(BK15/24)*BK13)</f>
        <v>421.50758353092982</v>
      </c>
      <c r="BL2" s="391" t="s">
        <v>13</v>
      </c>
      <c r="BM2" s="383" t="s">
        <v>559</v>
      </c>
      <c r="BN2" s="389">
        <f>(BN5*BN6*BN7)/((1-EXP(-BN7*BN6))*BN12*BN16*(BN9/365)*BN14*(BN15/24)*BN13)</f>
        <v>4608.9050643003757</v>
      </c>
      <c r="BO2" s="391" t="s">
        <v>13</v>
      </c>
      <c r="BP2" s="383" t="s">
        <v>560</v>
      </c>
      <c r="BQ2" s="389">
        <f>(BQ5*BQ6*BQ7)/((1-EXP(-BQ7*BQ6))*BQ12*BQ16*(BQ9/365)*BQ14*(BQ15/24)*BQ13)</f>
        <v>558.70232849211175</v>
      </c>
      <c r="BR2" s="385" t="s">
        <v>13</v>
      </c>
      <c r="BS2" s="59"/>
      <c r="BT2" s="110"/>
      <c r="BU2" s="250"/>
      <c r="BV2" s="402" t="s">
        <v>563</v>
      </c>
      <c r="BW2" s="400">
        <f>1/((1/BW10)+(1/BW11))</f>
        <v>33.640680325969889</v>
      </c>
      <c r="BX2" s="404" t="s">
        <v>14</v>
      </c>
      <c r="BY2" s="402" t="s">
        <v>563</v>
      </c>
      <c r="BZ2" s="400">
        <f>1/((1/BZ13)+(1/BZ14)+(1/BZ15))</f>
        <v>330.57159733542215</v>
      </c>
      <c r="CA2" s="398" t="s">
        <v>13</v>
      </c>
      <c r="CB2" s="410" t="s">
        <v>558</v>
      </c>
      <c r="CC2" s="400">
        <f>(CC5*CC6*CC7)/((1-EXP(-CC7*CC6))*CC10*CC14*(CC9/365)*CC12*(CC13/24)*CC11)</f>
        <v>372.93279152123068</v>
      </c>
      <c r="CD2" s="404" t="s">
        <v>13</v>
      </c>
      <c r="CE2" s="402" t="s">
        <v>559</v>
      </c>
      <c r="CF2" s="400">
        <f>(CF5*CF6*CF7)/((1-EXP(-CF7*CF6))*CF10*CF14*(CF9/365)*CF12*(CF13/24)*CF11)</f>
        <v>4077.772022717953</v>
      </c>
      <c r="CG2" s="404" t="s">
        <v>13</v>
      </c>
      <c r="CH2" s="402" t="s">
        <v>560</v>
      </c>
      <c r="CI2" s="400">
        <f>(CI5*CI6*CI7)/((1-EXP(-CI7*CI6))*CI10*CI14*(CI9/365)*CI12*(CI13/24)*CI11)</f>
        <v>494.31713007053355</v>
      </c>
      <c r="CJ2" s="398" t="s">
        <v>13</v>
      </c>
      <c r="CK2" s="410" t="s">
        <v>510</v>
      </c>
      <c r="CL2" s="400">
        <f>CL5/(CL6*CL7*CL8*CL9)</f>
        <v>137.22786000013724</v>
      </c>
      <c r="CM2" s="404" t="s">
        <v>13</v>
      </c>
      <c r="CN2" s="402" t="s">
        <v>7</v>
      </c>
      <c r="CO2" s="400">
        <f>CL2/(CO5*((CO10*CO12*CO13*(CO6+CO7))+(CO11*CO12)))</f>
        <v>39.738180870511464</v>
      </c>
      <c r="CP2" s="412" t="s">
        <v>13</v>
      </c>
      <c r="CQ2" s="402" t="s">
        <v>6</v>
      </c>
      <c r="CR2" s="400">
        <f>CL2/(CR5*CR6*(1/CR7))</f>
        <v>50825.133333384161</v>
      </c>
      <c r="CS2" s="415" t="s">
        <v>14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(DD5)/(DD6*(DD7+DD10)*DD20)</f>
        <v>0.73717445454619168</v>
      </c>
      <c r="DE2" s="672" t="s">
        <v>13</v>
      </c>
      <c r="DF2" s="670" t="s">
        <v>510</v>
      </c>
      <c r="DG2" s="668">
        <f>(DD2/((1/DG24)*(DG5+DG6+DG7)))</f>
        <v>66.241757381666616</v>
      </c>
      <c r="DH2" s="666" t="s">
        <v>14</v>
      </c>
      <c r="DI2" s="680" t="s">
        <v>510</v>
      </c>
      <c r="DJ2" s="668">
        <f>(DD2/(DJ5+DJ6))*CU11</f>
        <v>3.5765470234338297</v>
      </c>
      <c r="DK2" s="666" t="s">
        <v>14</v>
      </c>
      <c r="DL2" s="680" t="s">
        <v>554</v>
      </c>
      <c r="DM2" s="668">
        <f>(DD2/(DM5+DM6))*((DM9*DD21)/(1-EXP(-DD21*DM9)))</f>
        <v>3.5765470234338297</v>
      </c>
      <c r="DN2" s="666" t="s">
        <v>14</v>
      </c>
      <c r="DO2" s="680" t="s">
        <v>553</v>
      </c>
      <c r="DP2" s="668">
        <f>-(DP5+DP6+DP7)/(DP23+DP24)</f>
        <v>-39.016043743831744</v>
      </c>
      <c r="DQ2" s="678" t="s">
        <v>14</v>
      </c>
      <c r="DR2" s="556" t="s">
        <v>510</v>
      </c>
      <c r="DS2" s="460">
        <f>DS5/(DS6*DS7*DS16)</f>
        <v>1.4743489090923834</v>
      </c>
      <c r="DT2" s="466" t="s">
        <v>13</v>
      </c>
      <c r="DU2" s="464" t="s">
        <v>510</v>
      </c>
      <c r="DV2" s="462">
        <f>DS2/(DV5*(1/DV8)*DV6*(1/DV7))</f>
        <v>3588.3255585187967</v>
      </c>
      <c r="DW2" s="480" t="s">
        <v>14</v>
      </c>
      <c r="DX2" s="478" t="s">
        <v>510</v>
      </c>
      <c r="DY2" s="462">
        <f>(DS2/(DY9*(1/DY14)*((DY10*DY12*DY13*(DY5+DY6))+(DY11*DY12))))*CU11</f>
        <v>75.340903402991287</v>
      </c>
      <c r="DZ2" s="480" t="s">
        <v>14</v>
      </c>
      <c r="EA2" s="478" t="s">
        <v>554</v>
      </c>
      <c r="EB2" s="462">
        <f>(DS2/(EB9*(1/EB14)*((EB10*EB12*EB13*(EB5+EB6))+(EB11*EB12))))*((EB15*DS18)/(1-EXP(-DS18*EB15)))</f>
        <v>75.340903402991287</v>
      </c>
      <c r="EC2" s="480" t="s">
        <v>14</v>
      </c>
      <c r="ED2" s="478" t="s">
        <v>553</v>
      </c>
      <c r="EE2" s="462">
        <f>-EE15/((EE10*EE12*EE13*(EE5+EE6))+(EE11*EE12))</f>
        <v>-15.172254564045053</v>
      </c>
      <c r="EF2" s="476" t="s">
        <v>14</v>
      </c>
      <c r="EG2" s="474" t="s">
        <v>510</v>
      </c>
      <c r="EH2" s="472">
        <f>EH5/(EH6*EH7*EH16)</f>
        <v>1.4743489090923834</v>
      </c>
      <c r="EI2" s="470" t="s">
        <v>13</v>
      </c>
      <c r="EJ2" s="468" t="s">
        <v>510</v>
      </c>
      <c r="EK2" s="502">
        <f>EH2/(EK5*EK6*(1/EK7))</f>
        <v>1264.450179324514</v>
      </c>
      <c r="EL2" s="500" t="s">
        <v>14</v>
      </c>
      <c r="EM2" s="504" t="s">
        <v>510</v>
      </c>
      <c r="EN2" s="502">
        <f>(EH2/(EN9*((EN10*EN12*EN13*(EN5+EN6))+(EN11*EN12))))*CU11</f>
        <v>24.509521917644079</v>
      </c>
      <c r="EO2" s="500" t="s">
        <v>13</v>
      </c>
      <c r="EP2" s="504" t="s">
        <v>554</v>
      </c>
      <c r="EQ2" s="502">
        <f>(EH2/(EQ9*((EQ10*EQ12*EQ13*(EQ5+EQ6))+(EQ11*EQ12))))*((EQ14*EH18)/(1-EXP(-EH18*EQ14)))</f>
        <v>24.509521917644079</v>
      </c>
      <c r="ER2" s="500" t="s">
        <v>14</v>
      </c>
      <c r="ES2" s="504" t="s">
        <v>553</v>
      </c>
      <c r="ET2" s="502">
        <f>-ET15/((ET10*ET12*ET13*(ET5+ET6))+(ET11*ET12))</f>
        <v>-14.006971771987642</v>
      </c>
      <c r="EU2" s="514" t="s">
        <v>19</v>
      </c>
      <c r="EV2" s="512" t="s">
        <v>510</v>
      </c>
      <c r="EW2" s="510">
        <f>EW5/(EW6*EW7*EW16)</f>
        <v>1.4743489090923834</v>
      </c>
      <c r="EX2" s="508" t="s">
        <v>13</v>
      </c>
      <c r="EY2" s="506" t="s">
        <v>510</v>
      </c>
      <c r="EZ2" s="494">
        <f>EW2/(EZ5*EZ6*(1/EZ7))</f>
        <v>9214.6806818273944</v>
      </c>
      <c r="FA2" s="498" t="s">
        <v>14</v>
      </c>
      <c r="FB2" s="496" t="s">
        <v>510</v>
      </c>
      <c r="FC2" s="494">
        <f>(EW2/(FC9*((FC10*FC12*FC13*(FC5+FC6))+(FC11*FC12))))*CU11</f>
        <v>65.561600738690942</v>
      </c>
      <c r="FD2" s="498" t="s">
        <v>13</v>
      </c>
      <c r="FE2" s="496" t="s">
        <v>554</v>
      </c>
      <c r="FF2" s="494">
        <f>(EW2/(FF9*((FF10*FF12*FF13*(FF5+FF6))+(FF11*FF12))))*((FF14*EW18)/(1-EXP(-EW18*FF14)))</f>
        <v>65.561600738690942</v>
      </c>
      <c r="FG2" s="498" t="s">
        <v>14</v>
      </c>
      <c r="FH2" s="496" t="s">
        <v>553</v>
      </c>
      <c r="FI2" s="494">
        <f>-FI15/((FI10*FI12*FI13*(FI5+FI6))+(FI11*FI12))</f>
        <v>-5.1413881748071981</v>
      </c>
      <c r="FJ2" s="492" t="s">
        <v>19</v>
      </c>
      <c r="FK2" s="490" t="s">
        <v>510</v>
      </c>
      <c r="FL2" s="488">
        <f>FL5/(FL6*FL7*FL16)</f>
        <v>1.4743489090923834</v>
      </c>
      <c r="FM2" s="486" t="s">
        <v>13</v>
      </c>
      <c r="FN2" s="484" t="s">
        <v>510</v>
      </c>
      <c r="FO2" s="430">
        <f>FL2/(FO5*(1/FO6))</f>
        <v>0.58973956363695335</v>
      </c>
      <c r="FP2" s="428" t="s">
        <v>14</v>
      </c>
      <c r="FQ2" s="482" t="s">
        <v>510</v>
      </c>
      <c r="FR2" s="430">
        <f>((FL2*FR6)/FR5)*CU11</f>
        <v>8.16110805995225E-3</v>
      </c>
      <c r="FS2" s="428" t="s">
        <v>13</v>
      </c>
      <c r="FT2" s="426" t="s">
        <v>554</v>
      </c>
      <c r="FU2" s="430">
        <f>((FL2*FU6)/FU5)*((FU7*FL18)/(1-EXP(-FL18*FU7)))</f>
        <v>8.16110805995225E-3</v>
      </c>
      <c r="FV2" s="428" t="s">
        <v>14</v>
      </c>
      <c r="FW2" s="426" t="s">
        <v>553</v>
      </c>
      <c r="FX2" s="430">
        <f>-FX5/FX6</f>
        <v>-0.01</v>
      </c>
      <c r="FY2" s="438" t="s">
        <v>19</v>
      </c>
      <c r="FZ2" s="436" t="s">
        <v>510</v>
      </c>
      <c r="GA2" s="434">
        <f>GA5/(GA6*GA7*GA16)</f>
        <v>1.4743489090923834</v>
      </c>
      <c r="GB2" s="432" t="s">
        <v>13</v>
      </c>
      <c r="GC2" s="458" t="s">
        <v>510</v>
      </c>
      <c r="GD2" s="417">
        <f>(GA2/(GD5*GD6*(1/GD7)))</f>
        <v>1365.1378787892438</v>
      </c>
      <c r="GE2" s="421" t="s">
        <v>14</v>
      </c>
      <c r="GF2" s="419" t="s">
        <v>510</v>
      </c>
      <c r="GG2" s="417">
        <f>(GA2/((GG9)*((GG10*GG12*GG13*(GG5+GG6))+(GG11*GG12))))*CU11</f>
        <v>9.7128297390653255</v>
      </c>
      <c r="GH2" s="421" t="s">
        <v>13</v>
      </c>
      <c r="GI2" s="419" t="s">
        <v>554</v>
      </c>
      <c r="GJ2" s="417">
        <f>(GA2/((GJ9)*((GJ10*GJ12*GJ13*(GJ5+GJ6))+(GJ11*GJ12))))*((GJ14*GA18)/(1-EXP(-GA18*GJ14)))</f>
        <v>9.7128297390653255</v>
      </c>
      <c r="GK2" s="421" t="s">
        <v>14</v>
      </c>
      <c r="GL2" s="419" t="s">
        <v>553</v>
      </c>
      <c r="GM2" s="417">
        <f>-GM15/((GM10*GM12*GM13*(GM5+GM6))+(GM11*GM12))</f>
        <v>-5.1413881748071981</v>
      </c>
      <c r="GN2" s="456" t="s">
        <v>19</v>
      </c>
      <c r="GO2" s="454" t="s">
        <v>510</v>
      </c>
      <c r="GP2" s="452">
        <f>GP5/(GP6*GP7*GP15)</f>
        <v>1.4743489090923834</v>
      </c>
      <c r="GQ2" s="450" t="s">
        <v>13</v>
      </c>
      <c r="GR2" s="448" t="s">
        <v>510</v>
      </c>
      <c r="GS2" s="442">
        <f>GP2/(GS5*GS6*(1/GS7))</f>
        <v>646.64425837385227</v>
      </c>
      <c r="GT2" s="446" t="s">
        <v>14</v>
      </c>
      <c r="GU2" s="444" t="s">
        <v>510</v>
      </c>
      <c r="GV2" s="442">
        <f>(GP2/((GV9)*((GV10*GV12*GV13*(GV5+GV6))+(GV11*GV12))))*CU11</f>
        <v>6.0675578867187951</v>
      </c>
      <c r="GW2" s="446" t="s">
        <v>13</v>
      </c>
      <c r="GX2" s="444" t="s">
        <v>554</v>
      </c>
      <c r="GY2" s="442">
        <f>(GP2/((GY9)*((GY10*GY12*GY13*(GY5+GY6))+(GY11*GY12))))*((GY14*GP17)/(1-EXP(-GP17*GY14)))</f>
        <v>6.0675578867187951</v>
      </c>
      <c r="GZ2" s="446" t="s">
        <v>14</v>
      </c>
      <c r="HA2" s="444" t="s">
        <v>553</v>
      </c>
      <c r="HB2" s="442">
        <f>-HB15/((HB10*HB12*HB13*(HB5+HB6))+(HB11*HB12))</f>
        <v>-6.7804674953904707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362">
        <v>8.5099999999999995E-2</v>
      </c>
      <c r="C3" s="240"/>
      <c r="D3" s="317" t="s">
        <v>15</v>
      </c>
      <c r="E3" s="285">
        <f>1/((1/E20)+(1/E21))</f>
        <v>1.4679505585572912</v>
      </c>
      <c r="F3" s="253" t="s">
        <v>10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29.834277999035827</v>
      </c>
      <c r="X3" s="254" t="s">
        <v>10</v>
      </c>
      <c r="Y3" s="321" t="s">
        <v>16</v>
      </c>
      <c r="Z3" s="358">
        <f>1/((1/Z18)+(1/Z19))</f>
        <v>29.834277999035827</v>
      </c>
      <c r="AA3" s="255" t="s">
        <v>10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19.873792177391021</v>
      </c>
      <c r="BU3" s="250" t="s">
        <v>10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8.111728314715419E-3</v>
      </c>
      <c r="CV3" s="71" t="s">
        <v>13</v>
      </c>
      <c r="CW3" s="326" t="s">
        <v>15</v>
      </c>
      <c r="CX3" s="117">
        <f>1/((1/CX20)+(1/CX21))</f>
        <v>1.5621922974452302</v>
      </c>
      <c r="CY3" s="256" t="s">
        <v>10</v>
      </c>
      <c r="CZ3" s="338" t="s">
        <v>285</v>
      </c>
      <c r="DA3" s="336">
        <f>1/((1/DA13)+(1/DA15)+(1/DA16)+(1/DA17)+(1/DA18)+(1/DA19)+(1/DA20)+(1/DA21)+(1/DA22))</f>
        <v>0.5749208078549809</v>
      </c>
      <c r="DB3" s="72" t="s">
        <v>13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2.569333717580276</v>
      </c>
      <c r="HF3" s="252" t="s">
        <v>13</v>
      </c>
    </row>
    <row r="4" spans="1:214" ht="13.5" customHeight="1" thickBot="1" x14ac:dyDescent="0.25">
      <c r="A4" s="279" t="s">
        <v>457</v>
      </c>
      <c r="B4" s="364">
        <v>0.74199999999999999</v>
      </c>
      <c r="C4" s="242"/>
      <c r="D4" s="318" t="s">
        <v>16</v>
      </c>
      <c r="E4" s="286">
        <f>1/((1/E22)+(1/E23))</f>
        <v>1.8309004203116734</v>
      </c>
      <c r="F4" s="257" t="s">
        <v>10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28.184650724299988</v>
      </c>
      <c r="X4" s="258" t="s">
        <v>10</v>
      </c>
      <c r="Y4" s="322" t="s">
        <v>15</v>
      </c>
      <c r="Z4" s="359">
        <f>1/((1/Z16)+(1/Z17))</f>
        <v>28.184650724299988</v>
      </c>
      <c r="AA4" s="259" t="s">
        <v>10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26.396157535287703</v>
      </c>
      <c r="BU4" s="260" t="s">
        <v>10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2.4460885237102077</v>
      </c>
      <c r="CV4" s="73" t="s">
        <v>13</v>
      </c>
      <c r="CW4" s="327" t="s">
        <v>16</v>
      </c>
      <c r="CX4" s="106">
        <f>1/((1/CX22)+(1/CX23))</f>
        <v>2.1618390448913609</v>
      </c>
      <c r="CY4" s="261" t="s">
        <v>10</v>
      </c>
      <c r="CZ4" s="339" t="s">
        <v>11</v>
      </c>
      <c r="DA4" s="337">
        <f>1/((1/DA15)+(1/DA16)+(1/DA13))</f>
        <v>24.845210188791086</v>
      </c>
      <c r="DB4" s="74" t="s">
        <v>13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0.71264761209283167</v>
      </c>
      <c r="HF4" s="75" t="s">
        <v>13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1.0000000000000001E-5</v>
      </c>
      <c r="G5" s="262" t="s">
        <v>17</v>
      </c>
      <c r="H5" s="287">
        <f>B18</f>
        <v>1.0000000000000001E-5</v>
      </c>
      <c r="J5" s="262" t="s">
        <v>17</v>
      </c>
      <c r="K5" s="287">
        <f>B18</f>
        <v>1.0000000000000001E-5</v>
      </c>
      <c r="M5" s="249" t="s">
        <v>17</v>
      </c>
      <c r="N5" s="287">
        <f>B18</f>
        <v>1.0000000000000001E-5</v>
      </c>
      <c r="P5" s="249" t="s">
        <v>17</v>
      </c>
      <c r="Q5" s="287">
        <f>B18</f>
        <v>1.0000000000000001E-5</v>
      </c>
      <c r="S5" s="249" t="s">
        <v>17</v>
      </c>
      <c r="T5" s="287">
        <f>B18</f>
        <v>1.0000000000000001E-5</v>
      </c>
      <c r="V5" s="249" t="s">
        <v>17</v>
      </c>
      <c r="W5" s="287">
        <f>B18</f>
        <v>1.0000000000000001E-5</v>
      </c>
      <c r="Y5" s="249" t="s">
        <v>17</v>
      </c>
      <c r="Z5" s="287">
        <f>B18</f>
        <v>1.0000000000000001E-5</v>
      </c>
      <c r="AB5" s="262" t="s">
        <v>17</v>
      </c>
      <c r="AC5" s="287">
        <f>B18</f>
        <v>1.0000000000000001E-5</v>
      </c>
      <c r="AD5" s="287">
        <f>B18</f>
        <v>1.0000000000000001E-5</v>
      </c>
      <c r="AE5" s="287">
        <f>B18</f>
        <v>1.0000000000000001E-5</v>
      </c>
      <c r="AF5" s="287">
        <f>B18</f>
        <v>1.0000000000000001E-5</v>
      </c>
      <c r="AG5" s="287">
        <f>B18</f>
        <v>1.0000000000000001E-5</v>
      </c>
      <c r="AI5" s="249" t="s">
        <v>17</v>
      </c>
      <c r="AJ5" s="287">
        <f>B18</f>
        <v>1.0000000000000001E-5</v>
      </c>
      <c r="AL5" s="249" t="s">
        <v>17</v>
      </c>
      <c r="AM5" s="287">
        <f>B18</f>
        <v>1.0000000000000001E-5</v>
      </c>
      <c r="AO5" s="249" t="s">
        <v>17</v>
      </c>
      <c r="AP5" s="287">
        <f>B18</f>
        <v>1.0000000000000001E-5</v>
      </c>
      <c r="AR5" s="249" t="s">
        <v>17</v>
      </c>
      <c r="AS5" s="287">
        <f>B18</f>
        <v>1.0000000000000001E-5</v>
      </c>
      <c r="AU5" s="249" t="s">
        <v>17</v>
      </c>
      <c r="AV5" s="287">
        <f>B18</f>
        <v>1.0000000000000001E-5</v>
      </c>
      <c r="AX5" s="249" t="s">
        <v>17</v>
      </c>
      <c r="AY5" s="287">
        <f>B18</f>
        <v>1.0000000000000001E-5</v>
      </c>
      <c r="BA5" s="249" t="s">
        <v>17</v>
      </c>
      <c r="BB5" s="287">
        <f>B18</f>
        <v>1.0000000000000001E-5</v>
      </c>
      <c r="BD5" s="249" t="s">
        <v>17</v>
      </c>
      <c r="BE5" s="287">
        <f>B18</f>
        <v>1.0000000000000001E-5</v>
      </c>
      <c r="BG5" s="249" t="s">
        <v>17</v>
      </c>
      <c r="BH5" s="287">
        <f>B18</f>
        <v>1.0000000000000001E-5</v>
      </c>
      <c r="BJ5" s="249" t="s">
        <v>17</v>
      </c>
      <c r="BK5" s="287">
        <f>B18</f>
        <v>1.0000000000000001E-5</v>
      </c>
      <c r="BM5" s="249" t="s">
        <v>17</v>
      </c>
      <c r="BN5" s="287">
        <f>B18</f>
        <v>1.0000000000000001E-5</v>
      </c>
      <c r="BP5" s="249" t="s">
        <v>17</v>
      </c>
      <c r="BQ5" s="287">
        <f>B18</f>
        <v>1.0000000000000001E-5</v>
      </c>
      <c r="BS5" s="249" t="s">
        <v>17</v>
      </c>
      <c r="BT5" s="287">
        <f>B18</f>
        <v>1.0000000000000001E-5</v>
      </c>
      <c r="BV5" s="262" t="s">
        <v>17</v>
      </c>
      <c r="BW5" s="287">
        <f>B18</f>
        <v>1.0000000000000001E-5</v>
      </c>
      <c r="BY5" s="262" t="s">
        <v>17</v>
      </c>
      <c r="BZ5" s="287">
        <f>B18</f>
        <v>1.0000000000000001E-5</v>
      </c>
      <c r="CB5" s="249" t="s">
        <v>17</v>
      </c>
      <c r="CC5" s="287">
        <f>B18</f>
        <v>1.0000000000000001E-5</v>
      </c>
      <c r="CE5" s="249" t="s">
        <v>17</v>
      </c>
      <c r="CF5" s="287">
        <f>B18</f>
        <v>1.0000000000000001E-5</v>
      </c>
      <c r="CH5" s="249" t="s">
        <v>17</v>
      </c>
      <c r="CI5" s="287">
        <f>B18</f>
        <v>1.0000000000000001E-5</v>
      </c>
      <c r="CK5" s="249" t="s">
        <v>17</v>
      </c>
      <c r="CL5" s="287">
        <f>B18</f>
        <v>1.0000000000000001E-5</v>
      </c>
      <c r="CM5" s="76"/>
      <c r="CN5" s="262" t="s">
        <v>264</v>
      </c>
      <c r="CO5" s="287">
        <f>B43</f>
        <v>2.7</v>
      </c>
      <c r="CQ5" s="262" t="s">
        <v>264</v>
      </c>
      <c r="CR5" s="287">
        <f>CO5</f>
        <v>2.7</v>
      </c>
      <c r="CT5" s="262" t="s">
        <v>17</v>
      </c>
      <c r="CU5" s="287">
        <f>B18</f>
        <v>1.0000000000000001E-5</v>
      </c>
      <c r="CW5" s="249" t="s">
        <v>17</v>
      </c>
      <c r="CX5" s="287">
        <f>B18</f>
        <v>1.0000000000000001E-5</v>
      </c>
      <c r="CZ5" s="262" t="s">
        <v>17</v>
      </c>
      <c r="DA5" s="287">
        <f>B18</f>
        <v>1.0000000000000001E-5</v>
      </c>
      <c r="DC5" s="262" t="s">
        <v>17</v>
      </c>
      <c r="DD5" s="287">
        <f>B18</f>
        <v>1.0000000000000001E-5</v>
      </c>
      <c r="DF5" s="249" t="s">
        <v>18</v>
      </c>
      <c r="DG5" s="118">
        <f>(DG8*DG9*DG10*((1-EXP(-DG11*DG12))))/(DG13*DG11)</f>
        <v>0.66252863179360322</v>
      </c>
      <c r="DH5" s="249" t="s">
        <v>19</v>
      </c>
      <c r="DI5" s="262" t="s">
        <v>20</v>
      </c>
      <c r="DJ5" s="305">
        <f>DJ7</f>
        <v>2.5229999999999999E-2</v>
      </c>
      <c r="DK5" s="262"/>
      <c r="DL5" s="262" t="s">
        <v>20</v>
      </c>
      <c r="DM5" s="305">
        <f>DM7</f>
        <v>2.5229999999999999E-2</v>
      </c>
      <c r="DO5" s="249" t="s">
        <v>18</v>
      </c>
      <c r="DP5" s="118">
        <f>(DP8*DP9*DP10*((1-EXP(-DP11*DP12))))/(DP13*DP11)</f>
        <v>0.66252863179360322</v>
      </c>
      <c r="DQ5" s="249" t="s">
        <v>19</v>
      </c>
      <c r="DR5" s="262" t="s">
        <v>17</v>
      </c>
      <c r="DS5" s="287">
        <f>B18</f>
        <v>1.0000000000000001E-5</v>
      </c>
      <c r="DU5" s="262" t="s">
        <v>278</v>
      </c>
      <c r="DV5" s="310">
        <f>B37</f>
        <v>4.5999999999999999E-3</v>
      </c>
      <c r="DW5" s="262"/>
      <c r="DX5" s="262" t="s">
        <v>21</v>
      </c>
      <c r="DY5" s="305">
        <f>DY7</f>
        <v>2.9000000000000001E-2</v>
      </c>
      <c r="DZ5" s="262"/>
      <c r="EA5" s="262" t="s">
        <v>21</v>
      </c>
      <c r="EB5" s="305">
        <f>EB7</f>
        <v>2.9000000000000001E-2</v>
      </c>
      <c r="EC5" s="263"/>
      <c r="ED5" s="262" t="s">
        <v>21</v>
      </c>
      <c r="EE5" s="305">
        <f>EE7</f>
        <v>2.9000000000000001E-2</v>
      </c>
      <c r="EF5" s="263"/>
      <c r="EG5" s="262" t="s">
        <v>17</v>
      </c>
      <c r="EH5" s="287">
        <f>B18</f>
        <v>1.0000000000000001E-5</v>
      </c>
      <c r="EJ5" s="262" t="s">
        <v>275</v>
      </c>
      <c r="EK5" s="310">
        <f>B38</f>
        <v>2.1999999999999999E-2</v>
      </c>
      <c r="EL5" s="262"/>
      <c r="EM5" s="262" t="s">
        <v>21</v>
      </c>
      <c r="EN5" s="305">
        <f>EN7</f>
        <v>2.9000000000000001E-2</v>
      </c>
      <c r="EO5" s="262"/>
      <c r="EP5" s="262" t="s">
        <v>21</v>
      </c>
      <c r="EQ5" s="305">
        <f>EQ7</f>
        <v>2.9000000000000001E-2</v>
      </c>
      <c r="ER5" s="263"/>
      <c r="ES5" s="262" t="s">
        <v>21</v>
      </c>
      <c r="ET5" s="305">
        <f>ET7</f>
        <v>2.9000000000000001E-2</v>
      </c>
      <c r="EU5" s="263"/>
      <c r="EV5" s="262" t="s">
        <v>17</v>
      </c>
      <c r="EW5" s="287">
        <f>B18</f>
        <v>1.0000000000000001E-5</v>
      </c>
      <c r="EY5" s="262" t="s">
        <v>201</v>
      </c>
      <c r="EZ5" s="310">
        <f>B40</f>
        <v>0.4</v>
      </c>
      <c r="FA5" s="262"/>
      <c r="FB5" s="262" t="s">
        <v>21</v>
      </c>
      <c r="FC5" s="305">
        <f>FC7</f>
        <v>2.9000000000000001E-2</v>
      </c>
      <c r="FD5" s="262"/>
      <c r="FE5" s="262" t="s">
        <v>21</v>
      </c>
      <c r="FF5" s="305">
        <f>FF7</f>
        <v>2.9000000000000001E-2</v>
      </c>
      <c r="FG5" s="263"/>
      <c r="FH5" s="263" t="s">
        <v>21</v>
      </c>
      <c r="FI5" s="290">
        <f>FI7</f>
        <v>2.9000000000000001E-2</v>
      </c>
      <c r="FJ5" s="263"/>
      <c r="FK5" s="262" t="s">
        <v>17</v>
      </c>
      <c r="FL5" s="287">
        <f>B18</f>
        <v>1.0000000000000001E-5</v>
      </c>
      <c r="FN5" s="263" t="s">
        <v>122</v>
      </c>
      <c r="FO5" s="308">
        <f>B36</f>
        <v>2500</v>
      </c>
      <c r="FP5" s="263"/>
      <c r="FQ5" s="263" t="s">
        <v>122</v>
      </c>
      <c r="FR5" s="298">
        <f>B36</f>
        <v>2500</v>
      </c>
      <c r="FS5" s="263"/>
      <c r="FT5" s="263" t="s">
        <v>122</v>
      </c>
      <c r="FU5" s="298">
        <f>B36</f>
        <v>2500</v>
      </c>
      <c r="FV5" s="263"/>
      <c r="FW5" s="262" t="s">
        <v>181</v>
      </c>
      <c r="FX5" s="305">
        <f>B46</f>
        <v>10</v>
      </c>
      <c r="FY5" s="249" t="s">
        <v>19</v>
      </c>
      <c r="FZ5" s="262" t="s">
        <v>17</v>
      </c>
      <c r="GA5" s="287">
        <f>B18</f>
        <v>1.0000000000000001E-5</v>
      </c>
      <c r="GC5" s="263" t="s">
        <v>276</v>
      </c>
      <c r="GD5" s="310">
        <f>B39</f>
        <v>2.7</v>
      </c>
      <c r="GE5" s="262"/>
      <c r="GF5" s="262" t="s">
        <v>21</v>
      </c>
      <c r="GG5" s="305">
        <f>GG7</f>
        <v>2.9000000000000001E-2</v>
      </c>
      <c r="GH5" s="262"/>
      <c r="GI5" s="262" t="s">
        <v>21</v>
      </c>
      <c r="GJ5" s="305">
        <f>GJ7</f>
        <v>2.9000000000000001E-2</v>
      </c>
      <c r="GK5" s="262"/>
      <c r="GL5" s="262" t="s">
        <v>21</v>
      </c>
      <c r="GM5" s="305">
        <f>GM7</f>
        <v>2.9000000000000001E-2</v>
      </c>
      <c r="GN5" s="263"/>
      <c r="GO5" s="262" t="s">
        <v>17</v>
      </c>
      <c r="GP5" s="287">
        <f>B18</f>
        <v>1.0000000000000001E-5</v>
      </c>
      <c r="GR5" s="263" t="s">
        <v>277</v>
      </c>
      <c r="GS5" s="310">
        <f>B41</f>
        <v>0.2</v>
      </c>
      <c r="GT5" s="262"/>
      <c r="GU5" s="262" t="s">
        <v>21</v>
      </c>
      <c r="GV5" s="305">
        <f>GV7</f>
        <v>2.9000000000000001E-2</v>
      </c>
      <c r="GW5" s="262"/>
      <c r="GX5" s="262" t="s">
        <v>21</v>
      </c>
      <c r="GY5" s="305">
        <f>GY7</f>
        <v>2.9000000000000001E-2</v>
      </c>
      <c r="GZ5" s="262"/>
      <c r="HA5" s="262" t="s">
        <v>21</v>
      </c>
      <c r="HB5" s="305">
        <f>HB7</f>
        <v>2.9000000000000001E-2</v>
      </c>
      <c r="HC5" s="263"/>
      <c r="HD5" s="265" t="s">
        <v>22</v>
      </c>
      <c r="HE5" s="293">
        <f>B47</f>
        <v>200</v>
      </c>
      <c r="HF5" s="262" t="s">
        <v>14</v>
      </c>
    </row>
    <row r="6" spans="1:214" ht="13.5" thickTop="1" x14ac:dyDescent="0.2">
      <c r="A6" s="278" t="s">
        <v>454</v>
      </c>
      <c r="B6" s="362">
        <v>4.3299999999999998E-2</v>
      </c>
      <c r="C6" s="240"/>
      <c r="D6" s="262" t="s">
        <v>23</v>
      </c>
      <c r="E6" s="288">
        <f>0.693/E7</f>
        <v>2.2972045705420805E-2</v>
      </c>
      <c r="G6" s="262" t="s">
        <v>439</v>
      </c>
      <c r="H6" s="287">
        <f>B20</f>
        <v>3.0487999999999999E-11</v>
      </c>
      <c r="I6" s="262" t="s">
        <v>35</v>
      </c>
      <c r="J6" s="262" t="s">
        <v>316</v>
      </c>
      <c r="K6" s="287">
        <f>B21</f>
        <v>4.2549999999999998E-11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2.2972045705420805E-2</v>
      </c>
      <c r="Y6" s="262" t="s">
        <v>23</v>
      </c>
      <c r="Z6" s="288">
        <f>0.693/Z7</f>
        <v>2.2972045705420805E-2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BK12</f>
        <v>5</v>
      </c>
      <c r="BR6" s="249" t="s">
        <v>69</v>
      </c>
      <c r="BS6" s="262" t="s">
        <v>23</v>
      </c>
      <c r="BT6" s="288">
        <f>0.693/BT7</f>
        <v>2.2972045705420805E-2</v>
      </c>
      <c r="BV6" s="262" t="s">
        <v>163</v>
      </c>
      <c r="BW6" s="287">
        <f>B20</f>
        <v>3.0487999999999999E-11</v>
      </c>
      <c r="BX6" s="262" t="s">
        <v>35</v>
      </c>
      <c r="BY6" s="262" t="s">
        <v>45</v>
      </c>
      <c r="BZ6" s="287">
        <f>B21</f>
        <v>4.2549999999999998E-11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3.7370000000000003E-11</v>
      </c>
      <c r="CM6" s="266" t="s">
        <v>13</v>
      </c>
      <c r="CN6" s="263" t="s">
        <v>21</v>
      </c>
      <c r="CO6" s="290">
        <f>CO8</f>
        <v>2.9000000000000001E-2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4.2549999999999998E-11</v>
      </c>
      <c r="CV6" s="262" t="s">
        <v>35</v>
      </c>
      <c r="CW6" s="262" t="s">
        <v>23</v>
      </c>
      <c r="CX6" s="288">
        <f>0.693/CX7</f>
        <v>2.2972045705420805E-2</v>
      </c>
      <c r="CZ6" s="262" t="s">
        <v>163</v>
      </c>
      <c r="DA6" s="287">
        <f>B20</f>
        <v>3.0487999999999999E-11</v>
      </c>
      <c r="DB6" s="262" t="s">
        <v>35</v>
      </c>
      <c r="DC6" s="262" t="s">
        <v>438</v>
      </c>
      <c r="DD6" s="287">
        <f>B30</f>
        <v>3.7370000000000003E-11</v>
      </c>
      <c r="DE6" s="267" t="s">
        <v>35</v>
      </c>
      <c r="DF6" s="249" t="s">
        <v>27</v>
      </c>
      <c r="DG6" s="118">
        <f>(DG8*DG9*DG14*((1-EXP(-DG11*DG12))))/(DG13*DG11)</f>
        <v>6.8274849094862002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6.8274849094862002</v>
      </c>
      <c r="DQ6" s="249" t="s">
        <v>19</v>
      </c>
      <c r="DR6" s="262" t="s">
        <v>438</v>
      </c>
      <c r="DS6" s="287">
        <f>B30</f>
        <v>3.7370000000000003E-11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3.7370000000000003E-11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3.7370000000000003E-11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3.7370000000000003E-11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10</v>
      </c>
      <c r="FS6" s="249" t="s">
        <v>19</v>
      </c>
      <c r="FT6" s="262" t="s">
        <v>181</v>
      </c>
      <c r="FU6" s="305">
        <f>B46</f>
        <v>10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3.7370000000000003E-11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3.7370000000000003E-11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55.47333981698435</v>
      </c>
      <c r="HF6" s="262" t="s">
        <v>14</v>
      </c>
    </row>
    <row r="7" spans="1:214" x14ac:dyDescent="0.2">
      <c r="A7" s="279" t="s">
        <v>455</v>
      </c>
      <c r="B7" s="363">
        <v>0.65300000000000002</v>
      </c>
      <c r="C7" s="241"/>
      <c r="D7" s="266" t="s">
        <v>270</v>
      </c>
      <c r="E7" s="287">
        <f>B31</f>
        <v>30.167100000000001</v>
      </c>
      <c r="F7" s="249" t="s">
        <v>69</v>
      </c>
      <c r="G7" s="262" t="s">
        <v>43</v>
      </c>
      <c r="H7" s="290">
        <f>B19</f>
        <v>1.1248E-10</v>
      </c>
      <c r="I7" s="263" t="s">
        <v>35</v>
      </c>
      <c r="J7" s="262" t="s">
        <v>43</v>
      </c>
      <c r="K7" s="290">
        <f>B19</f>
        <v>1.1248E-10</v>
      </c>
      <c r="L7" s="263" t="s">
        <v>35</v>
      </c>
      <c r="M7" s="262" t="s">
        <v>23</v>
      </c>
      <c r="N7" s="288">
        <f>0.693/N8</f>
        <v>2.2972045705420805E-2</v>
      </c>
      <c r="P7" s="262" t="s">
        <v>23</v>
      </c>
      <c r="Q7" s="288">
        <f>0.693/Q8</f>
        <v>2.2972045705420805E-2</v>
      </c>
      <c r="S7" s="262" t="s">
        <v>23</v>
      </c>
      <c r="T7" s="288">
        <f>0.693/T8</f>
        <v>2.2972045705420805E-2</v>
      </c>
      <c r="V7" s="266" t="s">
        <v>270</v>
      </c>
      <c r="W7" s="287">
        <f>B31</f>
        <v>30.167100000000001</v>
      </c>
      <c r="X7" s="249" t="s">
        <v>69</v>
      </c>
      <c r="Y7" s="266" t="s">
        <v>270</v>
      </c>
      <c r="Z7" s="287">
        <f>B31</f>
        <v>30.167100000000001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2.2972045705420805E-2</v>
      </c>
      <c r="AL7" s="262" t="s">
        <v>23</v>
      </c>
      <c r="AM7" s="288">
        <f>0.693/AM8</f>
        <v>2.2972045705420805E-2</v>
      </c>
      <c r="AO7" s="262" t="s">
        <v>23</v>
      </c>
      <c r="AP7" s="288">
        <f>0.693/AP8</f>
        <v>2.2972045705420805E-2</v>
      </c>
      <c r="AR7" s="262" t="s">
        <v>23</v>
      </c>
      <c r="AS7" s="288">
        <f>0.693/AS8</f>
        <v>2.2972045705420805E-2</v>
      </c>
      <c r="AU7" s="262" t="s">
        <v>23</v>
      </c>
      <c r="AV7" s="288">
        <f>0.693/AV8</f>
        <v>2.2972045705420805E-2</v>
      </c>
      <c r="AX7" s="262" t="s">
        <v>23</v>
      </c>
      <c r="AY7" s="288">
        <f>0.693/AY8</f>
        <v>2.2972045705420805E-2</v>
      </c>
      <c r="BA7" s="262" t="s">
        <v>23</v>
      </c>
      <c r="BB7" s="288">
        <f>0.693/BB8</f>
        <v>2.2972045705420805E-2</v>
      </c>
      <c r="BD7" s="262" t="s">
        <v>23</v>
      </c>
      <c r="BE7" s="288">
        <f>0.693/BE8</f>
        <v>2.2972045705420805E-2</v>
      </c>
      <c r="BG7" s="262" t="s">
        <v>23</v>
      </c>
      <c r="BH7" s="288">
        <f>0.693/BH8</f>
        <v>2.2972045705420805E-2</v>
      </c>
      <c r="BJ7" s="262" t="s">
        <v>23</v>
      </c>
      <c r="BK7" s="288">
        <f>0.693/BK8</f>
        <v>2.2972045705420805E-2</v>
      </c>
      <c r="BM7" s="262" t="s">
        <v>23</v>
      </c>
      <c r="BN7" s="288">
        <f>0.693/BN8</f>
        <v>2.2972045705420805E-2</v>
      </c>
      <c r="BP7" s="262" t="s">
        <v>23</v>
      </c>
      <c r="BQ7" s="288">
        <f>0.693/BQ8</f>
        <v>2.2972045705420805E-2</v>
      </c>
      <c r="BS7" s="266" t="s">
        <v>270</v>
      </c>
      <c r="BT7" s="287">
        <f>B31</f>
        <v>30.167100000000001</v>
      </c>
      <c r="BU7" s="249" t="s">
        <v>69</v>
      </c>
      <c r="BV7" s="262" t="s">
        <v>43</v>
      </c>
      <c r="BW7" s="290">
        <f>E10</f>
        <v>1.1248E-10</v>
      </c>
      <c r="BX7" s="263" t="s">
        <v>35</v>
      </c>
      <c r="BY7" s="262" t="s">
        <v>43</v>
      </c>
      <c r="BZ7" s="290">
        <f>B19</f>
        <v>1.1248E-10</v>
      </c>
      <c r="CA7" s="263" t="s">
        <v>35</v>
      </c>
      <c r="CB7" s="262" t="s">
        <v>23</v>
      </c>
      <c r="CC7" s="288">
        <f>0.693/CC8</f>
        <v>2.2972045705420805E-2</v>
      </c>
      <c r="CE7" s="262" t="s">
        <v>23</v>
      </c>
      <c r="CF7" s="288">
        <f>0.693/CF8</f>
        <v>2.2972045705420805E-2</v>
      </c>
      <c r="CH7" s="262" t="s">
        <v>23</v>
      </c>
      <c r="CI7" s="288">
        <f>0.693/CI8</f>
        <v>2.2972045705420805E-2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1.1248E-10</v>
      </c>
      <c r="CV7" s="263" t="s">
        <v>35</v>
      </c>
      <c r="CW7" s="266" t="s">
        <v>270</v>
      </c>
      <c r="CX7" s="287">
        <f>B31</f>
        <v>30.167100000000001</v>
      </c>
      <c r="CY7" s="249" t="s">
        <v>69</v>
      </c>
      <c r="CZ7" s="263" t="s">
        <v>43</v>
      </c>
      <c r="DA7" s="290">
        <f>B19</f>
        <v>1.1248E-10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3.6385326157733249</v>
      </c>
      <c r="DH7" s="249" t="s">
        <v>19</v>
      </c>
      <c r="DI7" s="262" t="s">
        <v>37</v>
      </c>
      <c r="DJ7" s="287">
        <f>B44</f>
        <v>2.5229999999999999E-2</v>
      </c>
      <c r="DL7" s="262" t="s">
        <v>37</v>
      </c>
      <c r="DM7" s="287">
        <f>B44</f>
        <v>2.5229999999999999E-2</v>
      </c>
      <c r="DO7" s="249" t="s">
        <v>36</v>
      </c>
      <c r="DP7" s="118">
        <f>(DP8*DP9*DP15*DP21*((1-EXP(-DP16*DP17))))/(DP18*DP16)</f>
        <v>3.6385326157733249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2.9000000000000001E-2</v>
      </c>
      <c r="EA7" s="262" t="s">
        <v>38</v>
      </c>
      <c r="EB7" s="287">
        <f>B45</f>
        <v>2.9000000000000001E-2</v>
      </c>
      <c r="EC7" s="263"/>
      <c r="ED7" s="262" t="s">
        <v>38</v>
      </c>
      <c r="EE7" s="287">
        <f>B45</f>
        <v>2.9000000000000001E-2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2.9000000000000001E-2</v>
      </c>
      <c r="EP7" s="262" t="s">
        <v>38</v>
      </c>
      <c r="EQ7" s="287">
        <f>B45</f>
        <v>2.9000000000000001E-2</v>
      </c>
      <c r="ER7" s="263"/>
      <c r="ES7" s="262" t="s">
        <v>38</v>
      </c>
      <c r="ET7" s="287">
        <f>B45</f>
        <v>2.9000000000000001E-2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2.9000000000000001E-2</v>
      </c>
      <c r="FD7" s="262"/>
      <c r="FE7" s="262" t="s">
        <v>38</v>
      </c>
      <c r="FF7" s="305">
        <f>B45</f>
        <v>2.9000000000000001E-2</v>
      </c>
      <c r="FG7" s="263"/>
      <c r="FH7" s="263" t="s">
        <v>38</v>
      </c>
      <c r="FI7" s="290">
        <f>B45</f>
        <v>2.9000000000000001E-2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2.9000000000000001E-2</v>
      </c>
      <c r="GH7" s="262"/>
      <c r="GI7" s="262" t="s">
        <v>38</v>
      </c>
      <c r="GJ7" s="305">
        <f>B45</f>
        <v>2.9000000000000001E-2</v>
      </c>
      <c r="GK7" s="262"/>
      <c r="GL7" s="262" t="s">
        <v>38</v>
      </c>
      <c r="GM7" s="305">
        <f>B45</f>
        <v>2.9000000000000001E-2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2.9000000000000001E-2</v>
      </c>
      <c r="GW7" s="262"/>
      <c r="GX7" s="262" t="s">
        <v>38</v>
      </c>
      <c r="GY7" s="305">
        <f>B45</f>
        <v>2.9000000000000001E-2</v>
      </c>
      <c r="GZ7" s="262"/>
      <c r="HA7" s="262" t="s">
        <v>38</v>
      </c>
      <c r="HB7" s="305">
        <f>B45</f>
        <v>2.9000000000000001E-2</v>
      </c>
      <c r="HC7" s="263"/>
      <c r="HD7" s="262" t="s">
        <v>23</v>
      </c>
      <c r="HE7" s="288">
        <f>0.693/HE8</f>
        <v>2.2972045705420805E-2</v>
      </c>
    </row>
    <row r="8" spans="1:214" x14ac:dyDescent="0.2">
      <c r="A8" s="279" t="s">
        <v>458</v>
      </c>
      <c r="B8" s="363">
        <v>5.0099999999999999E-2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5.1609299040000001E-12</v>
      </c>
      <c r="I8" s="263" t="s">
        <v>35</v>
      </c>
      <c r="J8" s="262" t="s">
        <v>71</v>
      </c>
      <c r="K8" s="287">
        <f>B23</f>
        <v>2.5337597040000001E-6</v>
      </c>
      <c r="L8" s="262" t="s">
        <v>445</v>
      </c>
      <c r="M8" s="266" t="s">
        <v>270</v>
      </c>
      <c r="N8" s="287">
        <f>B31</f>
        <v>30.167100000000001</v>
      </c>
      <c r="O8" s="249" t="s">
        <v>69</v>
      </c>
      <c r="P8" s="266" t="s">
        <v>270</v>
      </c>
      <c r="Q8" s="287">
        <f>B31</f>
        <v>30.167100000000001</v>
      </c>
      <c r="R8" s="249" t="s">
        <v>69</v>
      </c>
      <c r="S8" s="266" t="s">
        <v>270</v>
      </c>
      <c r="T8" s="287">
        <f>B31</f>
        <v>30.167100000000001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30.167100000000001</v>
      </c>
      <c r="AK8" s="249" t="s">
        <v>69</v>
      </c>
      <c r="AL8" s="266" t="s">
        <v>270</v>
      </c>
      <c r="AM8" s="287">
        <f>B31</f>
        <v>30.167100000000001</v>
      </c>
      <c r="AN8" s="249" t="s">
        <v>69</v>
      </c>
      <c r="AO8" s="266" t="s">
        <v>270</v>
      </c>
      <c r="AP8" s="287">
        <f>B31</f>
        <v>30.167100000000001</v>
      </c>
      <c r="AQ8" s="249" t="s">
        <v>69</v>
      </c>
      <c r="AR8" s="266" t="s">
        <v>270</v>
      </c>
      <c r="AS8" s="287">
        <f>B31</f>
        <v>30.167100000000001</v>
      </c>
      <c r="AT8" s="249" t="s">
        <v>69</v>
      </c>
      <c r="AU8" s="266" t="s">
        <v>270</v>
      </c>
      <c r="AV8" s="287">
        <f>B31</f>
        <v>30.167100000000001</v>
      </c>
      <c r="AW8" s="249" t="s">
        <v>69</v>
      </c>
      <c r="AX8" s="266" t="s">
        <v>270</v>
      </c>
      <c r="AY8" s="287">
        <f>B31</f>
        <v>30.167100000000001</v>
      </c>
      <c r="AZ8" s="249" t="s">
        <v>69</v>
      </c>
      <c r="BA8" s="266" t="s">
        <v>270</v>
      </c>
      <c r="BB8" s="287">
        <f>B31</f>
        <v>30.167100000000001</v>
      </c>
      <c r="BC8" s="249" t="s">
        <v>69</v>
      </c>
      <c r="BD8" s="266" t="s">
        <v>270</v>
      </c>
      <c r="BE8" s="287">
        <f>B31</f>
        <v>30.167100000000001</v>
      </c>
      <c r="BF8" s="249" t="s">
        <v>69</v>
      </c>
      <c r="BG8" s="266" t="s">
        <v>270</v>
      </c>
      <c r="BH8" s="287">
        <f>B31</f>
        <v>30.167100000000001</v>
      </c>
      <c r="BI8" s="249" t="s">
        <v>69</v>
      </c>
      <c r="BJ8" s="266" t="s">
        <v>270</v>
      </c>
      <c r="BK8" s="287">
        <f>B31</f>
        <v>30.167100000000001</v>
      </c>
      <c r="BL8" s="249" t="s">
        <v>69</v>
      </c>
      <c r="BM8" s="266" t="s">
        <v>270</v>
      </c>
      <c r="BN8" s="287">
        <f>B31</f>
        <v>30.167100000000001</v>
      </c>
      <c r="BO8" s="249" t="s">
        <v>69</v>
      </c>
      <c r="BP8" s="266" t="s">
        <v>270</v>
      </c>
      <c r="BQ8" s="287">
        <f>B31</f>
        <v>30.167100000000001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5.1609299040000001E-12</v>
      </c>
      <c r="BX8" s="263" t="s">
        <v>35</v>
      </c>
      <c r="BY8" s="262" t="s">
        <v>71</v>
      </c>
      <c r="BZ8" s="287">
        <f>B23</f>
        <v>2.5337597040000001E-6</v>
      </c>
      <c r="CA8" s="262" t="s">
        <v>95</v>
      </c>
      <c r="CB8" s="266" t="s">
        <v>270</v>
      </c>
      <c r="CC8" s="287">
        <f>B31</f>
        <v>30.167100000000001</v>
      </c>
      <c r="CD8" s="249" t="s">
        <v>69</v>
      </c>
      <c r="CE8" s="266" t="s">
        <v>270</v>
      </c>
      <c r="CF8" s="287">
        <f>B31</f>
        <v>30.167100000000001</v>
      </c>
      <c r="CG8" s="249" t="s">
        <v>69</v>
      </c>
      <c r="CH8" s="266" t="s">
        <v>270</v>
      </c>
      <c r="CI8" s="287">
        <f>B31</f>
        <v>30.167100000000001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2.9000000000000001E-2</v>
      </c>
      <c r="CT8" s="262" t="s">
        <v>71</v>
      </c>
      <c r="CU8" s="287">
        <f>B23</f>
        <v>2.5337597040000001E-6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5.1609299040000001E-12</v>
      </c>
      <c r="DB8" s="262" t="s">
        <v>35</v>
      </c>
      <c r="DC8" s="262" t="s">
        <v>380</v>
      </c>
      <c r="DD8" s="311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30.167100000000001</v>
      </c>
      <c r="HF8" s="249" t="s">
        <v>69</v>
      </c>
    </row>
    <row r="9" spans="1:214" x14ac:dyDescent="0.2">
      <c r="A9" s="279" t="s">
        <v>459</v>
      </c>
      <c r="B9" s="363">
        <v>0.72599999999999998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3.7370000000000003E-11</v>
      </c>
      <c r="I9" s="267" t="s">
        <v>35</v>
      </c>
      <c r="J9" s="262" t="s">
        <v>438</v>
      </c>
      <c r="K9" s="287">
        <f>B30</f>
        <v>3.7370000000000003E-11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3.1782999999999999E-11</v>
      </c>
      <c r="AD9" s="287">
        <f>B22</f>
        <v>3.1782999999999999E-11</v>
      </c>
      <c r="AE9" s="287">
        <f>B22</f>
        <v>3.1782999999999999E-11</v>
      </c>
      <c r="AF9" s="287">
        <f>B22</f>
        <v>3.1782999999999999E-11</v>
      </c>
      <c r="AG9" s="287">
        <f>B22</f>
        <v>3.1782999999999999E-11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3.7370000000000003E-11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3.7370000000000003E-11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3.7370000000000003E-11</v>
      </c>
      <c r="DB9" s="263" t="s">
        <v>35</v>
      </c>
      <c r="DC9" s="262" t="s">
        <v>381</v>
      </c>
      <c r="DD9" s="311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4.5999999999999999E-3</v>
      </c>
      <c r="EA9" s="262" t="s">
        <v>278</v>
      </c>
      <c r="EB9" s="287">
        <f>B37</f>
        <v>4.5999999999999999E-3</v>
      </c>
      <c r="EC9" s="263"/>
      <c r="ED9" s="262" t="s">
        <v>278</v>
      </c>
      <c r="EE9" s="287">
        <f>B37</f>
        <v>4.5999999999999999E-3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2.1999999999999999E-2</v>
      </c>
      <c r="EP9" s="262" t="s">
        <v>275</v>
      </c>
      <c r="EQ9" s="310">
        <f>B38</f>
        <v>2.1999999999999999E-2</v>
      </c>
      <c r="ER9" s="263"/>
      <c r="ES9" s="262" t="s">
        <v>275</v>
      </c>
      <c r="ET9" s="310">
        <f>B38</f>
        <v>2.1999999999999999E-2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0.4</v>
      </c>
      <c r="FD9" s="262"/>
      <c r="FE9" s="262" t="s">
        <v>201</v>
      </c>
      <c r="FF9" s="310">
        <f>B40</f>
        <v>0.4</v>
      </c>
      <c r="FG9" s="263"/>
      <c r="FH9" s="262" t="s">
        <v>201</v>
      </c>
      <c r="FI9" s="310">
        <f>B40</f>
        <v>0.4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2.7</v>
      </c>
      <c r="GH9" s="262"/>
      <c r="GI9" s="262" t="s">
        <v>276</v>
      </c>
      <c r="GJ9" s="310">
        <f>B39</f>
        <v>2.7</v>
      </c>
      <c r="GK9" s="262"/>
      <c r="GL9" s="262" t="s">
        <v>276</v>
      </c>
      <c r="GM9" s="310">
        <f>B39</f>
        <v>2.7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0.2</v>
      </c>
      <c r="GW9" s="262"/>
      <c r="GX9" s="262" t="s">
        <v>277</v>
      </c>
      <c r="GY9" s="310">
        <f>B41</f>
        <v>0.2</v>
      </c>
      <c r="GZ9" s="262"/>
      <c r="HA9" s="262" t="s">
        <v>277</v>
      </c>
      <c r="HB9" s="310">
        <f>B41</f>
        <v>0.2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7.2400000000000006E-2</v>
      </c>
      <c r="C10" s="241"/>
      <c r="D10" s="88" t="s">
        <v>43</v>
      </c>
      <c r="E10" s="187">
        <f>B19</f>
        <v>1.1248E-10</v>
      </c>
      <c r="F10" s="188" t="s">
        <v>35</v>
      </c>
      <c r="G10" s="266" t="s">
        <v>80</v>
      </c>
      <c r="H10" s="294">
        <f>H5/(H6*H15)</f>
        <v>59.635981966079065</v>
      </c>
      <c r="I10" s="271" t="s">
        <v>14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1.1248E-10</v>
      </c>
      <c r="X10" s="263" t="s">
        <v>44</v>
      </c>
      <c r="Y10" s="249" t="s">
        <v>43</v>
      </c>
      <c r="Z10" s="290">
        <f>B19</f>
        <v>1.1248E-10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1.1248E-10</v>
      </c>
      <c r="BU10" s="263" t="s">
        <v>35</v>
      </c>
      <c r="BV10" s="266" t="s">
        <v>80</v>
      </c>
      <c r="BW10" s="294">
        <f>BW5/(BW6*BW12)</f>
        <v>33.640810339839469</v>
      </c>
      <c r="BX10" s="271" t="s">
        <v>12</v>
      </c>
      <c r="BY10" s="188" t="s">
        <v>16</v>
      </c>
      <c r="BZ10" s="191">
        <f>(BZ33*BZ11)/(1-EXP(-BZ11*BZ33))</f>
        <v>1.3281892705568645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1.1248E-10</v>
      </c>
      <c r="CY10" s="263" t="s">
        <v>35</v>
      </c>
      <c r="CZ10" s="263" t="s">
        <v>16</v>
      </c>
      <c r="DA10" s="288">
        <f>(DA38*DA11)/(1-EXP(-DA11*DA38))</f>
        <v>1.3838495097093857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2.5229999999999999E-2</v>
      </c>
      <c r="DL10" s="267"/>
      <c r="DO10" s="267" t="s">
        <v>37</v>
      </c>
      <c r="DP10" s="287">
        <f>B44</f>
        <v>2.5229999999999999E-2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0.73599999999999999</v>
      </c>
      <c r="C11" s="241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H5/(H7*H16*H28)</f>
        <v>4.7023970468946548</v>
      </c>
      <c r="I11" s="271" t="s">
        <v>14</v>
      </c>
      <c r="J11" s="188" t="s">
        <v>16</v>
      </c>
      <c r="K11" s="109">
        <f>(K46*K12)/(1-EXP(-K12*K46))</f>
        <v>1.2472493774661533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BW5/(BW8*(1/BW31)*BW15)</f>
        <v>8704453.9954435565</v>
      </c>
      <c r="BX11" s="271" t="s">
        <v>12</v>
      </c>
      <c r="BY11" s="266" t="s">
        <v>23</v>
      </c>
      <c r="BZ11" s="109">
        <f>0.693/BZ12</f>
        <v>2.2972045705420805E-2</v>
      </c>
      <c r="CA11" s="88"/>
      <c r="CB11" s="249" t="s">
        <v>456</v>
      </c>
      <c r="CC11" s="287">
        <f>B3</f>
        <v>8.5099999999999995E-2</v>
      </c>
      <c r="CE11" s="249" t="s">
        <v>454</v>
      </c>
      <c r="CF11" s="287">
        <f>B6</f>
        <v>4.3299999999999998E-2</v>
      </c>
      <c r="CH11" s="249" t="s">
        <v>460</v>
      </c>
      <c r="CI11" s="287">
        <f>B10</f>
        <v>7.2400000000000006E-2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1.3838495097093857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2.2972045705420805E-2</v>
      </c>
      <c r="DC11" s="262" t="s">
        <v>382</v>
      </c>
      <c r="DD11" s="311">
        <f>B141</f>
        <v>55</v>
      </c>
      <c r="DE11" s="267" t="s">
        <v>254</v>
      </c>
      <c r="DF11" s="267" t="s">
        <v>55</v>
      </c>
      <c r="DG11" s="288">
        <f>DG19+DG20</f>
        <v>8.9999999999999992E-5</v>
      </c>
      <c r="DL11" s="267"/>
      <c r="DO11" s="267" t="s">
        <v>55</v>
      </c>
      <c r="DP11" s="288">
        <f>DP19+DP20</f>
        <v>8.9999999999999992E-5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2.6599999999999999E-2</v>
      </c>
      <c r="C12" s="241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H5/(H8*(1/H45)*H21)</f>
        <v>3857655.7479806663</v>
      </c>
      <c r="I12" s="271" t="s">
        <v>14</v>
      </c>
      <c r="J12" s="266" t="s">
        <v>23</v>
      </c>
      <c r="K12" s="109">
        <f>0.693/K13</f>
        <v>2.2972045705420805E-2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30.167100000000001</v>
      </c>
      <c r="CA12" s="88" t="s">
        <v>69</v>
      </c>
      <c r="CB12" s="249" t="s">
        <v>457</v>
      </c>
      <c r="CC12" s="287">
        <f>B4</f>
        <v>0.74199999999999999</v>
      </c>
      <c r="CE12" s="249" t="s">
        <v>455</v>
      </c>
      <c r="CF12" s="287">
        <f>B7</f>
        <v>0.65300000000000002</v>
      </c>
      <c r="CH12" s="249" t="s">
        <v>461</v>
      </c>
      <c r="CI12" s="287">
        <f>B11</f>
        <v>0.73599999999999999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2.2972045705420805E-2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30.167100000000001</v>
      </c>
      <c r="DB12" s="249" t="s">
        <v>69</v>
      </c>
      <c r="DC12" s="262" t="s">
        <v>383</v>
      </c>
      <c r="DD12" s="311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0.46500000000000002</v>
      </c>
      <c r="C13" s="242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>
        <f>H14/((1/H42)*(H50+H51+H52))</f>
        <v>794.9010885799994</v>
      </c>
      <c r="I13" s="271" t="s">
        <v>14</v>
      </c>
      <c r="J13" s="266" t="s">
        <v>270</v>
      </c>
      <c r="K13" s="189">
        <f>B31</f>
        <v>30.167100000000001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8.5099999999999995E-2</v>
      </c>
      <c r="BM13" s="249" t="s">
        <v>454</v>
      </c>
      <c r="BN13" s="287">
        <f>B6</f>
        <v>4.3299999999999998E-2</v>
      </c>
      <c r="BP13" s="249" t="s">
        <v>460</v>
      </c>
      <c r="BQ13" s="287">
        <f>B10</f>
        <v>7.2400000000000006E-2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>
        <f>(BZ5/(BZ6*BZ16*(1/BZ36)))*BZ10</f>
        <v>2910.4698337770501</v>
      </c>
      <c r="CA13" s="271" t="s">
        <v>13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30.167100000000001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>
        <f>DA5/(DA6*DA23)</f>
        <v>39.757321310719377</v>
      </c>
      <c r="DB13" s="266" t="s">
        <v>14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thickTop="1" x14ac:dyDescent="0.2">
      <c r="A14" s="583" t="s">
        <v>272</v>
      </c>
      <c r="B14" s="584"/>
      <c r="C14" s="685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>
        <f>H5/(H9*(H22+H25)*H43)</f>
        <v>8.8460934545543015</v>
      </c>
      <c r="I14" s="271" t="s">
        <v>13</v>
      </c>
      <c r="J14" s="266" t="s">
        <v>80</v>
      </c>
      <c r="K14" s="294">
        <f>(K5/(K6*K19*(1/K49)))*K11</f>
        <v>4845.0510433662039</v>
      </c>
      <c r="L14" s="271" t="s">
        <v>13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2.381967648E-9</v>
      </c>
      <c r="X14" s="262" t="s">
        <v>64</v>
      </c>
      <c r="Y14" s="262" t="s">
        <v>63</v>
      </c>
      <c r="Z14" s="287">
        <f>B28</f>
        <v>2.381967648E-9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0.74199999999999999</v>
      </c>
      <c r="BM14" s="249" t="s">
        <v>455</v>
      </c>
      <c r="BN14" s="287">
        <f>B7</f>
        <v>0.65300000000000002</v>
      </c>
      <c r="BP14" s="249" t="s">
        <v>461</v>
      </c>
      <c r="BQ14" s="287">
        <f>B11</f>
        <v>0.73599999999999999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(BZ5/(BZ7*BZ17*(1/BZ9)*BZ35))*BZ10</f>
        <v>35919321.684322529</v>
      </c>
      <c r="CA14" s="271" t="s">
        <v>13</v>
      </c>
      <c r="CB14" s="249" t="s">
        <v>71</v>
      </c>
      <c r="CC14" s="290">
        <f>B23</f>
        <v>2.5337597040000001E-6</v>
      </c>
      <c r="CD14" s="263" t="s">
        <v>72</v>
      </c>
      <c r="CE14" s="249" t="s">
        <v>71</v>
      </c>
      <c r="CF14" s="290">
        <f>B25</f>
        <v>5.1749414784E-7</v>
      </c>
      <c r="CG14" s="263" t="s">
        <v>72</v>
      </c>
      <c r="CH14" s="249" t="s">
        <v>71</v>
      </c>
      <c r="CI14" s="290">
        <f>B27</f>
        <v>2.2652045279999998E-6</v>
      </c>
      <c r="CJ14" s="263" t="s">
        <v>72</v>
      </c>
      <c r="CK14" s="263"/>
      <c r="CL14" s="307"/>
      <c r="CM14" s="263"/>
      <c r="CO14" s="308"/>
      <c r="CQ14" s="263"/>
      <c r="CR14" s="307"/>
      <c r="CS14" s="263"/>
      <c r="CT14" s="266" t="s">
        <v>80</v>
      </c>
      <c r="CU14" s="294">
        <f>(CU5/(CU6*CU24*(1/CU47)))*CU11</f>
        <v>3583.7909306746842</v>
      </c>
      <c r="CV14" s="271" t="s">
        <v>13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DA5/(DA7*DA24*DA46)</f>
        <v>3.1349313645964365</v>
      </c>
      <c r="DB14" s="266" t="s">
        <v>14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(K5/(K7*K20*(1/K10)*K48))*K11</f>
        <v>3986319.6652751472</v>
      </c>
      <c r="L15" s="271" t="s">
        <v>13</v>
      </c>
      <c r="M15" s="249" t="s">
        <v>448</v>
      </c>
      <c r="N15" s="290">
        <f>B23</f>
        <v>2.5337597040000001E-6</v>
      </c>
      <c r="O15" s="263" t="s">
        <v>446</v>
      </c>
      <c r="P15" s="249" t="s">
        <v>449</v>
      </c>
      <c r="Q15" s="290">
        <f>B25</f>
        <v>5.1749414784E-7</v>
      </c>
      <c r="R15" s="263" t="s">
        <v>446</v>
      </c>
      <c r="S15" s="249" t="s">
        <v>453</v>
      </c>
      <c r="T15" s="290">
        <f>B27</f>
        <v>2.2652045279999998E-6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2.5337597040000001E-6</v>
      </c>
      <c r="AK15" s="263" t="s">
        <v>72</v>
      </c>
      <c r="AL15" s="262" t="s">
        <v>449</v>
      </c>
      <c r="AM15" s="290">
        <f>B25</f>
        <v>5.1749414784E-7</v>
      </c>
      <c r="AN15" s="263" t="s">
        <v>72</v>
      </c>
      <c r="AO15" s="262" t="s">
        <v>452</v>
      </c>
      <c r="AP15" s="290">
        <f>B27</f>
        <v>2.2652045279999998E-6</v>
      </c>
      <c r="AQ15" s="263" t="s">
        <v>72</v>
      </c>
      <c r="AR15" s="249" t="s">
        <v>448</v>
      </c>
      <c r="AS15" s="290">
        <f>B23</f>
        <v>2.5337597040000001E-6</v>
      </c>
      <c r="AT15" s="263" t="s">
        <v>72</v>
      </c>
      <c r="AU15" s="262" t="s">
        <v>449</v>
      </c>
      <c r="AV15" s="290">
        <f>B25</f>
        <v>5.1749414784E-7</v>
      </c>
      <c r="AW15" s="263" t="s">
        <v>72</v>
      </c>
      <c r="AX15" s="262" t="s">
        <v>452</v>
      </c>
      <c r="AY15" s="290">
        <f>B27</f>
        <v>2.2652045279999998E-6</v>
      </c>
      <c r="AZ15" s="263" t="s">
        <v>72</v>
      </c>
      <c r="BA15" s="249" t="s">
        <v>448</v>
      </c>
      <c r="BB15" s="290">
        <f>B23</f>
        <v>2.5337597040000001E-6</v>
      </c>
      <c r="BC15" s="263" t="s">
        <v>72</v>
      </c>
      <c r="BD15" s="262" t="s">
        <v>449</v>
      </c>
      <c r="BE15" s="290">
        <f>B25</f>
        <v>5.1749414784E-7</v>
      </c>
      <c r="BF15" s="263" t="s">
        <v>72</v>
      </c>
      <c r="BG15" s="262" t="s">
        <v>452</v>
      </c>
      <c r="BH15" s="290">
        <f>B27</f>
        <v>2.2652045279999998E-6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((BZ5)/(BZ8*BZ22*(1/BZ34)*BZ25*BZ28*(1/24)*BZ31*BZ32))*BZ10</f>
        <v>372.93279152123063</v>
      </c>
      <c r="CA15" s="271" t="s">
        <v>13</v>
      </c>
      <c r="CT15" s="266" t="s">
        <v>74</v>
      </c>
      <c r="CU15" s="295">
        <f>(CU5/(CU7*CU25*(1/CU10)*CU46))*CU11</f>
        <v>2948603.8713139361</v>
      </c>
      <c r="CV15" s="271" t="s">
        <v>13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DA5/(DA8*DA25*(DA47/DA48))</f>
        <v>2571770.4986537774</v>
      </c>
      <c r="DB15" s="266" t="s">
        <v>14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s="262" customFormat="1" x14ac:dyDescent="0.2">
      <c r="A16" s="585"/>
      <c r="B16" s="586"/>
      <c r="C16" s="6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(K5/(K8*K45*((K40*K44*(1/24))+(K41*K43*(1/24)))*K32*(1/K47)*K34))*K11</f>
        <v>7.8671484199378892</v>
      </c>
      <c r="L16" s="271" t="s">
        <v>13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(W5)/((W11/W12)*W8*W9*W10*W13)</f>
        <v>28.214382281367929</v>
      </c>
      <c r="X16" s="88" t="s">
        <v>15</v>
      </c>
      <c r="Y16" s="88" t="s">
        <v>74</v>
      </c>
      <c r="Z16" s="294">
        <f>(Z5)/((Z11/Z12)*Z8*Z9*Z10*Z13)</f>
        <v>28.214382281367929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8.5099999999999995E-2</v>
      </c>
      <c r="AG16" s="305">
        <f>B3</f>
        <v>8.5099999999999995E-2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2.5337597040000001E-6</v>
      </c>
      <c r="BL16" s="263" t="s">
        <v>72</v>
      </c>
      <c r="BM16" s="262" t="s">
        <v>449</v>
      </c>
      <c r="BN16" s="290">
        <f>B25</f>
        <v>5.1749414784E-7</v>
      </c>
      <c r="BO16" s="263" t="s">
        <v>72</v>
      </c>
      <c r="BP16" s="262" t="s">
        <v>452</v>
      </c>
      <c r="BQ16" s="290">
        <f>B27</f>
        <v>2.2652045279999998E-6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C16" s="293"/>
      <c r="CF16" s="293"/>
      <c r="CH16" s="249"/>
      <c r="CI16" s="289"/>
      <c r="CJ16" s="249"/>
      <c r="CL16" s="293"/>
      <c r="CO16" s="293"/>
      <c r="CR16" s="293"/>
      <c r="CT16" s="266" t="s">
        <v>117</v>
      </c>
      <c r="CU16" s="295">
        <f>(CU5*CU44*CU12)/((1-EXP(-CU12*CU44))*CU8*CU31*(1/365)*CU32*((CU38*(1/24)*CU42)+(CU39*(1/24)*CU41))*CU43)</f>
        <v>7.7557083651150247</v>
      </c>
      <c r="CV16" s="271" t="s">
        <v>13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>
        <f>DG2</f>
        <v>66.241757381666616</v>
      </c>
      <c r="DB16" s="266" t="s">
        <v>14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4.9562999999999996E-2</v>
      </c>
      <c r="DH16" s="262" t="s">
        <v>82</v>
      </c>
      <c r="DJ16" s="293"/>
      <c r="DL16" s="267"/>
      <c r="DM16" s="293"/>
      <c r="DO16" s="267" t="s">
        <v>81</v>
      </c>
      <c r="DP16" s="299">
        <f>DP20+(0.693/DP22)</f>
        <v>4.9562999999999996E-2</v>
      </c>
      <c r="DQ16" s="262" t="s">
        <v>82</v>
      </c>
      <c r="DR16" s="267" t="s">
        <v>400</v>
      </c>
      <c r="DS16" s="297">
        <f>B175</f>
        <v>2</v>
      </c>
      <c r="DT16" s="249"/>
      <c r="DU16" s="267"/>
      <c r="DV16" s="293"/>
      <c r="DY16" s="293"/>
      <c r="EA16" s="267"/>
      <c r="EB16" s="293"/>
      <c r="ED16" s="267" t="s">
        <v>81</v>
      </c>
      <c r="EE16" s="299">
        <f>EE20+(0.693/EE22)</f>
        <v>4.9562999999999996E-2</v>
      </c>
      <c r="EF16" s="262" t="s">
        <v>82</v>
      </c>
      <c r="EG16" s="267" t="s">
        <v>401</v>
      </c>
      <c r="EH16" s="297">
        <f>B176</f>
        <v>2</v>
      </c>
      <c r="EI16" s="249"/>
      <c r="EJ16" s="267"/>
      <c r="EK16" s="293"/>
      <c r="EN16" s="293"/>
      <c r="EP16" s="267"/>
      <c r="EQ16" s="293"/>
      <c r="ES16" s="267" t="s">
        <v>81</v>
      </c>
      <c r="ET16" s="299">
        <f>ET20+(0.693/ET22)</f>
        <v>4.9562999999999996E-2</v>
      </c>
      <c r="EU16" s="262" t="s">
        <v>82</v>
      </c>
      <c r="EV16" s="267" t="s">
        <v>402</v>
      </c>
      <c r="EW16" s="297">
        <f>B177</f>
        <v>2</v>
      </c>
      <c r="EX16" s="249"/>
      <c r="EZ16" s="293"/>
      <c r="FC16" s="293"/>
      <c r="FF16" s="293"/>
      <c r="FH16" s="262" t="s">
        <v>81</v>
      </c>
      <c r="FI16" s="299">
        <f>FI20+(0.693/FI22)</f>
        <v>4.9562999999999996E-2</v>
      </c>
      <c r="FJ16" s="262" t="s">
        <v>82</v>
      </c>
      <c r="FK16" s="267" t="s">
        <v>403</v>
      </c>
      <c r="FL16" s="297">
        <f>B178</f>
        <v>2</v>
      </c>
      <c r="FM16" s="249"/>
      <c r="FO16" s="293"/>
      <c r="FR16" s="293"/>
      <c r="FU16" s="293"/>
      <c r="FX16" s="293"/>
      <c r="FZ16" s="267" t="s">
        <v>404</v>
      </c>
      <c r="GA16" s="297">
        <f>B179</f>
        <v>2</v>
      </c>
      <c r="GB16" s="249"/>
      <c r="GD16" s="293"/>
      <c r="GG16" s="293"/>
      <c r="GJ16" s="293"/>
      <c r="GL16" s="262" t="s">
        <v>81</v>
      </c>
      <c r="GM16" s="299">
        <f>GM20+(0.693/GM22)</f>
        <v>4.9562999999999996E-2</v>
      </c>
      <c r="GN16" s="262" t="s">
        <v>82</v>
      </c>
      <c r="GP16" s="297">
        <v>365</v>
      </c>
      <c r="GQ16" s="249" t="s">
        <v>26</v>
      </c>
      <c r="GS16" s="293"/>
      <c r="GV16" s="293"/>
      <c r="GY16" s="293"/>
      <c r="HA16" s="262" t="s">
        <v>81</v>
      </c>
      <c r="HB16" s="299">
        <f>HB20+(0.693/HB22)</f>
        <v>4.9562999999999996E-2</v>
      </c>
      <c r="HC16" s="262" t="s">
        <v>82</v>
      </c>
      <c r="HE16" s="293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>
        <f>(K18/(K50+K51))*K11</f>
        <v>38.682062034850006</v>
      </c>
      <c r="L17" s="271" t="s">
        <v>13</v>
      </c>
      <c r="M17" s="262"/>
      <c r="N17" s="293"/>
      <c r="O17" s="262"/>
      <c r="P17" s="262"/>
      <c r="Q17" s="293"/>
      <c r="R17" s="262"/>
      <c r="S17" s="262"/>
      <c r="T17" s="293"/>
      <c r="U17" s="262"/>
      <c r="V17" s="88" t="s">
        <v>78</v>
      </c>
      <c r="W17" s="296">
        <f>(W5)/((W11/W12)*W8*W9*W14*(1/365))</f>
        <v>26746.413185999285</v>
      </c>
      <c r="X17" s="88" t="s">
        <v>15</v>
      </c>
      <c r="Y17" s="88" t="s">
        <v>78</v>
      </c>
      <c r="Z17" s="296">
        <f>(Z5)/((Z11/Z12)*Z8*Z9*Z14*(1/365))</f>
        <v>26746.413185999285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262"/>
      <c r="AJ17" s="293"/>
      <c r="AK17" s="262"/>
      <c r="AL17" s="262"/>
      <c r="AM17" s="293"/>
      <c r="AN17" s="262"/>
      <c r="AO17" s="262"/>
      <c r="AP17" s="293"/>
      <c r="AQ17" s="262"/>
      <c r="AR17" s="262"/>
      <c r="AS17" s="293"/>
      <c r="AT17" s="262"/>
      <c r="AU17" s="262"/>
      <c r="AV17" s="293"/>
      <c r="AW17" s="262"/>
      <c r="AX17" s="262"/>
      <c r="AY17" s="293"/>
      <c r="AZ17" s="262"/>
      <c r="BA17" s="262"/>
      <c r="BB17" s="293"/>
      <c r="BC17" s="262"/>
      <c r="BD17" s="262"/>
      <c r="BE17" s="293"/>
      <c r="BF17" s="262"/>
      <c r="BG17" s="262"/>
      <c r="BH17" s="293"/>
      <c r="BI17" s="262"/>
      <c r="BJ17" s="262"/>
      <c r="BK17" s="293"/>
      <c r="BL17" s="262"/>
      <c r="BM17" s="262"/>
      <c r="BN17" s="293"/>
      <c r="BO17" s="262"/>
      <c r="BP17" s="262"/>
      <c r="BQ17" s="293"/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3.5765470234338297</v>
      </c>
      <c r="CV17" s="271" t="s">
        <v>13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>
        <f>EZ2</f>
        <v>9214.6806818273944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2.2972045705420805E-2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1.0000000000000001E-5</v>
      </c>
      <c r="D18" s="266" t="s">
        <v>63</v>
      </c>
      <c r="E18" s="189">
        <f>B28</f>
        <v>2.381967648E-9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>
        <f>K5/(K9*(K25+K28)*K39)</f>
        <v>8.8460934545543015</v>
      </c>
      <c r="L18" s="271" t="s">
        <v>13</v>
      </c>
      <c r="V18" s="88" t="s">
        <v>74</v>
      </c>
      <c r="W18" s="294">
        <f>(W5*W6*W9)/((W11/W12)*(1-EXP(-W6*W9))*W10*W13*W8*W9)</f>
        <v>29.865749722690868</v>
      </c>
      <c r="X18" s="88" t="s">
        <v>16</v>
      </c>
      <c r="Y18" s="88" t="s">
        <v>74</v>
      </c>
      <c r="Z18" s="294">
        <f>(Z5*Z6*Z9)/((Z11/Z12)*(1-EXP(-Z6*Z9))*Z10*Z13*Z8*Z9)</f>
        <v>29.865749722690868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65.561600738690942</v>
      </c>
      <c r="CV18" s="271" t="s">
        <v>13</v>
      </c>
      <c r="CW18" s="266" t="s">
        <v>63</v>
      </c>
      <c r="CX18" s="189">
        <f>B28</f>
        <v>2.381967648E-9</v>
      </c>
      <c r="CY18" s="266" t="s">
        <v>64</v>
      </c>
      <c r="CZ18" s="266" t="s">
        <v>258</v>
      </c>
      <c r="DA18" s="295">
        <f>GS2</f>
        <v>646.64425837385227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2.2972045705420805E-2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2.2972045705420805E-2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2.2972045705420805E-2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2.2972045705420805E-2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2.2972045705420805E-2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30.167100000000001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1.1248E-10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(W5*W6*W9)/((W11/W12)*(1-EXP(-W6*W9))*W14*W8*W9*(1/365))</f>
        <v>28311.861455150203</v>
      </c>
      <c r="X19" s="88" t="s">
        <v>16</v>
      </c>
      <c r="Y19" s="88" t="s">
        <v>78</v>
      </c>
      <c r="Z19" s="296">
        <f>(Z5*Z6*Z9)/((Z11/Z12)*(1-EXP(-Z6*Z9))*Z14*Z8*Z9*(1/365))</f>
        <v>28311.861455150203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0.74199999999999999</v>
      </c>
      <c r="AG19" s="305">
        <f>B4</f>
        <v>0.74199999999999999</v>
      </c>
      <c r="AH19" s="267"/>
      <c r="BS19" s="262" t="s">
        <v>63</v>
      </c>
      <c r="BT19" s="287">
        <f>E18</f>
        <v>2.381967648E-9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(CC22*CC23*CC24)/((1-EXP(-CC24*CC23))*CC27*CC31*(CC26/365)*CC29*(CC30/24)*CC28)</f>
        <v>9519.1780961981149</v>
      </c>
      <c r="CD19" s="404" t="s">
        <v>94</v>
      </c>
      <c r="CE19" s="402" t="s">
        <v>562</v>
      </c>
      <c r="CF19" s="400">
        <f>(CF22*CF23*CF24)/((1-EXP(-CF24*CF23))*CF27*CF31*(CF26/365)*CF29*(CF30/24)*CF28)</f>
        <v>1125.7315536951089</v>
      </c>
      <c r="CG19" s="398" t="s">
        <v>13</v>
      </c>
      <c r="CK19" s="410" t="s">
        <v>510</v>
      </c>
      <c r="CL19" s="400">
        <f>CL22/(CL23*CL24*CL25*CL26)</f>
        <v>137.22786000013724</v>
      </c>
      <c r="CM19" s="404" t="s">
        <v>13</v>
      </c>
      <c r="CN19" s="402" t="s">
        <v>7</v>
      </c>
      <c r="CO19" s="400">
        <f>CL19/(CO22*((CO27*CO29*CO30*(CO23+CO24))+(CO28*CO29)))</f>
        <v>4876.9585613809531</v>
      </c>
      <c r="CP19" s="412" t="s">
        <v>13</v>
      </c>
      <c r="CQ19" s="402" t="s">
        <v>6</v>
      </c>
      <c r="CR19" s="400">
        <f>CL19/(CR22*CR23*(1/CR24))</f>
        <v>6237630.000006238</v>
      </c>
      <c r="CS19" s="415" t="s">
        <v>14</v>
      </c>
      <c r="CT19" s="266" t="s">
        <v>258</v>
      </c>
      <c r="CU19" s="295">
        <f>GV2</f>
        <v>6.0675578867187951</v>
      </c>
      <c r="CV19" s="271" t="s">
        <v>13</v>
      </c>
      <c r="CW19" s="266" t="s">
        <v>255</v>
      </c>
      <c r="CX19" s="304">
        <f>B173</f>
        <v>2</v>
      </c>
      <c r="CY19" s="88"/>
      <c r="CZ19" s="266" t="s">
        <v>184</v>
      </c>
      <c r="DA19" s="295">
        <f>EK2</f>
        <v>1264.450179324514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30.167100000000001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30.167100000000001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30.167100000000001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30.167100000000001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30.167100000000001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267"/>
      <c r="GP19" s="292"/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3.0487999999999999E-11</v>
      </c>
      <c r="C20" s="263" t="s">
        <v>35</v>
      </c>
      <c r="D20" s="88" t="s">
        <v>74</v>
      </c>
      <c r="E20" s="294">
        <f>(E5)/(E10*E11)</f>
        <v>1.4694990771545797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AB20" s="262" t="s">
        <v>71</v>
      </c>
      <c r="AC20" s="287">
        <f>B23</f>
        <v>2.5337597040000001E-6</v>
      </c>
      <c r="AD20" s="287">
        <f>B23</f>
        <v>2.5337597040000001E-6</v>
      </c>
      <c r="AE20" s="287">
        <f>B23</f>
        <v>2.5337597040000001E-6</v>
      </c>
      <c r="AF20" s="287">
        <f>B23</f>
        <v>2.5337597040000001E-6</v>
      </c>
      <c r="AG20" s="287">
        <f>B23</f>
        <v>2.5337597040000001E-6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24.509521917644079</v>
      </c>
      <c r="CV20" s="271" t="s">
        <v>13</v>
      </c>
      <c r="CW20" s="88" t="s">
        <v>74</v>
      </c>
      <c r="CX20" s="294">
        <f>(CX5)/((CX14/CX15)*CX10*CX11)</f>
        <v>1.5674656822982183</v>
      </c>
      <c r="CY20" s="88" t="s">
        <v>15</v>
      </c>
      <c r="CZ20" s="266" t="s">
        <v>493</v>
      </c>
      <c r="DA20" s="295">
        <f>DV2</f>
        <v>3588.3255585187967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6.3E-5</v>
      </c>
      <c r="DH20" s="249" t="s">
        <v>82</v>
      </c>
      <c r="DL20" s="267"/>
      <c r="DO20" s="267" t="s">
        <v>90</v>
      </c>
      <c r="DP20" s="288">
        <f>0.693/B35</f>
        <v>6.3E-5</v>
      </c>
      <c r="DQ20" s="249" t="s">
        <v>82</v>
      </c>
      <c r="DU20" s="267"/>
      <c r="EA20" s="267"/>
      <c r="EB20" s="307"/>
      <c r="EC20" s="263"/>
      <c r="ED20" s="267" t="s">
        <v>90</v>
      </c>
      <c r="EE20" s="299">
        <f>0.693/B35</f>
        <v>6.3E-5</v>
      </c>
      <c r="EF20" s="263" t="s">
        <v>82</v>
      </c>
      <c r="EJ20" s="267"/>
      <c r="EP20" s="267"/>
      <c r="EQ20" s="307"/>
      <c r="ER20" s="263"/>
      <c r="ES20" s="267" t="s">
        <v>90</v>
      </c>
      <c r="ET20" s="299">
        <f>0.693/B35</f>
        <v>6.3E-5</v>
      </c>
      <c r="EU20" s="263" t="s">
        <v>82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6.3E-5</v>
      </c>
      <c r="FJ20" s="263" t="s">
        <v>82</v>
      </c>
      <c r="FK20" s="267"/>
      <c r="FL20" s="292"/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267"/>
      <c r="GA20" s="292"/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6.3E-5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6.3E-5</v>
      </c>
      <c r="HC20" s="263" t="s">
        <v>82</v>
      </c>
    </row>
    <row r="21" spans="1:214" ht="15" thickTop="1" thickBot="1" x14ac:dyDescent="0.25">
      <c r="A21" s="262" t="s">
        <v>316</v>
      </c>
      <c r="B21" s="315">
        <v>4.2549999999999998E-11</v>
      </c>
      <c r="C21" s="262" t="s">
        <v>35</v>
      </c>
      <c r="D21" s="88" t="s">
        <v>78</v>
      </c>
      <c r="E21" s="295">
        <f>(E5)/((E14/E15)*E8*E9*E18*(1/365)*E19)</f>
        <v>1393.0423534374629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(N24*N25*N26)/((1-EXP(-N26*N25))*N29*N34*(N28/365)*N32*(((N33/24)*N31)+((N35/24)*N30)))</f>
        <v>25.092051361511309</v>
      </c>
      <c r="O21" s="637" t="s">
        <v>94</v>
      </c>
      <c r="P21" s="639" t="s">
        <v>516</v>
      </c>
      <c r="Q21" s="647">
        <f>(Q24*Q25*Q26)/((1-EXP(-Q26*Q25))*Q29*Q34*(Q28/365)*Q32*(((Q33/24)*Q31)+((Q35/24)*Q30)))</f>
        <v>8.7259217074486433</v>
      </c>
      <c r="R21" s="643" t="s">
        <v>13</v>
      </c>
      <c r="AB21" s="262" t="s">
        <v>43</v>
      </c>
      <c r="AC21" s="290">
        <f>B19</f>
        <v>1.1248E-10</v>
      </c>
      <c r="AD21" s="290">
        <f>B19</f>
        <v>1.1248E-10</v>
      </c>
      <c r="AE21" s="290">
        <f>B19</f>
        <v>1.1248E-10</v>
      </c>
      <c r="AF21" s="290">
        <f>B19</f>
        <v>1.1248E-10</v>
      </c>
      <c r="AG21" s="290">
        <f>B19</f>
        <v>1.1248E-10</v>
      </c>
      <c r="AH21" s="263" t="s">
        <v>35</v>
      </c>
      <c r="AI21" s="381" t="s">
        <v>516</v>
      </c>
      <c r="AJ21" s="387">
        <f>(AJ24*AJ25*AJ26)/((1-EXP(-AJ26*AJ25))*AJ34*(AJ28/365)*AJ29*(AJ35/24)*AJ30*AJ32)</f>
        <v>332.69698944992177</v>
      </c>
      <c r="AK21" s="629" t="s">
        <v>94</v>
      </c>
      <c r="AL21" s="383" t="s">
        <v>516</v>
      </c>
      <c r="AM21" s="387">
        <f>(AM24*AM25*AM26)/((1-EXP(-AM26*AM25))*AM34*(AM28/365)*AM29*(AM35/24)*AM30*AM32)</f>
        <v>115.69751075421958</v>
      </c>
      <c r="AN21" s="635" t="s">
        <v>13</v>
      </c>
      <c r="AR21" s="381" t="s">
        <v>516</v>
      </c>
      <c r="AS21" s="387">
        <f>(AS24*AS25*AS26)/((1-EXP(-AS26*AS25))*AS34*(AS28/365)*AS29*(AS33/24)*AS31*AS32)</f>
        <v>133.07879577996871</v>
      </c>
      <c r="AT21" s="391" t="s">
        <v>94</v>
      </c>
      <c r="AU21" s="383" t="s">
        <v>516</v>
      </c>
      <c r="AV21" s="387">
        <f>(AV24*AV25*AV26)/((1-EXP(-AV26*AV25))*AV34*(AV28/365)*AV29*(AV33/24)*AV31*AV32)</f>
        <v>46.279004301687834</v>
      </c>
      <c r="AW21" s="385" t="s">
        <v>13</v>
      </c>
      <c r="BA21" s="381" t="s">
        <v>516</v>
      </c>
      <c r="BB21" s="387">
        <f>(BB24*BB25*BB26)/((1-EXP(-BB26*BB25))*BB34*(BB28/365)*BB29*((BB33+BB35)/24)*BB31*BB32)</f>
        <v>133.07879577996871</v>
      </c>
      <c r="BC21" s="391" t="s">
        <v>94</v>
      </c>
      <c r="BD21" s="383" t="s">
        <v>516</v>
      </c>
      <c r="BE21" s="387">
        <f>(BE24*BE25*BE26)/((1-EXP(-BE26*BE25))*BE34*(BE28/365)*BE29*((BE33+BE35)/24)*BE31*BE32)</f>
        <v>46.279004301687834</v>
      </c>
      <c r="BF21" s="385" t="s">
        <v>13</v>
      </c>
      <c r="BJ21" s="381" t="s">
        <v>561</v>
      </c>
      <c r="BK21" s="389">
        <f>(BK24*BK25*BK26)/((1-EXP(-BK26*BK25))*BK31*BK35*(BK28/365)*BK33*(BK34/24)*BK32)</f>
        <v>10759.058596488698</v>
      </c>
      <c r="BL21" s="391" t="s">
        <v>94</v>
      </c>
      <c r="BM21" s="383" t="s">
        <v>562</v>
      </c>
      <c r="BN21" s="389">
        <f>(BN24*BN25*BN26)/((1-EXP(-BN26*BN25))*BN31*BN35*(BN28/365)*BN33*(BN34/24)*BN32)</f>
        <v>1272.3589818073999</v>
      </c>
      <c r="BO21" s="385" t="s">
        <v>13</v>
      </c>
      <c r="BS21" s="88" t="s">
        <v>74</v>
      </c>
      <c r="BT21" s="294">
        <f>(BT5)/(BT10*BT11)</f>
        <v>19.894756736862004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75.340903402991287</v>
      </c>
      <c r="CV21" s="271" t="s">
        <v>13</v>
      </c>
      <c r="CW21" s="88" t="s">
        <v>78</v>
      </c>
      <c r="CX21" s="296">
        <f>(CX5)/((CX14/CX15)*CX8*CX9*CX18*(1/365)*CX19)</f>
        <v>464.34745114582103</v>
      </c>
      <c r="CY21" s="88" t="s">
        <v>15</v>
      </c>
      <c r="CZ21" s="266" t="s">
        <v>492</v>
      </c>
      <c r="DA21" s="295">
        <f>GD2</f>
        <v>1365.1378787892438</v>
      </c>
      <c r="DB21" s="88"/>
      <c r="DC21" s="249" t="s">
        <v>23</v>
      </c>
      <c r="DD21" s="287">
        <f>0.693/DD22</f>
        <v>2.2972045705420805E-2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/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3.1782999999999999E-11</v>
      </c>
      <c r="C22" s="262" t="s">
        <v>35</v>
      </c>
      <c r="D22" s="88" t="s">
        <v>74</v>
      </c>
      <c r="E22" s="295">
        <f>(E5*E9*E6)/((1-EXP(-E6*E9))*E10*E11)</f>
        <v>1.8328318091681364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(BT5)/((BT14/24)*(BT8/365)*BT9*BT19*BT20)</f>
        <v>18859.650323461035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1.0000000000000001E-5</v>
      </c>
      <c r="CE22" s="249" t="s">
        <v>17</v>
      </c>
      <c r="CF22" s="287">
        <f>B18</f>
        <v>1.0000000000000001E-5</v>
      </c>
      <c r="CK22" s="249" t="s">
        <v>17</v>
      </c>
      <c r="CL22" s="287">
        <f>B18</f>
        <v>1.0000000000000001E-5</v>
      </c>
      <c r="CM22" s="76"/>
      <c r="CN22" s="249" t="s">
        <v>265</v>
      </c>
      <c r="CO22" s="287">
        <f>B42</f>
        <v>2.1999999999999999E-2</v>
      </c>
      <c r="CQ22" s="262" t="s">
        <v>265</v>
      </c>
      <c r="CR22" s="287">
        <f>CO22</f>
        <v>2.1999999999999999E-2</v>
      </c>
      <c r="CT22" s="266" t="s">
        <v>492</v>
      </c>
      <c r="CU22" s="295">
        <f>GG2</f>
        <v>9.7128297390653255</v>
      </c>
      <c r="CV22" s="271" t="s">
        <v>13</v>
      </c>
      <c r="CW22" s="88" t="s">
        <v>74</v>
      </c>
      <c r="CX22" s="294">
        <f>(CX5*CX9*CX6)/((CX14/CX15)*(1-EXP(-CX6*CX9))*CX10*CX11)</f>
        <v>2.1691366159346774</v>
      </c>
      <c r="CY22" s="88" t="s">
        <v>16</v>
      </c>
      <c r="CZ22" s="266" t="s">
        <v>183</v>
      </c>
      <c r="DA22" s="296">
        <f>FO2</f>
        <v>0.58973956363695335</v>
      </c>
      <c r="DB22" s="88"/>
      <c r="DC22" s="266" t="s">
        <v>270</v>
      </c>
      <c r="DD22" s="287">
        <f>B31</f>
        <v>30.167100000000001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2.5337597040000001E-6</v>
      </c>
      <c r="C23" s="262" t="s">
        <v>95</v>
      </c>
      <c r="D23" s="88" t="s">
        <v>78</v>
      </c>
      <c r="E23" s="296">
        <f>(E5*E9*E6)/((E14/E15)*E8*E9*(1-EXP(-E6*E9))*E18*(1/365)*E19)</f>
        <v>1737.471208108861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(BT5*BT28*BT6)/((1-EXP(-BT6*BT28))*BT10*BT11)</f>
        <v>26.424002438239015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3.7370000000000003E-11</v>
      </c>
      <c r="CM23" s="266" t="s">
        <v>13</v>
      </c>
      <c r="CN23" s="249" t="s">
        <v>21</v>
      </c>
      <c r="CO23" s="290">
        <f>CO25</f>
        <v>2.9000000000000001E-2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8.16110805995225E-3</v>
      </c>
      <c r="CV23" s="271" t="s">
        <v>13</v>
      </c>
      <c r="CW23" s="88" t="s">
        <v>78</v>
      </c>
      <c r="CX23" s="296">
        <f>(CX5*CX9*CX6)/((CX14/CX15)*CX8*CX9*(1-EXP(-CX6*CX9))*CX18*(1/365)*CX19)</f>
        <v>642.58699260294736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F23" s="262" t="s">
        <v>17</v>
      </c>
      <c r="DG23" s="287">
        <f>B35</f>
        <v>11000</v>
      </c>
      <c r="DH23" s="249" t="s">
        <v>257</v>
      </c>
      <c r="DO23" s="262" t="s">
        <v>20</v>
      </c>
      <c r="DP23" s="305">
        <f>DP25</f>
        <v>2.5229999999999999E-2</v>
      </c>
      <c r="EA23" s="262"/>
      <c r="EB23" s="293"/>
      <c r="EC23" s="263"/>
      <c r="ED23" s="262" t="s">
        <v>20</v>
      </c>
      <c r="EE23" s="305">
        <f>EE25</f>
        <v>2.9000000000000001E-2</v>
      </c>
      <c r="EF23" s="263"/>
      <c r="EP23" s="262"/>
      <c r="EQ23" s="293"/>
      <c r="ER23" s="263"/>
      <c r="ES23" s="262" t="s">
        <v>20</v>
      </c>
      <c r="ET23" s="305">
        <f>ET25</f>
        <v>2.9000000000000001E-2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2.5229999999999999E-2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2.5229999999999999E-2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2.5229999999999999E-2</v>
      </c>
      <c r="HC23" s="263"/>
      <c r="HD23" s="219" t="s">
        <v>574</v>
      </c>
      <c r="HE23" s="348">
        <f>(HE25*HE33*HE38*HE32*10^-3*HE31*HE27)/(HE30*HE41*(1-EXP(-HE27*HE31)))</f>
        <v>3.5159818658788695</v>
      </c>
      <c r="HF23" s="252" t="s">
        <v>13</v>
      </c>
    </row>
    <row r="24" spans="1:214" ht="14.25" thickTop="1" thickBot="1" x14ac:dyDescent="0.25">
      <c r="A24" s="262" t="s">
        <v>450</v>
      </c>
      <c r="B24" s="315">
        <v>5.0675194079999996E-7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1.0000000000000001E-5</v>
      </c>
      <c r="P24" s="249" t="s">
        <v>17</v>
      </c>
      <c r="Q24" s="287">
        <f>B18</f>
        <v>1.0000000000000001E-5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1.0000000000000001E-5</v>
      </c>
      <c r="AL24" s="249" t="s">
        <v>17</v>
      </c>
      <c r="AM24" s="287">
        <f>B18</f>
        <v>1.0000000000000001E-5</v>
      </c>
      <c r="AR24" s="249" t="s">
        <v>17</v>
      </c>
      <c r="AS24" s="287">
        <f>B18</f>
        <v>1.0000000000000001E-5</v>
      </c>
      <c r="AU24" s="249" t="s">
        <v>17</v>
      </c>
      <c r="AV24" s="287">
        <f>B18</f>
        <v>1.0000000000000001E-5</v>
      </c>
      <c r="BA24" s="249" t="s">
        <v>17</v>
      </c>
      <c r="BB24" s="287">
        <f>B18</f>
        <v>1.0000000000000001E-5</v>
      </c>
      <c r="BD24" s="249" t="s">
        <v>17</v>
      </c>
      <c r="BE24" s="287">
        <f>B18</f>
        <v>1.0000000000000001E-5</v>
      </c>
      <c r="BJ24" s="249" t="s">
        <v>17</v>
      </c>
      <c r="BK24" s="287">
        <f>B18</f>
        <v>1.0000000000000001E-5</v>
      </c>
      <c r="BM24" s="249" t="s">
        <v>17</v>
      </c>
      <c r="BN24" s="287">
        <f>B18</f>
        <v>1.0000000000000001E-5</v>
      </c>
      <c r="BS24" s="88" t="s">
        <v>78</v>
      </c>
      <c r="BT24" s="296">
        <f>(BT5*BT28*BT6)/((BT14/24)*(BT8/365)*BT9*(1-EXP(-BT6*BT28))*BT19*BT20)</f>
        <v>25049.18520607525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2.2972045705420805E-2</v>
      </c>
      <c r="CE24" s="262" t="s">
        <v>23</v>
      </c>
      <c r="CF24" s="288">
        <f>0.693/CF25</f>
        <v>2.2972045705420805E-2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0.97521628418126582</v>
      </c>
      <c r="HF24" s="75" t="s">
        <v>13</v>
      </c>
    </row>
    <row r="25" spans="1:214" ht="13.5" thickTop="1" x14ac:dyDescent="0.2">
      <c r="A25" s="262" t="s">
        <v>449</v>
      </c>
      <c r="B25" s="315">
        <v>5.1749414784E-7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29.834277999035827</v>
      </c>
      <c r="X25" s="254" t="s">
        <v>10</v>
      </c>
      <c r="Y25" s="321" t="s">
        <v>16</v>
      </c>
      <c r="Z25" s="358">
        <f>1/((1/Z38)+(1/Z39))</f>
        <v>28.396568657893301</v>
      </c>
      <c r="AA25" s="255" t="s">
        <v>10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30.167100000000001</v>
      </c>
      <c r="CD25" s="249" t="s">
        <v>69</v>
      </c>
      <c r="CE25" s="266" t="s">
        <v>270</v>
      </c>
      <c r="CF25" s="287">
        <f>B31</f>
        <v>30.167100000000001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2.9000000000000001E-2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2.5229999999999999E-2</v>
      </c>
      <c r="EA25" s="262"/>
      <c r="EC25" s="263"/>
      <c r="ED25" s="262" t="s">
        <v>38</v>
      </c>
      <c r="EE25" s="287">
        <f>B45</f>
        <v>2.9000000000000001E-2</v>
      </c>
      <c r="EF25" s="263"/>
      <c r="EP25" s="262"/>
      <c r="ER25" s="263"/>
      <c r="ES25" s="263" t="s">
        <v>37</v>
      </c>
      <c r="ET25" s="287">
        <f>B45</f>
        <v>2.9000000000000001E-2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2.5229999999999999E-2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2.5229999999999999E-2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2.5229999999999999E-2</v>
      </c>
      <c r="HC25" s="263"/>
      <c r="HD25" s="265" t="s">
        <v>22</v>
      </c>
      <c r="HE25" s="305">
        <f>B47</f>
        <v>200</v>
      </c>
      <c r="HF25" s="262" t="s">
        <v>14</v>
      </c>
    </row>
    <row r="26" spans="1:214" ht="13.5" thickBot="1" x14ac:dyDescent="0.25">
      <c r="A26" s="262" t="s">
        <v>451</v>
      </c>
      <c r="B26" s="315">
        <v>1.4572037375999999E-6</v>
      </c>
      <c r="C26" s="262" t="s">
        <v>95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2.2972045705420805E-2</v>
      </c>
      <c r="P26" s="262" t="s">
        <v>23</v>
      </c>
      <c r="Q26" s="288">
        <f>0.693/Q27</f>
        <v>2.2972045705420805E-2</v>
      </c>
      <c r="V26" s="320" t="s">
        <v>15</v>
      </c>
      <c r="W26" s="359">
        <f>1/((1/W38)+(1/W39))</f>
        <v>28.184650724299988</v>
      </c>
      <c r="X26" s="258" t="s">
        <v>10</v>
      </c>
      <c r="Y26" s="322" t="s">
        <v>15</v>
      </c>
      <c r="Z26" s="360">
        <f>1/((1/Z40)+(1/Z41))</f>
        <v>28.184650724299981</v>
      </c>
      <c r="AA26" s="259" t="s">
        <v>10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2.2972045705420805E-2</v>
      </c>
      <c r="AL26" s="262" t="s">
        <v>23</v>
      </c>
      <c r="AM26" s="288">
        <f>0.693/AM27</f>
        <v>2.2972045705420805E-2</v>
      </c>
      <c r="AR26" s="262" t="s">
        <v>23</v>
      </c>
      <c r="AS26" s="288">
        <f>0.693/AS27</f>
        <v>2.2972045705420805E-2</v>
      </c>
      <c r="AU26" s="262" t="s">
        <v>23</v>
      </c>
      <c r="AV26" s="288">
        <f>0.693/AV27</f>
        <v>2.2972045705420805E-2</v>
      </c>
      <c r="BA26" s="262" t="s">
        <v>23</v>
      </c>
      <c r="BB26" s="288">
        <f>0.693/BB27</f>
        <v>2.2972045705420805E-2</v>
      </c>
      <c r="BD26" s="262" t="s">
        <v>23</v>
      </c>
      <c r="BE26" s="288">
        <f>0.693/BE27</f>
        <v>2.2972045705420805E-2</v>
      </c>
      <c r="BJ26" s="262" t="s">
        <v>23</v>
      </c>
      <c r="BK26" s="288">
        <f>0.693/BK27</f>
        <v>2.2972045705420805E-2</v>
      </c>
      <c r="BM26" s="262" t="s">
        <v>23</v>
      </c>
      <c r="BN26" s="288">
        <f>0.693/BN27</f>
        <v>2.2972045705420805E-2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88"/>
      <c r="CX26" s="192"/>
      <c r="CY26" s="88"/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2.9000000000000001E-2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55.47333981698435</v>
      </c>
      <c r="HF26" s="262" t="s">
        <v>14</v>
      </c>
    </row>
    <row r="27" spans="1:214" ht="15" thickTop="1" x14ac:dyDescent="0.2">
      <c r="A27" s="262" t="s">
        <v>452</v>
      </c>
      <c r="B27" s="315">
        <v>2.2652045279999998E-6</v>
      </c>
      <c r="C27" s="262" t="s">
        <v>95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30.167100000000001</v>
      </c>
      <c r="O27" s="249" t="s">
        <v>69</v>
      </c>
      <c r="P27" s="266" t="s">
        <v>270</v>
      </c>
      <c r="Q27" s="287">
        <f>B31</f>
        <v>30.167100000000001</v>
      </c>
      <c r="R27" s="249" t="s">
        <v>69</v>
      </c>
      <c r="V27" s="249" t="s">
        <v>17</v>
      </c>
      <c r="W27" s="287">
        <f>B18</f>
        <v>1.0000000000000001E-5</v>
      </c>
      <c r="Y27" s="249" t="s">
        <v>17</v>
      </c>
      <c r="Z27" s="287">
        <f>B18</f>
        <v>1.0000000000000001E-5</v>
      </c>
      <c r="AB27" s="269" t="s">
        <v>23</v>
      </c>
      <c r="AC27" s="288">
        <f>0.693/AC28</f>
        <v>2.2972045705420805E-2</v>
      </c>
      <c r="AD27" s="288">
        <f>0.693/AD28</f>
        <v>2.2972045705420805E-2</v>
      </c>
      <c r="AE27" s="288">
        <f>0.693/AE28</f>
        <v>2.2972045705420805E-2</v>
      </c>
      <c r="AF27" s="288">
        <f>0.693/AF28</f>
        <v>2.2972045705420805E-2</v>
      </c>
      <c r="AG27" s="288">
        <f>0.693/AG28</f>
        <v>2.2972045705420805E-2</v>
      </c>
      <c r="AI27" s="266" t="s">
        <v>270</v>
      </c>
      <c r="AJ27" s="287">
        <f>B31</f>
        <v>30.167100000000001</v>
      </c>
      <c r="AK27" s="249" t="s">
        <v>69</v>
      </c>
      <c r="AL27" s="266" t="s">
        <v>270</v>
      </c>
      <c r="AM27" s="287">
        <f>B31</f>
        <v>30.167100000000001</v>
      </c>
      <c r="AN27" s="249" t="s">
        <v>69</v>
      </c>
      <c r="AR27" s="266" t="s">
        <v>270</v>
      </c>
      <c r="AS27" s="287">
        <f>B31</f>
        <v>30.167100000000001</v>
      </c>
      <c r="AT27" s="249" t="s">
        <v>69</v>
      </c>
      <c r="AU27" s="266" t="s">
        <v>270</v>
      </c>
      <c r="AV27" s="287">
        <f>B31</f>
        <v>30.167100000000001</v>
      </c>
      <c r="AW27" s="249" t="s">
        <v>69</v>
      </c>
      <c r="BA27" s="266" t="s">
        <v>270</v>
      </c>
      <c r="BB27" s="287">
        <f>B31</f>
        <v>30.167100000000001</v>
      </c>
      <c r="BC27" s="249" t="s">
        <v>69</v>
      </c>
      <c r="BD27" s="266" t="s">
        <v>270</v>
      </c>
      <c r="BE27" s="287">
        <f>B31</f>
        <v>30.167100000000001</v>
      </c>
      <c r="BF27" s="249" t="s">
        <v>69</v>
      </c>
      <c r="BJ27" s="266" t="s">
        <v>270</v>
      </c>
      <c r="BK27" s="287">
        <f>B31</f>
        <v>30.167100000000001</v>
      </c>
      <c r="BL27" s="249" t="s">
        <v>69</v>
      </c>
      <c r="BM27" s="266" t="s">
        <v>270</v>
      </c>
      <c r="BN27" s="287">
        <f>B31</f>
        <v>30.167100000000001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4.5999999999999999E-3</v>
      </c>
      <c r="EP27" s="262"/>
      <c r="EQ27" s="310"/>
      <c r="ES27" s="262" t="s">
        <v>275</v>
      </c>
      <c r="ET27" s="310">
        <f>B38</f>
        <v>2.1999999999999999E-2</v>
      </c>
      <c r="FH27" s="262" t="s">
        <v>201</v>
      </c>
      <c r="FI27" s="310">
        <f>B40</f>
        <v>0.4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2.7</v>
      </c>
      <c r="GS27" s="328"/>
      <c r="GT27" s="264"/>
      <c r="GU27" s="264"/>
      <c r="GV27" s="328"/>
      <c r="GW27" s="264"/>
      <c r="HA27" s="262" t="s">
        <v>277</v>
      </c>
      <c r="HB27" s="310">
        <f>B41</f>
        <v>0.2</v>
      </c>
      <c r="HD27" s="262" t="s">
        <v>23</v>
      </c>
      <c r="HE27" s="288">
        <f>0.693/HE28</f>
        <v>2.2972045705420805E-2</v>
      </c>
    </row>
    <row r="28" spans="1:214" ht="15.75" thickBot="1" x14ac:dyDescent="0.25">
      <c r="A28" s="262" t="s">
        <v>63</v>
      </c>
      <c r="B28" s="315">
        <v>2.381967648E-9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2.2972045705420805E-2</v>
      </c>
      <c r="Y28" s="262" t="s">
        <v>23</v>
      </c>
      <c r="Z28" s="288">
        <f>0.693/Z29</f>
        <v>2.2972045705420805E-2</v>
      </c>
      <c r="AB28" s="266" t="s">
        <v>270</v>
      </c>
      <c r="AC28" s="287">
        <f>B31</f>
        <v>30.167100000000001</v>
      </c>
      <c r="AD28" s="287">
        <f>B31</f>
        <v>30.167100000000001</v>
      </c>
      <c r="AE28" s="287">
        <f>B31</f>
        <v>30.167100000000001</v>
      </c>
      <c r="AF28" s="287">
        <f>B31</f>
        <v>30.167100000000001</v>
      </c>
      <c r="AG28" s="287">
        <f>B31</f>
        <v>30.167100000000001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2.6599999999999999E-2</v>
      </c>
      <c r="CE28" s="249" t="s">
        <v>458</v>
      </c>
      <c r="CF28" s="287">
        <f>B8</f>
        <v>5.0099999999999999E-2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30.167100000000001</v>
      </c>
      <c r="HF28" s="249" t="s">
        <v>69</v>
      </c>
    </row>
    <row r="29" spans="1:214" ht="18.75" thickTop="1" x14ac:dyDescent="0.2">
      <c r="A29" s="266" t="s">
        <v>161</v>
      </c>
      <c r="B29" s="315">
        <v>5.1609299040000001E-12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30.167100000000001</v>
      </c>
      <c r="X29" s="249" t="s">
        <v>69</v>
      </c>
      <c r="Y29" s="266" t="s">
        <v>270</v>
      </c>
      <c r="Z29" s="287">
        <f>B31</f>
        <v>30.167100000000001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266"/>
      <c r="BT29" s="115"/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0.46500000000000002</v>
      </c>
      <c r="CE29" s="249" t="s">
        <v>459</v>
      </c>
      <c r="CF29" s="287">
        <f>B9</f>
        <v>0.72599999999999998</v>
      </c>
      <c r="CM29" s="262"/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3.7370000000000003E-11</v>
      </c>
      <c r="C30" s="267" t="s">
        <v>35</v>
      </c>
      <c r="D30" s="203" t="s">
        <v>510</v>
      </c>
      <c r="E30" s="204">
        <f>E37</f>
        <v>4.4230467272771508</v>
      </c>
      <c r="F30" s="184" t="s">
        <v>13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354">
        <f>(AC26*AC27)/(1-EXP(-AC27*AC26))</f>
        <v>1.0585292786088552</v>
      </c>
      <c r="AD30" s="354">
        <f>(AD26*AD27)/(1-EXP(-AD27*AD26))</f>
        <v>1.0585292786088552</v>
      </c>
      <c r="AE30" s="354">
        <f>(AE26*AE27)/(1-EXP(-AE27*AE26))</f>
        <v>1.0585292786088552</v>
      </c>
      <c r="AF30" s="354">
        <f>(AF26*AF27)/(1-EXP(-AF27*AF26))</f>
        <v>1.0585292786088552</v>
      </c>
      <c r="AG30" s="354">
        <f>(AG26*AG27)/(1-EXP(-AG27*AG26))</f>
        <v>1.0585292786088552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M30" s="262"/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207">
        <v>30.167100000000001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8.5099999999999995E-2</v>
      </c>
      <c r="CB31" s="249" t="s">
        <v>71</v>
      </c>
      <c r="CC31" s="290">
        <f>B24</f>
        <v>5.0675194079999996E-7</v>
      </c>
      <c r="CD31" s="262" t="s">
        <v>282</v>
      </c>
      <c r="CE31" s="249" t="s">
        <v>71</v>
      </c>
      <c r="CF31" s="290">
        <f>B26</f>
        <v>1.4572037375999999E-6</v>
      </c>
      <c r="CG31" s="263" t="s">
        <v>72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2.75" customHeight="1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1.0000000000000001E-5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1.1248E-10</v>
      </c>
      <c r="X32" s="263" t="s">
        <v>44</v>
      </c>
      <c r="Y32" s="249" t="s">
        <v>43</v>
      </c>
      <c r="Z32" s="290">
        <f>B19</f>
        <v>1.1248E-10</v>
      </c>
      <c r="AA32" s="263" t="s">
        <v>44</v>
      </c>
      <c r="AB32" s="266" t="s">
        <v>80</v>
      </c>
      <c r="AC32" s="294">
        <f>(AC5/(AC9*AC14*AC8*AC11*(1/AC6)))*AC30</f>
        <v>22019.761145949804</v>
      </c>
      <c r="AD32" s="294">
        <f>(AD5/(AD9*AD14*AD8*AD11*(1/AD6)))*AD30</f>
        <v>22019.761145949804</v>
      </c>
      <c r="AE32" s="294">
        <f>(AE5/(AE9*AE14*AE8*AE11*(1/AE6)))*AE30</f>
        <v>22019.761145949804</v>
      </c>
      <c r="AF32" s="294">
        <f>(AF5/(AF9*AF14*AF8*AF11*(1/AF6)))*AF30</f>
        <v>22019.761145949804</v>
      </c>
      <c r="AG32" s="294">
        <f>(AG5/(AG9*AG14*AG8*AG11*(1/AG6)))*AG30</f>
        <v>22019.761145949804</v>
      </c>
      <c r="AH32" s="266" t="s">
        <v>13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2.6599999999999999E-2</v>
      </c>
      <c r="BM32" s="249" t="s">
        <v>458</v>
      </c>
      <c r="BN32" s="287">
        <f>B8</f>
        <v>5.0099999999999999E-2</v>
      </c>
      <c r="BY32" s="262" t="s">
        <v>62</v>
      </c>
      <c r="BZ32" s="305">
        <f>B4</f>
        <v>0.74199999999999999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(AC5/(AC21*AC17*AC8*AC11*(1/AC35)*((8/1)/(24/1))*AC31))*AC30</f>
        <v>25373651.146816287</v>
      </c>
      <c r="AD33" s="295">
        <f>(AD5/(AD21*AD17*AD8*((8/1)/(24/1))*AD11*(1/AD35)*AD31))*AD30</f>
        <v>25373651.146816287</v>
      </c>
      <c r="AE33" s="295">
        <f>(AE5/(AE21*AE17*AE8*((8/1)/(24/1))*AE11*(1/AE35)*AE31))*AE30</f>
        <v>25373651.146816287</v>
      </c>
      <c r="AF33" s="295">
        <f>(AF5/(AF21*AF17*AF8*AF11*(1/AF36)*(AF23/24)*AF31))*AF30</f>
        <v>23106.582215281425</v>
      </c>
      <c r="AG33" s="295">
        <f>(AG5/(AG21*AG17*AG8*AG11*(1/AG37)*(AG23/24)*AG31))*AG30</f>
        <v>1076835.3194391329</v>
      </c>
      <c r="AH33" s="88" t="s">
        <v>13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0.46500000000000002</v>
      </c>
      <c r="BM33" s="249" t="s">
        <v>459</v>
      </c>
      <c r="BN33" s="287">
        <f>B9</f>
        <v>0.72599999999999998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3.7370000000000003E-11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5.0675194079999996E-7</v>
      </c>
      <c r="O34" s="263" t="s">
        <v>447</v>
      </c>
      <c r="P34" s="249" t="s">
        <v>451</v>
      </c>
      <c r="Q34" s="290">
        <f>B26</f>
        <v>1.4572037375999999E-6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(AC5/(AC20*(AC8/365)*AC11*((AC23+AC24)/24)*AC16*AC19))*AC30</f>
        <v>26.615759155993739</v>
      </c>
      <c r="AD34" s="296">
        <f>(AD5/(AD20*(AD8/365)*AD11*(AD24/24)*AD18*AD19))*AD30</f>
        <v>66.539397889984343</v>
      </c>
      <c r="AE34" s="296">
        <f>(AE5/(AE20*(AE8/365)*AE11*(AE23/24)*AE16*AE19))*AE30</f>
        <v>26.615759155993739</v>
      </c>
      <c r="AF34" s="296">
        <f>(AF5/(AF20*(AF8/365)*AF11*(AF23/24)*AF16*AF19))*AF30</f>
        <v>421.50758353092982</v>
      </c>
      <c r="AG34" s="296">
        <f>(AG5/(AG20*(AG8/365)*AG11*(AG23/24)*AG16*AG19))*AG30</f>
        <v>421.50758353092982</v>
      </c>
      <c r="AH34" s="266" t="s">
        <v>13</v>
      </c>
      <c r="AI34" s="262" t="s">
        <v>450</v>
      </c>
      <c r="AJ34" s="290">
        <f>B24</f>
        <v>5.0675194079999996E-7</v>
      </c>
      <c r="AK34" s="262" t="s">
        <v>282</v>
      </c>
      <c r="AL34" s="262" t="s">
        <v>451</v>
      </c>
      <c r="AM34" s="290">
        <f>B26</f>
        <v>1.4572037375999999E-6</v>
      </c>
      <c r="AN34" s="263" t="s">
        <v>72</v>
      </c>
      <c r="AR34" s="262" t="s">
        <v>450</v>
      </c>
      <c r="AS34" s="290">
        <f>B24</f>
        <v>5.0675194079999996E-7</v>
      </c>
      <c r="AT34" s="262" t="s">
        <v>282</v>
      </c>
      <c r="AU34" s="262" t="s">
        <v>451</v>
      </c>
      <c r="AV34" s="290">
        <f>B26</f>
        <v>1.4572037375999999E-6</v>
      </c>
      <c r="AW34" s="263" t="s">
        <v>72</v>
      </c>
      <c r="BA34" s="262" t="s">
        <v>450</v>
      </c>
      <c r="BB34" s="290">
        <f>B24</f>
        <v>5.0675194079999996E-7</v>
      </c>
      <c r="BC34" s="262" t="s">
        <v>282</v>
      </c>
      <c r="BD34" s="262" t="s">
        <v>451</v>
      </c>
      <c r="BE34" s="290">
        <f>B26</f>
        <v>1.4572037375999999E-6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10</v>
      </c>
      <c r="HF34" s="249" t="s">
        <v>19</v>
      </c>
    </row>
    <row r="35" spans="1:214" x14ac:dyDescent="0.2">
      <c r="A35" s="266" t="s">
        <v>270</v>
      </c>
      <c r="B35" s="315">
        <v>11000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5.0675194079999996E-7</v>
      </c>
      <c r="BL35" s="262" t="s">
        <v>282</v>
      </c>
      <c r="BM35" s="262" t="s">
        <v>451</v>
      </c>
      <c r="BN35" s="290">
        <f>B26</f>
        <v>1.4572037375999999E-6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ht="13.5" customHeight="1" x14ac:dyDescent="0.2">
      <c r="A36" s="262" t="s">
        <v>122</v>
      </c>
      <c r="B36" s="315">
        <v>2500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281"/>
      <c r="N36" s="361"/>
      <c r="O36" s="281"/>
      <c r="P36" s="281"/>
      <c r="Q36" s="361"/>
      <c r="R36" s="281"/>
      <c r="V36" s="262" t="s">
        <v>63</v>
      </c>
      <c r="W36" s="287">
        <f>B28</f>
        <v>2.381967648E-9</v>
      </c>
      <c r="X36" s="262" t="s">
        <v>64</v>
      </c>
      <c r="Y36" s="262" t="s">
        <v>63</v>
      </c>
      <c r="Z36" s="287">
        <f>B28</f>
        <v>2.381967648E-9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x14ac:dyDescent="0.2">
      <c r="A37" s="262" t="s">
        <v>278</v>
      </c>
      <c r="B37" s="315">
        <v>4.5999999999999999E-3</v>
      </c>
      <c r="C37" s="263" t="s">
        <v>298</v>
      </c>
      <c r="D37" s="262" t="s">
        <v>80</v>
      </c>
      <c r="E37" s="300">
        <f>E32/(E34*E33*E35*E36)</f>
        <v>4.4230467272771508</v>
      </c>
      <c r="F37" s="263" t="s">
        <v>13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2.1999999999999999E-2</v>
      </c>
      <c r="C38" s="263" t="s">
        <v>298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W27/((W33/W34)*W30*W31*W32*W35)</f>
        <v>28.214382281367929</v>
      </c>
      <c r="X38" s="88" t="s">
        <v>15</v>
      </c>
      <c r="Y38" s="88" t="s">
        <v>74</v>
      </c>
      <c r="Z38" s="294">
        <f>(Z27*Z31*Z28)/((1-EXP(-Z28))*Z31*Z32*Z30*Z44*(Z33/Z34)*Z35)</f>
        <v>28.539694072569908</v>
      </c>
      <c r="AA38" s="88" t="s">
        <v>16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ht="13.5" customHeight="1" x14ac:dyDescent="0.2">
      <c r="A39" s="262" t="s">
        <v>276</v>
      </c>
      <c r="B39" s="315">
        <v>2.7</v>
      </c>
      <c r="C39" s="263" t="s">
        <v>298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(W27)/((W33/W34)*W30*W31*W36*(1/365))</f>
        <v>26746.413185999285</v>
      </c>
      <c r="X39" s="88" t="s">
        <v>15</v>
      </c>
      <c r="Y39" s="88" t="s">
        <v>78</v>
      </c>
      <c r="Z39" s="296">
        <f>(Z27*Z31*Z28)/((1-EXP(-Z28*Z31))*Z36*Z30*Z44*(Z33/Z34)*Z37*(Z44/Z45))</f>
        <v>5662.3722910300412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thickBot="1" x14ac:dyDescent="0.25">
      <c r="A40" s="262" t="s">
        <v>201</v>
      </c>
      <c r="B40" s="315">
        <v>0.4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(W27*W28*W31)/((W33/W34)*(1-EXP(-W28*W31))*W32*W35*W30*W31)</f>
        <v>29.865749722690868</v>
      </c>
      <c r="X40" s="88" t="s">
        <v>16</v>
      </c>
      <c r="Y40" s="88" t="s">
        <v>74</v>
      </c>
      <c r="Z40" s="294">
        <f>Z27/((Z32*Z30*Z44*(Z33/Z34)*Z35))</f>
        <v>28.214382281367925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0.2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(W27*W28*W31)/((W33/W34)*(1-EXP(-W28*W31))*W36*W30*W31*(1/365))</f>
        <v>28311.861455150203</v>
      </c>
      <c r="X41" s="88" t="s">
        <v>16</v>
      </c>
      <c r="Y41" s="88" t="s">
        <v>78</v>
      </c>
      <c r="Z41" s="296">
        <f>Z27/(Z36*Z30*(1/Z45)*Z44*(Z33/Z34)*Z37)</f>
        <v>26746.413185999285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x14ac:dyDescent="0.2">
      <c r="A42" s="249" t="s">
        <v>265</v>
      </c>
      <c r="B42" s="315">
        <f>B38</f>
        <v>2.1999999999999999E-2</v>
      </c>
      <c r="C42" s="263" t="s">
        <v>298</v>
      </c>
      <c r="D42" s="203" t="s">
        <v>510</v>
      </c>
      <c r="E42" s="204">
        <f>E52</f>
        <v>1.7692186909108603</v>
      </c>
      <c r="F42" s="184" t="s">
        <v>14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8.5099999999999995E-2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2.75" customHeight="1" thickBot="1" x14ac:dyDescent="0.25">
      <c r="A43" s="262" t="s">
        <v>264</v>
      </c>
      <c r="B43" s="315">
        <f>B39</f>
        <v>2.7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0.74199999999999999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2.5229999999999999E-2</v>
      </c>
      <c r="C44" s="249" t="s">
        <v>19</v>
      </c>
      <c r="D44" s="262" t="s">
        <v>17</v>
      </c>
      <c r="E44" s="287">
        <f>B18</f>
        <v>1.0000000000000001E-5</v>
      </c>
      <c r="G44" s="262"/>
      <c r="H44" s="297">
        <v>365</v>
      </c>
      <c r="I44" s="263" t="s">
        <v>26</v>
      </c>
      <c r="J44" s="262" t="s">
        <v>159</v>
      </c>
      <c r="K44" s="292">
        <f>B80</f>
        <v>8.5099999999999995E-2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2.9000000000000001E-2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0.74199999999999999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x14ac:dyDescent="0.2">
      <c r="A46" s="249" t="s">
        <v>284</v>
      </c>
      <c r="B46" s="315">
        <v>10</v>
      </c>
      <c r="C46" s="249" t="s">
        <v>19</v>
      </c>
      <c r="D46" s="262" t="s">
        <v>438</v>
      </c>
      <c r="E46" s="287">
        <f>B30</f>
        <v>3.7370000000000003E-11</v>
      </c>
      <c r="F46" s="262" t="s">
        <v>289</v>
      </c>
      <c r="G46" s="249" t="s">
        <v>20</v>
      </c>
      <c r="H46" s="287">
        <f>H48</f>
        <v>2.5229999999999999E-2</v>
      </c>
      <c r="I46" s="263"/>
      <c r="J46" s="269" t="s">
        <v>107</v>
      </c>
      <c r="K46" s="292">
        <f>K34</f>
        <v>20</v>
      </c>
      <c r="L46" s="269" t="s">
        <v>69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200</v>
      </c>
      <c r="C47" s="262" t="s">
        <v>14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2.5229999999999999E-2</v>
      </c>
      <c r="K48" s="289">
        <v>1000</v>
      </c>
      <c r="L48" s="249" t="s">
        <v>115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249" customFormat="1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262"/>
      <c r="BZ49" s="293"/>
      <c r="CC49" s="289"/>
      <c r="CF49" s="289"/>
      <c r="CI49" s="289"/>
      <c r="CL49" s="289"/>
      <c r="CO49" s="289"/>
      <c r="CR49" s="289"/>
      <c r="CU49" s="289"/>
      <c r="CX49" s="289"/>
      <c r="DA49" s="292">
        <v>1000</v>
      </c>
      <c r="DB49" s="267" t="s">
        <v>115</v>
      </c>
      <c r="DD49" s="289"/>
      <c r="DG49" s="289"/>
      <c r="DJ49" s="289"/>
      <c r="DM49" s="289"/>
      <c r="DP49" s="289"/>
      <c r="DS49" s="289"/>
      <c r="DV49" s="289"/>
      <c r="DW49" s="264"/>
      <c r="DX49" s="264"/>
      <c r="DY49" s="328"/>
      <c r="DZ49" s="264"/>
    </row>
    <row r="50" spans="1:130" s="249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2500</v>
      </c>
      <c r="F50" s="263" t="s">
        <v>19</v>
      </c>
      <c r="G50" s="249" t="s">
        <v>18</v>
      </c>
      <c r="H50" s="288">
        <f>(H53*H54*H48*((1-EXP(-H55*H56))))/(H57*H55)</f>
        <v>0.66252863179360322</v>
      </c>
      <c r="I50" s="249" t="s">
        <v>19</v>
      </c>
      <c r="J50" s="249" t="s">
        <v>20</v>
      </c>
      <c r="K50" s="287">
        <f>K52</f>
        <v>2.5229999999999999E-2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263"/>
      <c r="BZ50" s="307"/>
      <c r="CC50" s="289"/>
      <c r="CF50" s="289"/>
      <c r="CI50" s="289"/>
      <c r="CL50" s="289"/>
      <c r="CO50" s="289"/>
      <c r="CR50" s="289"/>
      <c r="CT50" s="263"/>
      <c r="CU50" s="307"/>
      <c r="CX50" s="289"/>
      <c r="DA50" s="289"/>
      <c r="DD50" s="289"/>
      <c r="DG50" s="289"/>
      <c r="DJ50" s="289"/>
      <c r="DM50" s="289"/>
      <c r="DP50" s="289"/>
      <c r="DS50" s="289"/>
      <c r="DV50" s="289"/>
      <c r="DW50" s="264"/>
      <c r="DX50" s="264"/>
      <c r="DY50" s="328"/>
      <c r="DZ50" s="264"/>
    </row>
    <row r="51" spans="1:130" s="249" customFormat="1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6.8274849094862002</v>
      </c>
      <c r="I51" s="249" t="s">
        <v>19</v>
      </c>
      <c r="J51" s="262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262"/>
      <c r="BZ51" s="293"/>
      <c r="CC51" s="289"/>
      <c r="CF51" s="289"/>
      <c r="CI51" s="289"/>
      <c r="CL51" s="289"/>
      <c r="CO51" s="289"/>
      <c r="CR51" s="289"/>
      <c r="CT51" s="262"/>
      <c r="CU51" s="293"/>
      <c r="CX51" s="289"/>
      <c r="CZ51" s="267"/>
      <c r="DA51" s="289"/>
      <c r="DD51" s="289"/>
      <c r="DG51" s="289"/>
      <c r="DJ51" s="289"/>
      <c r="DM51" s="289"/>
      <c r="DP51" s="289"/>
      <c r="DS51" s="289"/>
      <c r="DV51" s="289"/>
      <c r="DW51" s="264"/>
      <c r="DX51" s="264"/>
      <c r="DY51" s="328"/>
      <c r="DZ51" s="264"/>
    </row>
    <row r="52" spans="1:130" s="249" customFormat="1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>
        <f>E44/(E46*E45*E47*E48*E50*E51*(1/E49))</f>
        <v>1.7692186909108603</v>
      </c>
      <c r="G52" s="249" t="s">
        <v>36</v>
      </c>
      <c r="H52" s="288">
        <f>(H53*H54*H58*H64*((1-EXP(-H59*H60))))/(H61*H59)</f>
        <v>3.6385326157733249</v>
      </c>
      <c r="I52" s="249" t="s">
        <v>19</v>
      </c>
      <c r="J52" s="263" t="s">
        <v>37</v>
      </c>
      <c r="K52" s="290">
        <f>B44</f>
        <v>2.5229999999999999E-2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267"/>
      <c r="DA52" s="289"/>
      <c r="DD52" s="289"/>
      <c r="DG52" s="289"/>
      <c r="DJ52" s="289"/>
      <c r="DM52" s="289"/>
      <c r="DP52" s="289"/>
      <c r="DS52" s="289"/>
      <c r="DV52" s="289"/>
      <c r="DW52" s="264"/>
      <c r="DX52" s="264"/>
      <c r="DY52" s="328"/>
      <c r="DZ52" s="264"/>
    </row>
    <row r="53" spans="1:130" s="249" customFormat="1" x14ac:dyDescent="0.2">
      <c r="A53" s="262" t="s">
        <v>320</v>
      </c>
      <c r="B53" s="283">
        <v>55</v>
      </c>
      <c r="C53" s="263" t="s">
        <v>54</v>
      </c>
      <c r="E53" s="289"/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262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267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249" customFormat="1" x14ac:dyDescent="0.2">
      <c r="A54" s="262" t="s">
        <v>321</v>
      </c>
      <c r="B54" s="283">
        <v>55</v>
      </c>
      <c r="C54" s="263" t="s">
        <v>54</v>
      </c>
      <c r="E54" s="289"/>
      <c r="G54" s="262" t="s">
        <v>46</v>
      </c>
      <c r="H54" s="287">
        <f>B86</f>
        <v>0.25</v>
      </c>
      <c r="I54" s="249" t="s">
        <v>47</v>
      </c>
      <c r="K54" s="289"/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262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267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249" customFormat="1" x14ac:dyDescent="0.2">
      <c r="A55" s="262" t="s">
        <v>322</v>
      </c>
      <c r="B55" s="283">
        <v>5</v>
      </c>
      <c r="C55" s="262" t="s">
        <v>30</v>
      </c>
      <c r="E55" s="289"/>
      <c r="G55" s="267" t="s">
        <v>55</v>
      </c>
      <c r="H55" s="303">
        <f>H62+H63</f>
        <v>8.9999999999999992E-5</v>
      </c>
      <c r="K55" s="289"/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267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267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249" customFormat="1" x14ac:dyDescent="0.2">
      <c r="A56" s="262" t="s">
        <v>323</v>
      </c>
      <c r="B56" s="283">
        <v>5</v>
      </c>
      <c r="C56" s="262" t="s">
        <v>30</v>
      </c>
      <c r="E56" s="289"/>
      <c r="G56" s="267" t="s">
        <v>60</v>
      </c>
      <c r="H56" s="289">
        <f>B87</f>
        <v>10950</v>
      </c>
      <c r="I56" s="249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267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267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249" customFormat="1" x14ac:dyDescent="0.2">
      <c r="A57" s="262" t="s">
        <v>337</v>
      </c>
      <c r="B57" s="283">
        <v>55</v>
      </c>
      <c r="C57" s="249" t="s">
        <v>54</v>
      </c>
      <c r="E57" s="289"/>
      <c r="G57" s="267" t="s">
        <v>65</v>
      </c>
      <c r="H57" s="289">
        <f>B88</f>
        <v>240</v>
      </c>
      <c r="I57" s="249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267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267"/>
      <c r="DA57" s="293"/>
      <c r="DB57" s="262"/>
      <c r="DD57" s="289"/>
      <c r="DG57" s="289"/>
      <c r="DJ57" s="289"/>
      <c r="DM57" s="289"/>
      <c r="DP57" s="289"/>
      <c r="DS57" s="289"/>
      <c r="DV57" s="289"/>
      <c r="DY57" s="289"/>
    </row>
    <row r="58" spans="1:130" s="249" customFormat="1" x14ac:dyDescent="0.2">
      <c r="A58" s="249" t="s">
        <v>357</v>
      </c>
      <c r="B58" s="283">
        <v>55</v>
      </c>
      <c r="C58" s="249" t="s">
        <v>54</v>
      </c>
      <c r="E58" s="289"/>
      <c r="G58" s="267" t="s">
        <v>76</v>
      </c>
      <c r="H58" s="289">
        <f>B89</f>
        <v>0.42</v>
      </c>
      <c r="I58" s="249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267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267"/>
      <c r="DA58" s="293"/>
      <c r="DB58" s="262"/>
      <c r="DD58" s="289"/>
      <c r="DG58" s="289"/>
      <c r="DJ58" s="289"/>
      <c r="DM58" s="289"/>
      <c r="DP58" s="289"/>
      <c r="DS58" s="289"/>
      <c r="DV58" s="289"/>
      <c r="DY58" s="289"/>
    </row>
    <row r="59" spans="1:130" s="249" customFormat="1" x14ac:dyDescent="0.2">
      <c r="A59" s="249" t="s">
        <v>336</v>
      </c>
      <c r="B59" s="283">
        <v>55</v>
      </c>
      <c r="C59" s="249" t="s">
        <v>54</v>
      </c>
      <c r="E59" s="289"/>
      <c r="G59" s="267" t="s">
        <v>81</v>
      </c>
      <c r="H59" s="299">
        <f>H63+(0.693/H65)</f>
        <v>4.9562999999999996E-2</v>
      </c>
      <c r="I59" s="262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267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267"/>
      <c r="DA59" s="293"/>
      <c r="DB59" s="262"/>
      <c r="DD59" s="289"/>
      <c r="DG59" s="289"/>
      <c r="DJ59" s="289"/>
      <c r="DM59" s="289"/>
      <c r="DP59" s="289"/>
      <c r="DS59" s="289"/>
      <c r="DV59" s="289"/>
      <c r="DY59" s="289"/>
    </row>
    <row r="60" spans="1:130" s="249" customFormat="1" x14ac:dyDescent="0.2">
      <c r="A60" s="262" t="s">
        <v>332</v>
      </c>
      <c r="B60" s="283">
        <v>55</v>
      </c>
      <c r="C60" s="267" t="s">
        <v>254</v>
      </c>
      <c r="E60" s="289"/>
      <c r="G60" s="267" t="s">
        <v>85</v>
      </c>
      <c r="H60" s="293">
        <f>B90</f>
        <v>60</v>
      </c>
      <c r="I60" s="262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267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267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249" customFormat="1" x14ac:dyDescent="0.2">
      <c r="A61" s="262" t="s">
        <v>333</v>
      </c>
      <c r="B61" s="283">
        <v>55</v>
      </c>
      <c r="C61" s="267" t="s">
        <v>254</v>
      </c>
      <c r="E61" s="289"/>
      <c r="G61" s="267" t="s">
        <v>87</v>
      </c>
      <c r="H61" s="293">
        <f>B91</f>
        <v>2</v>
      </c>
      <c r="I61" s="262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267"/>
      <c r="BW61" s="293"/>
      <c r="BX61" s="262"/>
      <c r="BZ61" s="289"/>
      <c r="CC61" s="289"/>
      <c r="CF61" s="289"/>
      <c r="CI61" s="289"/>
      <c r="CL61" s="289"/>
      <c r="CO61" s="289"/>
      <c r="CR61" s="289"/>
      <c r="CU61" s="289"/>
      <c r="CX61" s="289"/>
      <c r="CZ61" s="267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249" customFormat="1" x14ac:dyDescent="0.2">
      <c r="A62" s="262" t="s">
        <v>334</v>
      </c>
      <c r="B62" s="283">
        <v>55</v>
      </c>
      <c r="C62" s="267" t="s">
        <v>254</v>
      </c>
      <c r="E62" s="289"/>
      <c r="G62" s="267" t="s">
        <v>89</v>
      </c>
      <c r="H62" s="289">
        <f>B92</f>
        <v>2.6999999999999999E-5</v>
      </c>
      <c r="I62" s="249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267"/>
      <c r="BW62" s="293"/>
      <c r="BX62" s="262"/>
      <c r="BZ62" s="289"/>
      <c r="CC62" s="289"/>
      <c r="CF62" s="289"/>
      <c r="CI62" s="289"/>
      <c r="CL62" s="289"/>
      <c r="CO62" s="289"/>
      <c r="CR62" s="289"/>
      <c r="CU62" s="289"/>
      <c r="CX62" s="289"/>
      <c r="CZ62" s="267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249" customFormat="1" x14ac:dyDescent="0.2">
      <c r="A63" s="262" t="s">
        <v>335</v>
      </c>
      <c r="B63" s="283">
        <v>55</v>
      </c>
      <c r="C63" s="267" t="s">
        <v>254</v>
      </c>
      <c r="E63" s="289"/>
      <c r="G63" s="267" t="s">
        <v>90</v>
      </c>
      <c r="H63" s="288">
        <f>0.693/H67</f>
        <v>6.3E-5</v>
      </c>
      <c r="I63" s="249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267"/>
      <c r="BW63" s="293"/>
      <c r="BX63" s="262"/>
      <c r="BZ63" s="289"/>
      <c r="CC63" s="289"/>
      <c r="CF63" s="289"/>
      <c r="CI63" s="289"/>
      <c r="CL63" s="289"/>
      <c r="CO63" s="289"/>
      <c r="CR63" s="289"/>
      <c r="CU63" s="289"/>
      <c r="CX63" s="289"/>
      <c r="CZ63" s="267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249" customFormat="1" x14ac:dyDescent="0.2">
      <c r="A64" s="262" t="s">
        <v>343</v>
      </c>
      <c r="B64" s="283">
        <v>5</v>
      </c>
      <c r="C64" s="264" t="s">
        <v>69</v>
      </c>
      <c r="E64" s="289"/>
      <c r="G64" s="267" t="s">
        <v>91</v>
      </c>
      <c r="H64" s="289">
        <f>B93</f>
        <v>1</v>
      </c>
      <c r="I64" s="249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275"/>
      <c r="AJ64" s="353"/>
      <c r="AK64" s="275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267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249" customFormat="1" x14ac:dyDescent="0.2">
      <c r="A65" s="262" t="s">
        <v>342</v>
      </c>
      <c r="B65" s="283">
        <v>15</v>
      </c>
      <c r="C65" s="264" t="s">
        <v>69</v>
      </c>
      <c r="E65" s="289"/>
      <c r="G65" s="267" t="s">
        <v>92</v>
      </c>
      <c r="H65" s="289">
        <f>B94</f>
        <v>14</v>
      </c>
      <c r="I65" s="249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275"/>
      <c r="AJ65" s="353"/>
      <c r="AK65" s="275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267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249" customFormat="1" x14ac:dyDescent="0.2">
      <c r="A66" s="262" t="s">
        <v>341</v>
      </c>
      <c r="B66" s="283">
        <v>20</v>
      </c>
      <c r="C66" s="264" t="s">
        <v>69</v>
      </c>
      <c r="E66" s="289"/>
      <c r="G66" s="249" t="s">
        <v>38</v>
      </c>
      <c r="H66" s="287">
        <f>B45</f>
        <v>2.9000000000000001E-2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275"/>
      <c r="AJ66" s="353"/>
      <c r="AK66" s="275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267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262"/>
      <c r="DA66" s="287"/>
    </row>
    <row r="67" spans="1:105" s="249" customFormat="1" x14ac:dyDescent="0.2">
      <c r="A67" s="262" t="s">
        <v>340</v>
      </c>
      <c r="B67" s="283">
        <v>55</v>
      </c>
      <c r="C67" s="264" t="s">
        <v>26</v>
      </c>
      <c r="E67" s="289"/>
      <c r="G67" s="262" t="s">
        <v>273</v>
      </c>
      <c r="H67" s="287">
        <f>B35</f>
        <v>11000</v>
      </c>
      <c r="I67" s="249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275"/>
      <c r="AJ67" s="353"/>
      <c r="AK67" s="275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267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249" customFormat="1" x14ac:dyDescent="0.2">
      <c r="A68" s="262" t="s">
        <v>339</v>
      </c>
      <c r="B68" s="283">
        <v>55</v>
      </c>
      <c r="C68" s="264" t="s">
        <v>26</v>
      </c>
      <c r="E68" s="289"/>
      <c r="H68" s="289"/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275"/>
      <c r="AJ68" s="353"/>
      <c r="AK68" s="275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249" customFormat="1" x14ac:dyDescent="0.2">
      <c r="A69" s="262" t="s">
        <v>338</v>
      </c>
      <c r="B69" s="283">
        <v>55</v>
      </c>
      <c r="C69" s="264" t="s">
        <v>26</v>
      </c>
      <c r="E69" s="289"/>
      <c r="H69" s="289"/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275"/>
      <c r="AJ69" s="353"/>
      <c r="AK69" s="275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262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249" customFormat="1" x14ac:dyDescent="0.2">
      <c r="A70" s="249" t="s">
        <v>344</v>
      </c>
      <c r="B70" s="284">
        <v>2</v>
      </c>
      <c r="C70" s="92" t="s">
        <v>104</v>
      </c>
      <c r="E70" s="289"/>
      <c r="H70" s="289"/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275"/>
      <c r="AJ70" s="353"/>
      <c r="AK70" s="275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262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249" customFormat="1" x14ac:dyDescent="0.2">
      <c r="A71" s="249" t="s">
        <v>345</v>
      </c>
      <c r="B71" s="284">
        <v>2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275"/>
      <c r="AJ71" s="353"/>
      <c r="AK71" s="275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262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249" customFormat="1" x14ac:dyDescent="0.2">
      <c r="A72" s="262" t="s">
        <v>347</v>
      </c>
      <c r="B72" s="283">
        <v>15</v>
      </c>
      <c r="C72" s="264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275"/>
      <c r="AI72" s="275"/>
      <c r="AJ72" s="353"/>
      <c r="AK72" s="275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249" customFormat="1" x14ac:dyDescent="0.2">
      <c r="A73" s="262" t="s">
        <v>348</v>
      </c>
      <c r="B73" s="283">
        <v>15</v>
      </c>
      <c r="C73" s="264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275"/>
      <c r="AI73" s="275"/>
      <c r="AJ73" s="353"/>
      <c r="AK73" s="275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249" customFormat="1" x14ac:dyDescent="0.2">
      <c r="A74" s="262" t="s">
        <v>346</v>
      </c>
      <c r="B74" s="283">
        <v>15</v>
      </c>
      <c r="C74" s="264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275"/>
      <c r="AI74" s="275"/>
      <c r="AJ74" s="353"/>
      <c r="AK74" s="275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249" customFormat="1" x14ac:dyDescent="0.2">
      <c r="A75" s="249" t="s">
        <v>349</v>
      </c>
      <c r="B75" s="284">
        <v>2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275"/>
      <c r="AI75" s="275"/>
      <c r="AJ75" s="353"/>
      <c r="AK75" s="275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249" customFormat="1" x14ac:dyDescent="0.2">
      <c r="A76" s="249" t="s">
        <v>350</v>
      </c>
      <c r="B76" s="284">
        <v>2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275"/>
      <c r="AI76" s="275"/>
      <c r="AJ76" s="353"/>
      <c r="AK76" s="275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249" customFormat="1" x14ac:dyDescent="0.2">
      <c r="A77" s="262" t="s">
        <v>103</v>
      </c>
      <c r="B77" s="283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275"/>
      <c r="AI77" s="275"/>
      <c r="AJ77" s="353"/>
      <c r="AK77" s="275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249" customFormat="1" x14ac:dyDescent="0.2">
      <c r="A78" s="249" t="s">
        <v>353</v>
      </c>
      <c r="B78" s="284">
        <v>1</v>
      </c>
      <c r="C78" s="247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249" customFormat="1" x14ac:dyDescent="0.2">
      <c r="A79" s="249" t="s">
        <v>158</v>
      </c>
      <c r="B79" s="284">
        <v>0.4</v>
      </c>
      <c r="C79" s="247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275"/>
      <c r="AI79" s="275"/>
      <c r="AJ79" s="353"/>
      <c r="AK79" s="275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249" customFormat="1" x14ac:dyDescent="0.2">
      <c r="A80" s="249" t="s">
        <v>159</v>
      </c>
      <c r="B80" s="282">
        <f>B3</f>
        <v>8.5099999999999995E-2</v>
      </c>
      <c r="C80" s="247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275"/>
      <c r="AI80" s="275"/>
      <c r="AJ80" s="353"/>
      <c r="AK80" s="275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249" customFormat="1" x14ac:dyDescent="0.2">
      <c r="A81" s="249" t="s">
        <v>62</v>
      </c>
      <c r="B81" s="282">
        <f>B4</f>
        <v>0.74199999999999999</v>
      </c>
      <c r="C81" s="247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249" customFormat="1" x14ac:dyDescent="0.2">
      <c r="A82" s="262" t="s">
        <v>124</v>
      </c>
      <c r="B82" s="284">
        <v>1</v>
      </c>
      <c r="C82" s="263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249" customFormat="1" x14ac:dyDescent="0.2">
      <c r="A83" s="249" t="s">
        <v>83</v>
      </c>
      <c r="B83" s="284">
        <v>0.5</v>
      </c>
      <c r="C83" s="249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249" customFormat="1" x14ac:dyDescent="0.2">
      <c r="A84" s="249" t="s">
        <v>355</v>
      </c>
      <c r="B84" s="284">
        <v>0.25</v>
      </c>
      <c r="C84" s="24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249" customFormat="1" x14ac:dyDescent="0.2">
      <c r="A85" s="262" t="s">
        <v>41</v>
      </c>
      <c r="B85" s="284">
        <v>3.62</v>
      </c>
      <c r="C85" s="249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249" customFormat="1" x14ac:dyDescent="0.2">
      <c r="A86" s="262" t="s">
        <v>46</v>
      </c>
      <c r="B86" s="284">
        <v>0.25</v>
      </c>
      <c r="C86" s="249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249" customFormat="1" x14ac:dyDescent="0.2">
      <c r="A87" s="267" t="s">
        <v>60</v>
      </c>
      <c r="B87" s="284">
        <v>10950</v>
      </c>
      <c r="C87" s="249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249" customFormat="1" x14ac:dyDescent="0.2">
      <c r="A88" s="267" t="s">
        <v>65</v>
      </c>
      <c r="B88" s="284">
        <v>240</v>
      </c>
      <c r="C88" s="249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249" customFormat="1" x14ac:dyDescent="0.2">
      <c r="A89" s="267" t="s">
        <v>76</v>
      </c>
      <c r="B89" s="284">
        <v>0.42</v>
      </c>
      <c r="C89" s="24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249" customFormat="1" x14ac:dyDescent="0.2">
      <c r="A90" s="267" t="s">
        <v>85</v>
      </c>
      <c r="B90" s="284">
        <v>60</v>
      </c>
      <c r="C90" s="262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249" customFormat="1" x14ac:dyDescent="0.2">
      <c r="A91" s="267" t="s">
        <v>87</v>
      </c>
      <c r="B91" s="284">
        <v>2</v>
      </c>
      <c r="C91" s="262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249" customFormat="1" x14ac:dyDescent="0.2">
      <c r="A92" s="267" t="s">
        <v>89</v>
      </c>
      <c r="B92" s="284">
        <v>2.6999999999999999E-5</v>
      </c>
      <c r="C92" s="249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249" customFormat="1" x14ac:dyDescent="0.2">
      <c r="A93" s="267" t="s">
        <v>91</v>
      </c>
      <c r="B93" s="284">
        <v>1</v>
      </c>
      <c r="C93" s="249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249" customFormat="1" x14ac:dyDescent="0.2">
      <c r="A94" s="267" t="s">
        <v>92</v>
      </c>
      <c r="B94" s="284">
        <v>14</v>
      </c>
      <c r="C94" s="249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249" customFormat="1" x14ac:dyDescent="0.2">
      <c r="A95" s="262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249" customFormat="1" x14ac:dyDescent="0.2">
      <c r="A96" s="262" t="s">
        <v>351</v>
      </c>
      <c r="B96" s="283">
        <v>1.752</v>
      </c>
      <c r="C96" s="264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249" customFormat="1" x14ac:dyDescent="0.2">
      <c r="A97" s="262" t="s">
        <v>352</v>
      </c>
      <c r="B97" s="283">
        <v>16.416</v>
      </c>
      <c r="C97" s="264" t="s">
        <v>224</v>
      </c>
    </row>
    <row r="98" spans="1:3" s="249" customFormat="1" ht="15" x14ac:dyDescent="0.2">
      <c r="A98" s="517" t="s">
        <v>5</v>
      </c>
      <c r="B98" s="517"/>
      <c r="C98" s="517"/>
    </row>
    <row r="99" spans="1:3" s="249" customFormat="1" x14ac:dyDescent="0.2">
      <c r="A99" s="262" t="s">
        <v>358</v>
      </c>
      <c r="B99" s="284">
        <v>55</v>
      </c>
      <c r="C99" s="267" t="s">
        <v>359</v>
      </c>
    </row>
    <row r="100" spans="1:3" s="249" customFormat="1" x14ac:dyDescent="0.2">
      <c r="A100" s="262" t="s">
        <v>360</v>
      </c>
      <c r="B100" s="284">
        <v>55</v>
      </c>
      <c r="C100" s="267" t="s">
        <v>359</v>
      </c>
    </row>
    <row r="101" spans="1:3" s="249" customFormat="1" x14ac:dyDescent="0.2">
      <c r="A101" s="262" t="s">
        <v>305</v>
      </c>
      <c r="B101" s="283">
        <v>5</v>
      </c>
      <c r="C101" s="262" t="s">
        <v>361</v>
      </c>
    </row>
    <row r="102" spans="1:3" s="249" customFormat="1" x14ac:dyDescent="0.2">
      <c r="A102" s="262" t="s">
        <v>306</v>
      </c>
      <c r="B102" s="283">
        <v>5</v>
      </c>
      <c r="C102" s="262" t="s">
        <v>361</v>
      </c>
    </row>
    <row r="103" spans="1:3" s="249" customFormat="1" x14ac:dyDescent="0.2">
      <c r="A103" s="262" t="s">
        <v>362</v>
      </c>
      <c r="B103" s="284">
        <v>55</v>
      </c>
      <c r="C103" s="263" t="s">
        <v>54</v>
      </c>
    </row>
    <row r="104" spans="1:3" s="249" customFormat="1" x14ac:dyDescent="0.2">
      <c r="A104" s="262" t="s">
        <v>363</v>
      </c>
      <c r="B104" s="284">
        <v>55</v>
      </c>
      <c r="C104" s="263" t="s">
        <v>54</v>
      </c>
    </row>
    <row r="105" spans="1:3" s="249" customFormat="1" x14ac:dyDescent="0.2">
      <c r="A105" s="249" t="s">
        <v>187</v>
      </c>
      <c r="B105" s="284">
        <v>1</v>
      </c>
      <c r="C105" s="249" t="s">
        <v>254</v>
      </c>
    </row>
    <row r="106" spans="1:3" s="249" customFormat="1" x14ac:dyDescent="0.2">
      <c r="A106" s="249" t="s">
        <v>188</v>
      </c>
      <c r="B106" s="284">
        <v>1</v>
      </c>
      <c r="C106" s="249" t="s">
        <v>254</v>
      </c>
    </row>
    <row r="107" spans="1:3" s="249" customFormat="1" x14ac:dyDescent="0.2">
      <c r="A107" s="94" t="s">
        <v>373</v>
      </c>
      <c r="B107" s="283">
        <v>6</v>
      </c>
      <c r="C107" s="270" t="s">
        <v>69</v>
      </c>
    </row>
    <row r="108" spans="1:3" s="249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249" customFormat="1" x14ac:dyDescent="0.2">
      <c r="A109" s="94" t="s">
        <v>59</v>
      </c>
      <c r="B109" s="283">
        <v>26</v>
      </c>
      <c r="C109" s="270" t="s">
        <v>69</v>
      </c>
    </row>
    <row r="110" spans="1:3" s="249" customFormat="1" x14ac:dyDescent="0.2">
      <c r="A110" s="94" t="s">
        <v>371</v>
      </c>
      <c r="B110" s="107">
        <v>75</v>
      </c>
      <c r="C110" s="94" t="s">
        <v>26</v>
      </c>
    </row>
    <row r="111" spans="1:3" s="249" customFormat="1" x14ac:dyDescent="0.2">
      <c r="A111" s="94" t="s">
        <v>370</v>
      </c>
      <c r="B111" s="283">
        <v>75</v>
      </c>
      <c r="C111" s="94" t="s">
        <v>26</v>
      </c>
    </row>
    <row r="112" spans="1:3" s="249" customFormat="1" x14ac:dyDescent="0.2">
      <c r="A112" s="94" t="s">
        <v>157</v>
      </c>
      <c r="B112" s="283">
        <v>75</v>
      </c>
      <c r="C112" s="94" t="s">
        <v>26</v>
      </c>
    </row>
    <row r="113" spans="1:3" s="249" customFormat="1" x14ac:dyDescent="0.2">
      <c r="A113" s="94" t="s">
        <v>105</v>
      </c>
      <c r="B113" s="283">
        <v>1</v>
      </c>
      <c r="C113" s="92" t="s">
        <v>224</v>
      </c>
    </row>
    <row r="114" spans="1:3" s="249" customFormat="1" x14ac:dyDescent="0.2">
      <c r="A114" s="92" t="s">
        <v>368</v>
      </c>
      <c r="B114" s="284">
        <v>1</v>
      </c>
      <c r="C114" s="92" t="s">
        <v>224</v>
      </c>
    </row>
    <row r="115" spans="1:3" s="249" customFormat="1" x14ac:dyDescent="0.2">
      <c r="A115" s="92" t="s">
        <v>369</v>
      </c>
      <c r="B115" s="284">
        <v>1</v>
      </c>
      <c r="C115" s="92" t="s">
        <v>224</v>
      </c>
    </row>
    <row r="116" spans="1:3" s="249" customFormat="1" x14ac:dyDescent="0.2">
      <c r="A116" s="249" t="s">
        <v>366</v>
      </c>
      <c r="B116" s="284">
        <v>1</v>
      </c>
      <c r="C116" s="249" t="s">
        <v>104</v>
      </c>
    </row>
    <row r="117" spans="1:3" s="249" customFormat="1" x14ac:dyDescent="0.2">
      <c r="A117" s="249" t="s">
        <v>367</v>
      </c>
      <c r="B117" s="284">
        <v>1</v>
      </c>
      <c r="C117" s="249" t="s">
        <v>104</v>
      </c>
    </row>
    <row r="118" spans="1:3" s="249" customFormat="1" x14ac:dyDescent="0.2">
      <c r="A118" s="94" t="s">
        <v>364</v>
      </c>
      <c r="B118" s="284">
        <v>1</v>
      </c>
      <c r="C118" s="92" t="s">
        <v>98</v>
      </c>
    </row>
    <row r="119" spans="1:3" s="249" customFormat="1" x14ac:dyDescent="0.2">
      <c r="A119" s="94" t="s">
        <v>365</v>
      </c>
      <c r="B119" s="284">
        <v>1</v>
      </c>
      <c r="C119" s="92" t="s">
        <v>98</v>
      </c>
    </row>
    <row r="120" spans="1:3" s="249" customFormat="1" x14ac:dyDescent="0.2">
      <c r="A120" s="263" t="s">
        <v>192</v>
      </c>
      <c r="B120" s="283">
        <v>1</v>
      </c>
      <c r="C120" s="249" t="s">
        <v>283</v>
      </c>
    </row>
    <row r="121" spans="1:3" s="249" customFormat="1" x14ac:dyDescent="0.2">
      <c r="A121" s="263" t="s">
        <v>189</v>
      </c>
      <c r="B121" s="283">
        <v>1</v>
      </c>
      <c r="C121" s="249" t="s">
        <v>283</v>
      </c>
    </row>
    <row r="122" spans="1:3" s="249" customFormat="1" x14ac:dyDescent="0.2">
      <c r="A122" s="263" t="s">
        <v>190</v>
      </c>
      <c r="B122" s="283">
        <v>1</v>
      </c>
      <c r="C122" s="249" t="s">
        <v>47</v>
      </c>
    </row>
    <row r="123" spans="1:3" s="249" customFormat="1" x14ac:dyDescent="0.2">
      <c r="A123" s="263" t="s">
        <v>191</v>
      </c>
      <c r="B123" s="283">
        <v>1</v>
      </c>
      <c r="C123" s="249" t="s">
        <v>47</v>
      </c>
    </row>
    <row r="124" spans="1:3" s="249" customFormat="1" x14ac:dyDescent="0.2">
      <c r="A124" s="263" t="s">
        <v>199</v>
      </c>
      <c r="B124" s="283">
        <v>1</v>
      </c>
      <c r="C124" s="249" t="s">
        <v>30</v>
      </c>
    </row>
    <row r="125" spans="1:3" s="249" customFormat="1" x14ac:dyDescent="0.2">
      <c r="A125" s="249" t="s">
        <v>193</v>
      </c>
      <c r="B125" s="283">
        <v>1</v>
      </c>
      <c r="C125" s="249" t="s">
        <v>283</v>
      </c>
    </row>
    <row r="126" spans="1:3" s="249" customFormat="1" x14ac:dyDescent="0.2">
      <c r="A126" s="249" t="s">
        <v>196</v>
      </c>
      <c r="B126" s="283">
        <v>1</v>
      </c>
      <c r="C126" s="249" t="s">
        <v>283</v>
      </c>
    </row>
    <row r="127" spans="1:3" s="249" customFormat="1" x14ac:dyDescent="0.2">
      <c r="A127" s="268" t="s">
        <v>197</v>
      </c>
      <c r="B127" s="283">
        <v>1</v>
      </c>
      <c r="C127" s="249" t="s">
        <v>47</v>
      </c>
    </row>
    <row r="128" spans="1:3" s="249" customFormat="1" x14ac:dyDescent="0.2">
      <c r="A128" s="262" t="s">
        <v>198</v>
      </c>
      <c r="B128" s="283">
        <v>1</v>
      </c>
      <c r="C128" s="249" t="s">
        <v>47</v>
      </c>
    </row>
    <row r="129" spans="1:3" s="249" customFormat="1" x14ac:dyDescent="0.2">
      <c r="A129" s="263" t="s">
        <v>200</v>
      </c>
      <c r="B129" s="283">
        <v>1</v>
      </c>
      <c r="C129" s="249" t="s">
        <v>30</v>
      </c>
    </row>
    <row r="130" spans="1:3" s="249" customFormat="1" x14ac:dyDescent="0.2">
      <c r="A130" s="262" t="s">
        <v>255</v>
      </c>
      <c r="B130" s="284">
        <v>1</v>
      </c>
    </row>
    <row r="131" spans="1:3" s="249" customFormat="1" x14ac:dyDescent="0.2">
      <c r="A131" s="249" t="s">
        <v>83</v>
      </c>
      <c r="B131" s="284">
        <v>0.5</v>
      </c>
    </row>
    <row r="132" spans="1:3" s="249" customFormat="1" ht="15" x14ac:dyDescent="0.2">
      <c r="A132" s="518" t="s">
        <v>180</v>
      </c>
      <c r="B132" s="518"/>
      <c r="C132" s="518"/>
    </row>
    <row r="133" spans="1:3" s="249" customFormat="1" x14ac:dyDescent="0.2">
      <c r="A133" s="262" t="s">
        <v>374</v>
      </c>
      <c r="B133" s="283">
        <v>55</v>
      </c>
      <c r="C133" s="263" t="s">
        <v>54</v>
      </c>
    </row>
    <row r="134" spans="1:3" s="249" customFormat="1" x14ac:dyDescent="0.2">
      <c r="A134" s="262" t="s">
        <v>375</v>
      </c>
      <c r="B134" s="283">
        <v>55</v>
      </c>
      <c r="C134" s="263" t="s">
        <v>54</v>
      </c>
    </row>
    <row r="135" spans="1:3" s="249" customFormat="1" x14ac:dyDescent="0.2">
      <c r="A135" s="262" t="s">
        <v>376</v>
      </c>
      <c r="B135" s="283">
        <v>55</v>
      </c>
      <c r="C135" s="267" t="s">
        <v>359</v>
      </c>
    </row>
    <row r="136" spans="1:3" s="249" customFormat="1" x14ac:dyDescent="0.2">
      <c r="A136" s="262" t="s">
        <v>377</v>
      </c>
      <c r="B136" s="283">
        <v>55</v>
      </c>
      <c r="C136" s="267" t="s">
        <v>359</v>
      </c>
    </row>
    <row r="137" spans="1:3" s="249" customFormat="1" x14ac:dyDescent="0.2">
      <c r="A137" s="267" t="s">
        <v>378</v>
      </c>
      <c r="B137" s="284">
        <v>5</v>
      </c>
      <c r="C137" s="262" t="s">
        <v>30</v>
      </c>
    </row>
    <row r="138" spans="1:3" s="249" customFormat="1" x14ac:dyDescent="0.2">
      <c r="A138" s="267" t="s">
        <v>379</v>
      </c>
      <c r="B138" s="284">
        <v>5</v>
      </c>
      <c r="C138" s="262" t="s">
        <v>30</v>
      </c>
    </row>
    <row r="139" spans="1:3" s="249" customFormat="1" x14ac:dyDescent="0.2">
      <c r="A139" s="262" t="s">
        <v>380</v>
      </c>
      <c r="B139" s="283">
        <v>55</v>
      </c>
      <c r="C139" s="267" t="s">
        <v>254</v>
      </c>
    </row>
    <row r="140" spans="1:3" s="249" customFormat="1" x14ac:dyDescent="0.2">
      <c r="A140" s="262" t="s">
        <v>381</v>
      </c>
      <c r="B140" s="283">
        <v>55</v>
      </c>
      <c r="C140" s="267" t="s">
        <v>254</v>
      </c>
    </row>
    <row r="141" spans="1:3" s="249" customFormat="1" x14ac:dyDescent="0.2">
      <c r="A141" s="262" t="s">
        <v>382</v>
      </c>
      <c r="B141" s="283">
        <v>55</v>
      </c>
      <c r="C141" s="267" t="s">
        <v>254</v>
      </c>
    </row>
    <row r="142" spans="1:3" s="249" customFormat="1" x14ac:dyDescent="0.2">
      <c r="A142" s="262" t="s">
        <v>383</v>
      </c>
      <c r="B142" s="283">
        <v>55</v>
      </c>
      <c r="C142" s="267" t="s">
        <v>254</v>
      </c>
    </row>
    <row r="143" spans="1:3" s="249" customFormat="1" x14ac:dyDescent="0.2">
      <c r="A143" s="262" t="s">
        <v>479</v>
      </c>
      <c r="B143" s="283">
        <v>55</v>
      </c>
      <c r="C143" s="267" t="s">
        <v>254</v>
      </c>
    </row>
    <row r="144" spans="1:3" s="249" customFormat="1" x14ac:dyDescent="0.2">
      <c r="A144" s="262" t="s">
        <v>480</v>
      </c>
      <c r="B144" s="283">
        <v>55</v>
      </c>
      <c r="C144" s="267" t="s">
        <v>254</v>
      </c>
    </row>
    <row r="145" spans="1:3" s="249" customFormat="1" x14ac:dyDescent="0.2">
      <c r="A145" s="262" t="s">
        <v>481</v>
      </c>
      <c r="B145" s="283">
        <v>55</v>
      </c>
      <c r="C145" s="267" t="s">
        <v>254</v>
      </c>
    </row>
    <row r="146" spans="1:3" s="249" customFormat="1" x14ac:dyDescent="0.2">
      <c r="A146" s="262" t="s">
        <v>482</v>
      </c>
      <c r="B146" s="283">
        <v>55</v>
      </c>
      <c r="C146" s="267" t="s">
        <v>254</v>
      </c>
    </row>
    <row r="147" spans="1:3" s="249" customFormat="1" x14ac:dyDescent="0.2">
      <c r="A147" s="262" t="s">
        <v>326</v>
      </c>
      <c r="B147" s="283">
        <v>55</v>
      </c>
      <c r="C147" s="262" t="s">
        <v>254</v>
      </c>
    </row>
    <row r="148" spans="1:3" s="249" customFormat="1" x14ac:dyDescent="0.2">
      <c r="A148" s="262" t="s">
        <v>327</v>
      </c>
      <c r="B148" s="283">
        <v>55</v>
      </c>
      <c r="C148" s="262" t="s">
        <v>254</v>
      </c>
    </row>
    <row r="149" spans="1:3" s="249" customFormat="1" x14ac:dyDescent="0.2">
      <c r="A149" s="262" t="s">
        <v>483</v>
      </c>
      <c r="B149" s="283">
        <v>55</v>
      </c>
      <c r="C149" s="267" t="s">
        <v>254</v>
      </c>
    </row>
    <row r="150" spans="1:3" s="249" customFormat="1" x14ac:dyDescent="0.2">
      <c r="A150" s="262" t="s">
        <v>484</v>
      </c>
      <c r="B150" s="283">
        <v>55</v>
      </c>
      <c r="C150" s="267" t="s">
        <v>254</v>
      </c>
    </row>
    <row r="151" spans="1:3" s="249" customFormat="1" x14ac:dyDescent="0.2">
      <c r="A151" s="262" t="s">
        <v>324</v>
      </c>
      <c r="B151" s="283">
        <v>55</v>
      </c>
      <c r="C151" s="262" t="s">
        <v>254</v>
      </c>
    </row>
    <row r="152" spans="1:3" s="249" customFormat="1" x14ac:dyDescent="0.2">
      <c r="A152" s="262" t="s">
        <v>325</v>
      </c>
      <c r="B152" s="283">
        <v>55</v>
      </c>
      <c r="C152" s="262" t="s">
        <v>254</v>
      </c>
    </row>
    <row r="153" spans="1:3" s="249" customFormat="1" x14ac:dyDescent="0.2">
      <c r="A153" s="262" t="s">
        <v>328</v>
      </c>
      <c r="B153" s="283">
        <v>55</v>
      </c>
      <c r="C153" s="262" t="s">
        <v>254</v>
      </c>
    </row>
    <row r="154" spans="1:3" s="249" customFormat="1" x14ac:dyDescent="0.2">
      <c r="A154" s="262" t="s">
        <v>329</v>
      </c>
      <c r="B154" s="283">
        <v>55</v>
      </c>
      <c r="C154" s="262" t="s">
        <v>254</v>
      </c>
    </row>
    <row r="155" spans="1:3" s="249" customFormat="1" x14ac:dyDescent="0.2">
      <c r="A155" s="262" t="s">
        <v>384</v>
      </c>
      <c r="B155" s="284">
        <v>10</v>
      </c>
      <c r="C155" s="93" t="s">
        <v>69</v>
      </c>
    </row>
    <row r="156" spans="1:3" s="249" customFormat="1" x14ac:dyDescent="0.2">
      <c r="A156" s="262" t="s">
        <v>385</v>
      </c>
      <c r="B156" s="284">
        <v>20</v>
      </c>
      <c r="C156" s="93" t="s">
        <v>69</v>
      </c>
    </row>
    <row r="157" spans="1:3" s="249" customFormat="1" x14ac:dyDescent="0.2">
      <c r="A157" s="262" t="s">
        <v>386</v>
      </c>
      <c r="B157" s="284">
        <v>30</v>
      </c>
      <c r="C157" s="93" t="s">
        <v>69</v>
      </c>
    </row>
    <row r="158" spans="1:3" s="249" customFormat="1" x14ac:dyDescent="0.2">
      <c r="A158" s="262" t="s">
        <v>387</v>
      </c>
      <c r="B158" s="284">
        <v>55</v>
      </c>
      <c r="C158" s="262" t="s">
        <v>26</v>
      </c>
    </row>
    <row r="159" spans="1:3" s="249" customFormat="1" x14ac:dyDescent="0.2">
      <c r="A159" s="262" t="s">
        <v>388</v>
      </c>
      <c r="B159" s="284">
        <v>55</v>
      </c>
      <c r="C159" s="262" t="s">
        <v>26</v>
      </c>
    </row>
    <row r="160" spans="1:3" s="249" customFormat="1" x14ac:dyDescent="0.2">
      <c r="A160" s="262" t="s">
        <v>389</v>
      </c>
      <c r="B160" s="283">
        <v>15</v>
      </c>
      <c r="C160" s="263" t="s">
        <v>224</v>
      </c>
    </row>
    <row r="161" spans="1:3" s="249" customFormat="1" x14ac:dyDescent="0.2">
      <c r="A161" s="262" t="s">
        <v>390</v>
      </c>
      <c r="B161" s="283">
        <v>15</v>
      </c>
      <c r="C161" s="263" t="s">
        <v>224</v>
      </c>
    </row>
    <row r="162" spans="1:3" s="249" customFormat="1" x14ac:dyDescent="0.2">
      <c r="A162" s="262" t="s">
        <v>396</v>
      </c>
      <c r="B162" s="283">
        <v>15</v>
      </c>
      <c r="C162" s="263" t="s">
        <v>224</v>
      </c>
    </row>
    <row r="163" spans="1:3" s="249" customFormat="1" x14ac:dyDescent="0.2">
      <c r="A163" s="249" t="s">
        <v>393</v>
      </c>
      <c r="B163" s="283">
        <v>2</v>
      </c>
      <c r="C163" s="267" t="s">
        <v>395</v>
      </c>
    </row>
    <row r="164" spans="1:3" s="249" customFormat="1" x14ac:dyDescent="0.2">
      <c r="A164" s="249" t="s">
        <v>394</v>
      </c>
      <c r="B164" s="283">
        <v>2</v>
      </c>
      <c r="C164" s="267" t="s">
        <v>395</v>
      </c>
    </row>
    <row r="165" spans="1:3" s="249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249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249" customFormat="1" x14ac:dyDescent="0.2">
      <c r="A167" s="262" t="s">
        <v>397</v>
      </c>
      <c r="B167" s="283">
        <v>2</v>
      </c>
      <c r="C167" s="267" t="s">
        <v>166</v>
      </c>
    </row>
    <row r="168" spans="1:3" s="249" customFormat="1" x14ac:dyDescent="0.2">
      <c r="A168" s="262" t="s">
        <v>398</v>
      </c>
      <c r="B168" s="283">
        <v>2</v>
      </c>
      <c r="C168" s="267" t="s">
        <v>166</v>
      </c>
    </row>
    <row r="169" spans="1:3" s="249" customFormat="1" x14ac:dyDescent="0.2">
      <c r="A169" s="262" t="s">
        <v>103</v>
      </c>
      <c r="B169" s="283">
        <v>0.4</v>
      </c>
      <c r="C169" s="247"/>
    </row>
    <row r="170" spans="1:3" s="249" customFormat="1" x14ac:dyDescent="0.2">
      <c r="A170" s="262" t="s">
        <v>158</v>
      </c>
      <c r="B170" s="283">
        <v>0.4</v>
      </c>
      <c r="C170" s="247"/>
    </row>
    <row r="171" spans="1:3" s="249" customFormat="1" x14ac:dyDescent="0.2">
      <c r="A171" s="262" t="s">
        <v>159</v>
      </c>
      <c r="B171" s="282">
        <f>B3</f>
        <v>8.5099999999999995E-2</v>
      </c>
      <c r="C171" s="247"/>
    </row>
    <row r="172" spans="1:3" s="249" customFormat="1" x14ac:dyDescent="0.2">
      <c r="A172" s="262" t="s">
        <v>62</v>
      </c>
      <c r="B172" s="282">
        <f>B4</f>
        <v>0.74199999999999999</v>
      </c>
      <c r="C172" s="247"/>
    </row>
    <row r="173" spans="1:3" s="249" customFormat="1" x14ac:dyDescent="0.2">
      <c r="A173" s="262" t="s">
        <v>255</v>
      </c>
      <c r="B173" s="284">
        <v>2</v>
      </c>
      <c r="C173" s="247"/>
    </row>
    <row r="174" spans="1:3" s="249" customFormat="1" x14ac:dyDescent="0.2">
      <c r="A174" s="267" t="s">
        <v>399</v>
      </c>
      <c r="B174" s="283">
        <v>2</v>
      </c>
      <c r="C174" s="247"/>
    </row>
    <row r="175" spans="1:3" s="249" customFormat="1" x14ac:dyDescent="0.2">
      <c r="A175" s="267" t="s">
        <v>400</v>
      </c>
      <c r="B175" s="283">
        <v>2</v>
      </c>
      <c r="C175" s="247"/>
    </row>
    <row r="176" spans="1:3" s="249" customFormat="1" x14ac:dyDescent="0.2">
      <c r="A176" s="267" t="s">
        <v>401</v>
      </c>
      <c r="B176" s="283">
        <v>2</v>
      </c>
      <c r="C176" s="247"/>
    </row>
    <row r="177" spans="1:3" s="249" customFormat="1" x14ac:dyDescent="0.2">
      <c r="A177" s="267" t="s">
        <v>402</v>
      </c>
      <c r="B177" s="283">
        <v>2</v>
      </c>
      <c r="C177" s="247"/>
    </row>
    <row r="178" spans="1:3" s="249" customFormat="1" x14ac:dyDescent="0.2">
      <c r="A178" s="267" t="s">
        <v>403</v>
      </c>
      <c r="B178" s="283">
        <v>2</v>
      </c>
      <c r="C178" s="247"/>
    </row>
    <row r="179" spans="1:3" s="249" customFormat="1" x14ac:dyDescent="0.2">
      <c r="A179" s="267" t="s">
        <v>404</v>
      </c>
      <c r="B179" s="283">
        <v>2</v>
      </c>
      <c r="C179" s="247"/>
    </row>
    <row r="180" spans="1:3" s="249" customFormat="1" x14ac:dyDescent="0.2">
      <c r="A180" s="267" t="s">
        <v>405</v>
      </c>
      <c r="B180" s="284">
        <v>2</v>
      </c>
      <c r="C180" s="247"/>
    </row>
    <row r="181" spans="1:3" s="249" customFormat="1" x14ac:dyDescent="0.2">
      <c r="A181" s="262" t="s">
        <v>41</v>
      </c>
      <c r="B181" s="284">
        <v>3.62</v>
      </c>
      <c r="C181" s="249" t="s">
        <v>42</v>
      </c>
    </row>
    <row r="182" spans="1:3" s="249" customFormat="1" x14ac:dyDescent="0.2">
      <c r="A182" s="262" t="s">
        <v>46</v>
      </c>
      <c r="B182" s="284">
        <v>0.25</v>
      </c>
      <c r="C182" s="249" t="s">
        <v>47</v>
      </c>
    </row>
    <row r="183" spans="1:3" s="249" customFormat="1" x14ac:dyDescent="0.2">
      <c r="A183" s="267" t="s">
        <v>60</v>
      </c>
      <c r="B183" s="284">
        <v>10950</v>
      </c>
      <c r="C183" s="249" t="s">
        <v>61</v>
      </c>
    </row>
    <row r="184" spans="1:3" s="249" customFormat="1" x14ac:dyDescent="0.2">
      <c r="A184" s="267" t="s">
        <v>65</v>
      </c>
      <c r="B184" s="284">
        <v>240</v>
      </c>
      <c r="C184" s="249" t="s">
        <v>66</v>
      </c>
    </row>
    <row r="185" spans="1:3" s="249" customFormat="1" x14ac:dyDescent="0.2">
      <c r="A185" s="267" t="s">
        <v>76</v>
      </c>
      <c r="B185" s="284">
        <v>0.42</v>
      </c>
      <c r="C185" s="249" t="s">
        <v>47</v>
      </c>
    </row>
    <row r="186" spans="1:3" s="249" customFormat="1" x14ac:dyDescent="0.2">
      <c r="A186" s="267" t="s">
        <v>85</v>
      </c>
      <c r="B186" s="284">
        <v>60</v>
      </c>
      <c r="C186" s="262" t="s">
        <v>61</v>
      </c>
    </row>
    <row r="187" spans="1:3" s="249" customFormat="1" x14ac:dyDescent="0.2">
      <c r="A187" s="267" t="s">
        <v>87</v>
      </c>
      <c r="B187" s="284">
        <v>2</v>
      </c>
      <c r="C187" s="262" t="s">
        <v>66</v>
      </c>
    </row>
    <row r="188" spans="1:3" s="249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249" customFormat="1" x14ac:dyDescent="0.2">
      <c r="A189" s="267" t="s">
        <v>91</v>
      </c>
      <c r="B189" s="284">
        <v>1</v>
      </c>
      <c r="C189" s="249" t="s">
        <v>47</v>
      </c>
    </row>
    <row r="190" spans="1:3" s="249" customFormat="1" x14ac:dyDescent="0.2">
      <c r="A190" s="267" t="s">
        <v>92</v>
      </c>
      <c r="B190" s="284">
        <v>14</v>
      </c>
      <c r="C190" s="249" t="s">
        <v>93</v>
      </c>
    </row>
    <row r="191" spans="1:3" s="249" customFormat="1" x14ac:dyDescent="0.2">
      <c r="A191" s="262" t="s">
        <v>29</v>
      </c>
      <c r="B191" s="284">
        <v>92</v>
      </c>
      <c r="C191" s="262" t="s">
        <v>30</v>
      </c>
    </row>
    <row r="192" spans="1:3" s="249" customFormat="1" x14ac:dyDescent="0.2">
      <c r="A192" s="249" t="s">
        <v>287</v>
      </c>
      <c r="B192" s="283">
        <v>1.03</v>
      </c>
      <c r="C192" s="249" t="s">
        <v>288</v>
      </c>
    </row>
    <row r="193" spans="1:3" s="249" customFormat="1" x14ac:dyDescent="0.2">
      <c r="A193" s="262" t="s">
        <v>406</v>
      </c>
      <c r="B193" s="284">
        <v>20.3</v>
      </c>
      <c r="C193" s="249" t="s">
        <v>283</v>
      </c>
    </row>
    <row r="194" spans="1:3" s="249" customFormat="1" x14ac:dyDescent="0.2">
      <c r="A194" s="262" t="s">
        <v>407</v>
      </c>
      <c r="B194" s="284">
        <v>0.4</v>
      </c>
      <c r="C194" s="249" t="s">
        <v>283</v>
      </c>
    </row>
    <row r="195" spans="1:3" s="249" customFormat="1" x14ac:dyDescent="0.2">
      <c r="A195" s="262" t="s">
        <v>408</v>
      </c>
      <c r="B195" s="284">
        <v>1</v>
      </c>
      <c r="C195" s="247"/>
    </row>
    <row r="196" spans="1:3" s="249" customFormat="1" x14ac:dyDescent="0.2">
      <c r="A196" s="262" t="s">
        <v>409</v>
      </c>
      <c r="B196" s="284">
        <v>1</v>
      </c>
      <c r="C196" s="247"/>
    </row>
    <row r="197" spans="1:3" s="249" customFormat="1" x14ac:dyDescent="0.2">
      <c r="A197" s="262" t="s">
        <v>31</v>
      </c>
      <c r="B197" s="284">
        <v>53</v>
      </c>
      <c r="C197" s="262" t="s">
        <v>30</v>
      </c>
    </row>
    <row r="198" spans="1:3" s="249" customFormat="1" x14ac:dyDescent="0.2">
      <c r="A198" s="262" t="s">
        <v>410</v>
      </c>
      <c r="B198" s="284">
        <v>11.77</v>
      </c>
      <c r="C198" s="249" t="s">
        <v>283</v>
      </c>
    </row>
    <row r="199" spans="1:3" s="249" customFormat="1" x14ac:dyDescent="0.2">
      <c r="A199" s="262" t="s">
        <v>411</v>
      </c>
      <c r="B199" s="284">
        <v>0.5</v>
      </c>
      <c r="C199" s="249" t="s">
        <v>283</v>
      </c>
    </row>
    <row r="200" spans="1:3" s="249" customFormat="1" x14ac:dyDescent="0.2">
      <c r="A200" s="262" t="s">
        <v>412</v>
      </c>
      <c r="B200" s="284">
        <v>1</v>
      </c>
      <c r="C200" s="247"/>
    </row>
    <row r="201" spans="1:3" s="249" customFormat="1" x14ac:dyDescent="0.2">
      <c r="A201" s="262" t="s">
        <v>413</v>
      </c>
      <c r="B201" s="284">
        <v>1</v>
      </c>
      <c r="C201" s="247"/>
    </row>
    <row r="202" spans="1:3" s="249" customFormat="1" x14ac:dyDescent="0.2">
      <c r="A202" s="262" t="s">
        <v>173</v>
      </c>
      <c r="B202" s="283">
        <v>0.4</v>
      </c>
      <c r="C202" s="262" t="s">
        <v>30</v>
      </c>
    </row>
    <row r="203" spans="1:3" s="249" customFormat="1" x14ac:dyDescent="0.2">
      <c r="A203" s="262" t="s">
        <v>177</v>
      </c>
      <c r="B203" s="284">
        <v>0.2</v>
      </c>
      <c r="C203" s="249" t="s">
        <v>283</v>
      </c>
    </row>
    <row r="204" spans="1:3" s="249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249" customFormat="1" x14ac:dyDescent="0.2">
      <c r="A205" s="262" t="s">
        <v>178</v>
      </c>
      <c r="B205" s="283">
        <v>1</v>
      </c>
      <c r="C205" s="247"/>
    </row>
    <row r="206" spans="1:3" s="249" customFormat="1" x14ac:dyDescent="0.2">
      <c r="A206" s="262" t="s">
        <v>179</v>
      </c>
      <c r="B206" s="283">
        <v>1</v>
      </c>
      <c r="C206" s="247"/>
    </row>
    <row r="207" spans="1:3" s="249" customFormat="1" x14ac:dyDescent="0.2">
      <c r="A207" s="262" t="s">
        <v>414</v>
      </c>
      <c r="B207" s="283">
        <v>0.4</v>
      </c>
      <c r="C207" s="262" t="s">
        <v>30</v>
      </c>
    </row>
    <row r="208" spans="1:3" s="249" customFormat="1" x14ac:dyDescent="0.2">
      <c r="A208" s="262" t="s">
        <v>415</v>
      </c>
      <c r="B208" s="284">
        <v>0.2</v>
      </c>
      <c r="C208" s="249" t="s">
        <v>283</v>
      </c>
    </row>
    <row r="209" spans="1:3" s="249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249" customFormat="1" x14ac:dyDescent="0.2">
      <c r="A210" s="262" t="s">
        <v>417</v>
      </c>
      <c r="B210" s="284">
        <v>1</v>
      </c>
      <c r="C210" s="247"/>
    </row>
    <row r="211" spans="1:3" s="249" customFormat="1" x14ac:dyDescent="0.2">
      <c r="A211" s="262" t="s">
        <v>418</v>
      </c>
      <c r="B211" s="284">
        <v>1</v>
      </c>
      <c r="C211" s="247"/>
    </row>
    <row r="212" spans="1:3" s="249" customFormat="1" x14ac:dyDescent="0.2">
      <c r="A212" s="262" t="s">
        <v>174</v>
      </c>
      <c r="B212" s="284">
        <v>11.4</v>
      </c>
      <c r="C212" s="262" t="s">
        <v>30</v>
      </c>
    </row>
    <row r="213" spans="1:3" s="249" customFormat="1" x14ac:dyDescent="0.2">
      <c r="A213" s="262" t="s">
        <v>419</v>
      </c>
      <c r="B213" s="284">
        <v>4.7</v>
      </c>
      <c r="C213" s="249" t="s">
        <v>283</v>
      </c>
    </row>
    <row r="214" spans="1:3" s="249" customFormat="1" x14ac:dyDescent="0.2">
      <c r="A214" s="262" t="s">
        <v>420</v>
      </c>
      <c r="B214" s="284">
        <v>0.37</v>
      </c>
      <c r="C214" s="249" t="s">
        <v>283</v>
      </c>
    </row>
    <row r="215" spans="1:3" s="249" customFormat="1" x14ac:dyDescent="0.2">
      <c r="A215" s="262" t="s">
        <v>421</v>
      </c>
      <c r="B215" s="284">
        <v>1</v>
      </c>
      <c r="C215" s="247"/>
    </row>
    <row r="216" spans="1:3" s="249" customFormat="1" x14ac:dyDescent="0.2">
      <c r="A216" s="262" t="s">
        <v>422</v>
      </c>
      <c r="B216" s="284">
        <v>1</v>
      </c>
      <c r="C216" s="247"/>
    </row>
    <row r="217" spans="1:3" s="249" customFormat="1" x14ac:dyDescent="0.2">
      <c r="A217" s="249" t="s">
        <v>83</v>
      </c>
      <c r="B217" s="284">
        <v>0.5</v>
      </c>
    </row>
    <row r="218" spans="1:3" s="249" customFormat="1" x14ac:dyDescent="0.2">
      <c r="A218" s="558" t="s">
        <v>423</v>
      </c>
      <c r="B218" s="558"/>
      <c r="C218" s="558"/>
    </row>
    <row r="219" spans="1:3" s="249" customFormat="1" x14ac:dyDescent="0.2">
      <c r="A219" s="249" t="s">
        <v>424</v>
      </c>
      <c r="B219" s="283">
        <v>55</v>
      </c>
      <c r="C219" s="263" t="s">
        <v>359</v>
      </c>
    </row>
    <row r="220" spans="1:3" s="249" customFormat="1" x14ac:dyDescent="0.2">
      <c r="A220" s="262" t="s">
        <v>425</v>
      </c>
      <c r="B220" s="283">
        <v>55</v>
      </c>
      <c r="C220" s="249" t="s">
        <v>26</v>
      </c>
    </row>
    <row r="221" spans="1:3" s="249" customFormat="1" x14ac:dyDescent="0.2">
      <c r="A221" s="262" t="s">
        <v>75</v>
      </c>
      <c r="B221" s="284">
        <v>5</v>
      </c>
      <c r="C221" s="249" t="s">
        <v>69</v>
      </c>
    </row>
    <row r="222" spans="1:3" s="249" customFormat="1" x14ac:dyDescent="0.2">
      <c r="A222" s="262" t="s">
        <v>426</v>
      </c>
      <c r="B222" s="283">
        <v>55</v>
      </c>
      <c r="C222" s="263" t="s">
        <v>54</v>
      </c>
    </row>
    <row r="223" spans="1:3" s="249" customFormat="1" x14ac:dyDescent="0.2">
      <c r="A223" s="249" t="s">
        <v>353</v>
      </c>
      <c r="B223" s="284">
        <v>1</v>
      </c>
      <c r="C223" s="247"/>
    </row>
    <row r="224" spans="1:3" s="249" customFormat="1" x14ac:dyDescent="0.2">
      <c r="A224" s="262" t="s">
        <v>56</v>
      </c>
      <c r="B224" s="284">
        <v>1</v>
      </c>
      <c r="C224" s="247"/>
    </row>
    <row r="225" spans="1:3" s="249" customFormat="1" x14ac:dyDescent="0.2">
      <c r="A225" s="262" t="s">
        <v>52</v>
      </c>
      <c r="B225" s="284">
        <v>0.4</v>
      </c>
      <c r="C225" s="247"/>
    </row>
    <row r="226" spans="1:3" s="249" customFormat="1" x14ac:dyDescent="0.2">
      <c r="A226" s="262" t="s">
        <v>62</v>
      </c>
      <c r="B226" s="284">
        <v>1</v>
      </c>
      <c r="C226" s="247"/>
    </row>
    <row r="227" spans="1:3" s="249" customFormat="1" x14ac:dyDescent="0.2">
      <c r="A227" s="262" t="s">
        <v>467</v>
      </c>
      <c r="B227" s="283">
        <v>2</v>
      </c>
      <c r="C227" s="249" t="s">
        <v>224</v>
      </c>
    </row>
    <row r="228" spans="1:3" s="249" customFormat="1" x14ac:dyDescent="0.2">
      <c r="A228" s="262" t="s">
        <v>468</v>
      </c>
      <c r="B228" s="283">
        <v>3</v>
      </c>
      <c r="C228" s="249" t="s">
        <v>224</v>
      </c>
    </row>
    <row r="229" spans="1:3" s="249" customFormat="1" x14ac:dyDescent="0.2">
      <c r="A229" s="262" t="s">
        <v>103</v>
      </c>
      <c r="B229" s="283">
        <v>0.4</v>
      </c>
      <c r="C229" s="247"/>
    </row>
    <row r="230" spans="1:3" s="249" customFormat="1" x14ac:dyDescent="0.2">
      <c r="A230" s="558" t="s">
        <v>427</v>
      </c>
      <c r="B230" s="558"/>
      <c r="C230" s="558"/>
    </row>
    <row r="231" spans="1:3" s="249" customFormat="1" x14ac:dyDescent="0.2">
      <c r="A231" s="249" t="s">
        <v>428</v>
      </c>
      <c r="B231" s="283">
        <v>55</v>
      </c>
      <c r="C231" s="263" t="s">
        <v>359</v>
      </c>
    </row>
    <row r="232" spans="1:3" s="249" customFormat="1" x14ac:dyDescent="0.2">
      <c r="A232" s="262" t="s">
        <v>40</v>
      </c>
      <c r="B232" s="283">
        <v>55</v>
      </c>
      <c r="C232" s="249" t="s">
        <v>26</v>
      </c>
    </row>
    <row r="233" spans="1:3" s="249" customFormat="1" x14ac:dyDescent="0.2">
      <c r="A233" s="262" t="s">
        <v>429</v>
      </c>
      <c r="B233" s="284">
        <v>5</v>
      </c>
      <c r="C233" s="249" t="s">
        <v>69</v>
      </c>
    </row>
    <row r="234" spans="1:3" s="249" customFormat="1" x14ac:dyDescent="0.2">
      <c r="A234" s="262" t="s">
        <v>79</v>
      </c>
      <c r="B234" s="283">
        <v>55</v>
      </c>
      <c r="C234" s="263" t="s">
        <v>54</v>
      </c>
    </row>
    <row r="235" spans="1:3" s="249" customFormat="1" x14ac:dyDescent="0.2">
      <c r="A235" s="249" t="s">
        <v>353</v>
      </c>
      <c r="B235" s="284">
        <v>1</v>
      </c>
      <c r="C235" s="247"/>
    </row>
    <row r="236" spans="1:3" s="249" customFormat="1" x14ac:dyDescent="0.2">
      <c r="A236" s="262" t="s">
        <v>56</v>
      </c>
      <c r="B236" s="284">
        <v>1</v>
      </c>
      <c r="C236" s="247"/>
    </row>
    <row r="237" spans="1:3" s="249" customFormat="1" x14ac:dyDescent="0.2">
      <c r="A237" s="262" t="s">
        <v>52</v>
      </c>
      <c r="B237" s="284">
        <v>0.4</v>
      </c>
      <c r="C237" s="247"/>
    </row>
    <row r="238" spans="1:3" s="249" customFormat="1" x14ac:dyDescent="0.2">
      <c r="A238" s="262" t="s">
        <v>62</v>
      </c>
      <c r="B238" s="284">
        <v>1</v>
      </c>
      <c r="C238" s="247"/>
    </row>
    <row r="239" spans="1:3" s="249" customFormat="1" x14ac:dyDescent="0.2">
      <c r="A239" s="262" t="s">
        <v>469</v>
      </c>
      <c r="B239" s="283">
        <v>0</v>
      </c>
      <c r="C239" s="249" t="s">
        <v>224</v>
      </c>
    </row>
    <row r="240" spans="1:3" s="249" customFormat="1" x14ac:dyDescent="0.2">
      <c r="A240" s="262" t="s">
        <v>470</v>
      </c>
      <c r="B240" s="283">
        <v>5</v>
      </c>
      <c r="C240" s="249" t="s">
        <v>224</v>
      </c>
    </row>
    <row r="241" spans="1:3" s="249" customFormat="1" x14ac:dyDescent="0.2">
      <c r="A241" s="262" t="s">
        <v>103</v>
      </c>
      <c r="B241" s="283">
        <v>0.4</v>
      </c>
      <c r="C241" s="247"/>
    </row>
    <row r="242" spans="1:3" s="249" customFormat="1" x14ac:dyDescent="0.2">
      <c r="A242" s="558" t="s">
        <v>430</v>
      </c>
      <c r="B242" s="558"/>
      <c r="C242" s="558"/>
    </row>
    <row r="243" spans="1:3" s="249" customFormat="1" x14ac:dyDescent="0.2">
      <c r="A243" s="249" t="s">
        <v>58</v>
      </c>
      <c r="B243" s="283">
        <v>55</v>
      </c>
      <c r="C243" s="263" t="s">
        <v>359</v>
      </c>
    </row>
    <row r="244" spans="1:3" s="249" customFormat="1" x14ac:dyDescent="0.2">
      <c r="A244" s="262" t="s">
        <v>431</v>
      </c>
      <c r="B244" s="283">
        <v>55</v>
      </c>
      <c r="C244" s="249" t="s">
        <v>26</v>
      </c>
    </row>
    <row r="245" spans="1:3" s="249" customFormat="1" x14ac:dyDescent="0.2">
      <c r="A245" s="262" t="s">
        <v>432</v>
      </c>
      <c r="B245" s="284">
        <v>5</v>
      </c>
      <c r="C245" s="249" t="s">
        <v>69</v>
      </c>
    </row>
    <row r="246" spans="1:3" s="249" customFormat="1" x14ac:dyDescent="0.2">
      <c r="A246" s="262" t="s">
        <v>433</v>
      </c>
      <c r="B246" s="283">
        <v>55</v>
      </c>
      <c r="C246" s="263" t="s">
        <v>54</v>
      </c>
    </row>
    <row r="247" spans="1:3" s="249" customFormat="1" x14ac:dyDescent="0.2">
      <c r="A247" s="249" t="s">
        <v>353</v>
      </c>
      <c r="B247" s="284">
        <v>1</v>
      </c>
      <c r="C247" s="247"/>
    </row>
    <row r="248" spans="1:3" s="249" customFormat="1" x14ac:dyDescent="0.2">
      <c r="A248" s="262" t="s">
        <v>56</v>
      </c>
      <c r="B248" s="284">
        <v>1</v>
      </c>
      <c r="C248" s="247"/>
    </row>
    <row r="249" spans="1:3" s="249" customFormat="1" x14ac:dyDescent="0.2">
      <c r="A249" s="262" t="s">
        <v>52</v>
      </c>
      <c r="B249" s="284">
        <v>0.4</v>
      </c>
      <c r="C249" s="247"/>
    </row>
    <row r="250" spans="1:3" s="249" customFormat="1" x14ac:dyDescent="0.2">
      <c r="A250" s="262" t="s">
        <v>62</v>
      </c>
      <c r="B250" s="284">
        <v>1</v>
      </c>
      <c r="C250" s="247"/>
    </row>
    <row r="251" spans="1:3" s="249" customFormat="1" x14ac:dyDescent="0.2">
      <c r="A251" s="262" t="s">
        <v>466</v>
      </c>
      <c r="B251" s="283">
        <v>5</v>
      </c>
      <c r="C251" s="249" t="s">
        <v>224</v>
      </c>
    </row>
    <row r="252" spans="1:3" s="249" customFormat="1" x14ac:dyDescent="0.2">
      <c r="A252" s="262" t="s">
        <v>465</v>
      </c>
      <c r="B252" s="283">
        <v>0</v>
      </c>
      <c r="C252" s="249" t="s">
        <v>224</v>
      </c>
    </row>
    <row r="253" spans="1:3" s="249" customFormat="1" x14ac:dyDescent="0.2">
      <c r="A253" s="262" t="s">
        <v>103</v>
      </c>
      <c r="B253" s="283">
        <v>0.4</v>
      </c>
      <c r="C253" s="247"/>
    </row>
    <row r="254" spans="1:3" s="249" customFormat="1" x14ac:dyDescent="0.2">
      <c r="A254" s="558" t="s">
        <v>434</v>
      </c>
      <c r="B254" s="558"/>
      <c r="C254" s="558"/>
    </row>
    <row r="255" spans="1:3" s="249" customFormat="1" x14ac:dyDescent="0.2">
      <c r="A255" s="249" t="s">
        <v>435</v>
      </c>
      <c r="B255" s="283">
        <v>55</v>
      </c>
      <c r="C255" s="263" t="s">
        <v>359</v>
      </c>
    </row>
    <row r="256" spans="1:3" s="249" customFormat="1" x14ac:dyDescent="0.2">
      <c r="A256" s="262" t="s">
        <v>221</v>
      </c>
      <c r="B256" s="283">
        <v>55</v>
      </c>
      <c r="C256" s="249" t="s">
        <v>26</v>
      </c>
    </row>
    <row r="257" spans="1:3" s="249" customFormat="1" x14ac:dyDescent="0.2">
      <c r="A257" s="262" t="s">
        <v>186</v>
      </c>
      <c r="B257" s="284">
        <v>5</v>
      </c>
      <c r="C257" s="249" t="s">
        <v>69</v>
      </c>
    </row>
    <row r="258" spans="1:3" s="249" customFormat="1" x14ac:dyDescent="0.2">
      <c r="A258" s="262" t="s">
        <v>436</v>
      </c>
      <c r="B258" s="283">
        <v>55</v>
      </c>
      <c r="C258" s="263" t="s">
        <v>54</v>
      </c>
    </row>
    <row r="259" spans="1:3" s="249" customFormat="1" x14ac:dyDescent="0.2">
      <c r="A259" s="249" t="s">
        <v>353</v>
      </c>
      <c r="B259" s="284">
        <v>1</v>
      </c>
      <c r="C259" s="247"/>
    </row>
    <row r="260" spans="1:3" s="249" customFormat="1" x14ac:dyDescent="0.2">
      <c r="A260" s="262" t="s">
        <v>56</v>
      </c>
      <c r="B260" s="284">
        <v>1</v>
      </c>
      <c r="C260" s="247"/>
    </row>
    <row r="261" spans="1:3" s="249" customFormat="1" x14ac:dyDescent="0.2">
      <c r="A261" s="262" t="s">
        <v>52</v>
      </c>
      <c r="B261" s="284">
        <v>0.4</v>
      </c>
      <c r="C261" s="247"/>
    </row>
    <row r="262" spans="1:3" s="249" customFormat="1" x14ac:dyDescent="0.2">
      <c r="A262" s="262" t="s">
        <v>62</v>
      </c>
      <c r="B262" s="284">
        <v>1</v>
      </c>
      <c r="C262" s="247"/>
    </row>
    <row r="263" spans="1:3" s="249" customFormat="1" x14ac:dyDescent="0.2">
      <c r="A263" s="262" t="s">
        <v>471</v>
      </c>
      <c r="B263" s="283">
        <v>5</v>
      </c>
      <c r="C263" s="249" t="s">
        <v>224</v>
      </c>
    </row>
    <row r="264" spans="1:3" s="249" customFormat="1" x14ac:dyDescent="0.2">
      <c r="A264" s="262" t="s">
        <v>472</v>
      </c>
      <c r="B264" s="283">
        <v>0</v>
      </c>
      <c r="C264" s="249" t="s">
        <v>224</v>
      </c>
    </row>
    <row r="265" spans="1:3" s="249" customFormat="1" x14ac:dyDescent="0.2">
      <c r="A265" s="262" t="s">
        <v>103</v>
      </c>
      <c r="B265" s="283">
        <v>0.4</v>
      </c>
      <c r="C265" s="247"/>
    </row>
    <row r="266" spans="1:3" s="249" customFormat="1" x14ac:dyDescent="0.2">
      <c r="A266" s="262" t="s">
        <v>220</v>
      </c>
      <c r="B266" s="283">
        <v>5</v>
      </c>
      <c r="C266" s="249" t="s">
        <v>129</v>
      </c>
    </row>
    <row r="267" spans="1:3" s="249" customFormat="1" x14ac:dyDescent="0.2">
      <c r="A267" s="262" t="s">
        <v>219</v>
      </c>
      <c r="B267" s="283">
        <v>11</v>
      </c>
      <c r="C267" s="249" t="s">
        <v>130</v>
      </c>
    </row>
    <row r="268" spans="1:3" s="249" customFormat="1" x14ac:dyDescent="0.2">
      <c r="A268" s="558" t="s">
        <v>437</v>
      </c>
      <c r="B268" s="558"/>
      <c r="C268" s="558"/>
    </row>
    <row r="269" spans="1:3" s="249" customFormat="1" x14ac:dyDescent="0.2">
      <c r="A269" s="249" t="s">
        <v>435</v>
      </c>
      <c r="B269" s="283">
        <v>55</v>
      </c>
      <c r="C269" s="263" t="s">
        <v>359</v>
      </c>
    </row>
    <row r="270" spans="1:3" s="249" customFormat="1" x14ac:dyDescent="0.2">
      <c r="A270" s="262" t="s">
        <v>221</v>
      </c>
      <c r="B270" s="283">
        <v>55</v>
      </c>
      <c r="C270" s="249" t="s">
        <v>26</v>
      </c>
    </row>
    <row r="271" spans="1:3" s="249" customFormat="1" x14ac:dyDescent="0.2">
      <c r="A271" s="262" t="s">
        <v>186</v>
      </c>
      <c r="B271" s="284">
        <v>5</v>
      </c>
      <c r="C271" s="249" t="s">
        <v>69</v>
      </c>
    </row>
    <row r="272" spans="1:3" s="249" customFormat="1" x14ac:dyDescent="0.2">
      <c r="A272" s="262" t="s">
        <v>436</v>
      </c>
      <c r="B272" s="283">
        <v>55</v>
      </c>
      <c r="C272" s="263" t="s">
        <v>54</v>
      </c>
    </row>
    <row r="273" spans="1:3" s="249" customFormat="1" x14ac:dyDescent="0.2">
      <c r="A273" s="262" t="s">
        <v>56</v>
      </c>
      <c r="B273" s="284">
        <v>1</v>
      </c>
      <c r="C273" s="247"/>
    </row>
    <row r="274" spans="1:3" s="249" customFormat="1" x14ac:dyDescent="0.2">
      <c r="A274" s="262" t="s">
        <v>52</v>
      </c>
      <c r="B274" s="284">
        <v>0.4</v>
      </c>
      <c r="C274" s="247"/>
    </row>
    <row r="275" spans="1:3" s="249" customFormat="1" x14ac:dyDescent="0.2">
      <c r="A275" s="262" t="s">
        <v>62</v>
      </c>
      <c r="B275" s="284">
        <v>1</v>
      </c>
      <c r="C275" s="247"/>
    </row>
    <row r="276" spans="1:3" s="249" customFormat="1" x14ac:dyDescent="0.2">
      <c r="A276" s="262" t="s">
        <v>471</v>
      </c>
      <c r="B276" s="283">
        <v>5</v>
      </c>
      <c r="C276" s="249" t="s">
        <v>224</v>
      </c>
    </row>
    <row r="277" spans="1:3" s="249" customFormat="1" x14ac:dyDescent="0.2">
      <c r="A277" s="262" t="s">
        <v>472</v>
      </c>
      <c r="B277" s="283">
        <v>0</v>
      </c>
      <c r="C277" s="249" t="s">
        <v>224</v>
      </c>
    </row>
    <row r="278" spans="1:3" s="249" customFormat="1" x14ac:dyDescent="0.2">
      <c r="A278" s="262" t="s">
        <v>103</v>
      </c>
      <c r="B278" s="283">
        <v>0.4</v>
      </c>
      <c r="C278" s="247"/>
    </row>
    <row r="279" spans="1:3" s="249" customFormat="1" x14ac:dyDescent="0.2">
      <c r="A279" s="262" t="s">
        <v>220</v>
      </c>
      <c r="B279" s="283">
        <v>5</v>
      </c>
      <c r="C279" s="249" t="s">
        <v>129</v>
      </c>
    </row>
    <row r="280" spans="1:3" s="249" customFormat="1" x14ac:dyDescent="0.2">
      <c r="A280" s="262" t="s">
        <v>219</v>
      </c>
      <c r="B280" s="283">
        <v>11</v>
      </c>
      <c r="C280" s="249" t="s">
        <v>130</v>
      </c>
    </row>
    <row r="281" spans="1:3" s="249" customFormat="1" x14ac:dyDescent="0.2">
      <c r="A281" s="663" t="s">
        <v>576</v>
      </c>
      <c r="B281" s="663"/>
      <c r="C281" s="663"/>
    </row>
    <row r="282" spans="1:3" s="249" customFormat="1" x14ac:dyDescent="0.2">
      <c r="A282" s="263" t="s">
        <v>577</v>
      </c>
      <c r="B282" s="283">
        <v>2</v>
      </c>
    </row>
    <row r="283" spans="1:3" s="249" customFormat="1" x14ac:dyDescent="0.2">
      <c r="A283" s="249" t="s">
        <v>100</v>
      </c>
      <c r="B283" s="283">
        <v>0.6</v>
      </c>
    </row>
    <row r="284" spans="1:3" s="249" customFormat="1" x14ac:dyDescent="0.2">
      <c r="A284" s="249" t="s">
        <v>107</v>
      </c>
      <c r="B284" s="283">
        <v>20</v>
      </c>
      <c r="C284" s="249" t="s">
        <v>69</v>
      </c>
    </row>
    <row r="285" spans="1:3" s="249" customFormat="1" x14ac:dyDescent="0.2">
      <c r="A285" s="263" t="s">
        <v>39</v>
      </c>
      <c r="B285" s="283">
        <v>50</v>
      </c>
      <c r="C285" s="249" t="s">
        <v>69</v>
      </c>
    </row>
    <row r="286" spans="1:3" s="249" customFormat="1" x14ac:dyDescent="0.2">
      <c r="A286" s="263" t="s">
        <v>83</v>
      </c>
      <c r="B286" s="283">
        <v>2</v>
      </c>
      <c r="C286" s="249" t="s">
        <v>582</v>
      </c>
    </row>
    <row r="287" spans="1:3" s="249" customFormat="1" x14ac:dyDescent="0.2">
      <c r="A287" s="249" t="s">
        <v>109</v>
      </c>
      <c r="B287" s="283">
        <v>2</v>
      </c>
      <c r="C287" s="249" t="s">
        <v>110</v>
      </c>
    </row>
    <row r="288" spans="1:3" s="249" customFormat="1" x14ac:dyDescent="0.2">
      <c r="A288" s="249" t="s">
        <v>114</v>
      </c>
      <c r="B288" s="283">
        <v>0.36</v>
      </c>
      <c r="C288" s="249" t="s">
        <v>582</v>
      </c>
    </row>
    <row r="289" spans="1:3" s="249" customFormat="1" x14ac:dyDescent="0.2">
      <c r="A289" s="249" t="s">
        <v>116</v>
      </c>
      <c r="B289" s="283">
        <v>2</v>
      </c>
      <c r="C289" s="249" t="s">
        <v>113</v>
      </c>
    </row>
    <row r="290" spans="1:3" s="249" customFormat="1" x14ac:dyDescent="0.2">
      <c r="A290" s="249" t="s">
        <v>118</v>
      </c>
      <c r="B290" s="283">
        <v>2</v>
      </c>
      <c r="C290" s="249" t="s">
        <v>113</v>
      </c>
    </row>
    <row r="291" spans="1:3" s="249" customFormat="1" x14ac:dyDescent="0.2">
      <c r="A291" s="249" t="s">
        <v>119</v>
      </c>
      <c r="B291" s="283">
        <v>2</v>
      </c>
      <c r="C291" s="249" t="s">
        <v>113</v>
      </c>
    </row>
  </sheetData>
  <mergeCells count="335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B18:CD18"/>
    <mergeCell ref="CE18:CG18"/>
    <mergeCell ref="CK18:CM18"/>
    <mergeCell ref="CN18:CP18"/>
    <mergeCell ref="CO19:CO21"/>
    <mergeCell ref="CP19:CP21"/>
    <mergeCell ref="CQ18:CS18"/>
    <mergeCell ref="GY2:GY4"/>
    <mergeCell ref="GZ2:GZ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C2:BC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T2:T4"/>
    <mergeCell ref="U2:U4"/>
    <mergeCell ref="AC2:AC4"/>
    <mergeCell ref="AN2:AN4"/>
    <mergeCell ref="AO2:AO4"/>
    <mergeCell ref="AP2:AP4"/>
    <mergeCell ref="AQ2:AQ4"/>
    <mergeCell ref="AR2:AR4"/>
    <mergeCell ref="AI2:AI4"/>
    <mergeCell ref="AJ2:AJ4"/>
    <mergeCell ref="AK2:AK4"/>
    <mergeCell ref="AL2:AL4"/>
    <mergeCell ref="AM2:AM4"/>
    <mergeCell ref="GU1:GW1"/>
    <mergeCell ref="GX1:GZ1"/>
    <mergeCell ref="HA1:HC1"/>
    <mergeCell ref="HD1:HF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D2:AD4"/>
    <mergeCell ref="AE2:AE4"/>
    <mergeCell ref="AF2:AF4"/>
    <mergeCell ref="AG2:AG4"/>
    <mergeCell ref="AH2:AH4"/>
    <mergeCell ref="R2:R4"/>
    <mergeCell ref="S2:S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1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85546875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9.85546875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.28515625" style="249" bestFit="1" customWidth="1"/>
    <col min="128" max="128" width="12" style="249" bestFit="1" customWidth="1"/>
    <col min="129" max="129" width="9.28515625" style="289" bestFit="1" customWidth="1"/>
    <col min="130" max="130" width="6.285156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.28515625" style="249" bestFit="1" customWidth="1"/>
    <col min="143" max="143" width="12" style="249" bestFit="1" customWidth="1"/>
    <col min="144" max="144" width="9.28515625" style="289" bestFit="1" customWidth="1"/>
    <col min="145" max="145" width="6.28515625" style="249" bestFit="1" customWidth="1"/>
    <col min="146" max="146" width="12" style="249" bestFit="1" customWidth="1"/>
    <col min="147" max="147" width="9.2851562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6.285156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9.2851562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6.285156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6.285156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6.285156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customHeight="1" thickTop="1" thickBot="1" x14ac:dyDescent="0.25">
      <c r="A1" s="691" t="s">
        <v>279</v>
      </c>
      <c r="B1" s="692"/>
      <c r="C1" s="693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4"/>
      <c r="P1" s="645" t="s">
        <v>512</v>
      </c>
      <c r="Q1" s="613"/>
      <c r="R1" s="614"/>
      <c r="S1" s="645" t="s">
        <v>513</v>
      </c>
      <c r="T1" s="613"/>
      <c r="U1" s="646"/>
      <c r="V1" s="631" t="s">
        <v>517</v>
      </c>
      <c r="W1" s="632"/>
      <c r="X1" s="697"/>
      <c r="Y1" s="633" t="s">
        <v>518</v>
      </c>
      <c r="Z1" s="632"/>
      <c r="AA1" s="634"/>
      <c r="AB1" s="698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703"/>
      <c r="CB1" s="409" t="s">
        <v>535</v>
      </c>
      <c r="CC1" s="407"/>
      <c r="CD1" s="414"/>
      <c r="CE1" s="406" t="s">
        <v>536</v>
      </c>
      <c r="CF1" s="407"/>
      <c r="CG1" s="414"/>
      <c r="CH1" s="406" t="s">
        <v>537</v>
      </c>
      <c r="CI1" s="407"/>
      <c r="CJ1" s="408"/>
      <c r="CK1" s="409" t="s">
        <v>538</v>
      </c>
      <c r="CL1" s="407"/>
      <c r="CM1" s="414"/>
      <c r="CN1" s="406" t="s">
        <v>538</v>
      </c>
      <c r="CO1" s="407"/>
      <c r="CP1" s="414"/>
      <c r="CQ1" s="406" t="s">
        <v>538</v>
      </c>
      <c r="CR1" s="407"/>
      <c r="CS1" s="408"/>
      <c r="CT1" s="708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1/((1/H10)+(1/H11)+(1/H12)+(1/H13))</f>
        <v>1.8654374300934383E-2</v>
      </c>
      <c r="I2" s="625" t="s">
        <v>14</v>
      </c>
      <c r="J2" s="619" t="s">
        <v>507</v>
      </c>
      <c r="K2" s="623">
        <f>1/((1/K14)+(1/K15)+(1/K16+(1/K17)))</f>
        <v>1.0078741512465546</v>
      </c>
      <c r="L2" s="621" t="s">
        <v>13</v>
      </c>
      <c r="M2" s="617" t="s">
        <v>516</v>
      </c>
      <c r="N2" s="647">
        <f>(N5*N6*N7)/((1-EXP(-N7*N6))*N10*N15*(N9/365)*N13*(((N14/24)*N12)+((N16/24)*N11)))</f>
        <v>1.149978785454745</v>
      </c>
      <c r="O2" s="689" t="s">
        <v>13</v>
      </c>
      <c r="P2" s="639" t="s">
        <v>516</v>
      </c>
      <c r="Q2" s="647">
        <f>(Q5*Q6*Q7)/((1-EXP(-Q7*Q6))*Q10*Q15*(Q9/365)*Q13*(((Q14/24)*Q12)+((Q16/24)*Q11)))</f>
        <v>0.969833477425318</v>
      </c>
      <c r="R2" s="637" t="s">
        <v>13</v>
      </c>
      <c r="S2" s="639" t="s">
        <v>516</v>
      </c>
      <c r="T2" s="647">
        <f>(T5*T6*T7)/((1-EXP(-T7*T6))*T10*T15*(T9/365)*T13*(((T14/24)*T12)+((T16/24)*T11)))</f>
        <v>0.21310814569740547</v>
      </c>
      <c r="U2" s="643" t="s">
        <v>13</v>
      </c>
      <c r="V2" s="55"/>
      <c r="W2" s="357"/>
      <c r="X2" s="56"/>
      <c r="Y2" s="57"/>
      <c r="Z2" s="357"/>
      <c r="AA2" s="58"/>
      <c r="AB2" s="699"/>
      <c r="AC2" s="660">
        <f>1/((1/AC32)+(1/AC33)+(1/AC34))</f>
        <v>7.5917287393656938</v>
      </c>
      <c r="AD2" s="657">
        <f>1/((1/AD32)+(1/AD33)+(1/AD34))</f>
        <v>18.881276720668179</v>
      </c>
      <c r="AE2" s="657">
        <f>1/((1/AE32)+(1/AE33)+(1/AE34))</f>
        <v>7.5917287393656938</v>
      </c>
      <c r="AF2" s="657">
        <f>1/((1/AF32)+(1/AF33)+(1/AF34))</f>
        <v>40.286212624202676</v>
      </c>
      <c r="AG2" s="654">
        <f>1/((1/AG32)+(1/AG33)+(1/AG34))</f>
        <v>73.619308242236571</v>
      </c>
      <c r="AH2" s="701" t="s">
        <v>13</v>
      </c>
      <c r="AI2" s="381" t="s">
        <v>516</v>
      </c>
      <c r="AJ2" s="387">
        <f>(AJ5*AJ6*AJ7)/((1-EXP(-AJ7*AJ6))*AJ15*(AJ9/365)*AJ10*(AJ16/24)*AJ11*AJ13)</f>
        <v>19.045252921588926</v>
      </c>
      <c r="AK2" s="629" t="s">
        <v>13</v>
      </c>
      <c r="AL2" s="383" t="s">
        <v>516</v>
      </c>
      <c r="AM2" s="387">
        <f>(AM5*AM6*AM7)/((1-EXP(-AM7*AM6))*AM15*(AM9/365)*AM10*(AM16/24)*AM11*AM13)</f>
        <v>102.21142473637171</v>
      </c>
      <c r="AN2" s="629" t="s">
        <v>13</v>
      </c>
      <c r="AO2" s="383" t="s">
        <v>516</v>
      </c>
      <c r="AP2" s="387">
        <f>(AP5*AP6*AP7)/((1-EXP(-AP7*AP6))*AP15*(AP9/365)*AP10*(AP16/24)*AP11*AP13)</f>
        <v>22.459615698650108</v>
      </c>
      <c r="AQ2" s="635" t="s">
        <v>13</v>
      </c>
      <c r="AR2" s="381" t="s">
        <v>516</v>
      </c>
      <c r="AS2" s="387">
        <f>(AS5*AS6*AS7)/((1-EXP(-AS7*AS6))*AS15*(AS9/365)*AS10*(AS14/24)*AS12*AS13)</f>
        <v>7.6181011686355706</v>
      </c>
      <c r="AT2" s="391" t="s">
        <v>13</v>
      </c>
      <c r="AU2" s="383" t="s">
        <v>516</v>
      </c>
      <c r="AV2" s="387">
        <f>(AV5*AV6*AV7)/((1-EXP(-AV7*AV6))*AV15*(AV9/365)*AV10*(AV14/24)*AV12*AV13)</f>
        <v>40.88456989454869</v>
      </c>
      <c r="AW2" s="391" t="s">
        <v>13</v>
      </c>
      <c r="AX2" s="383" t="s">
        <v>516</v>
      </c>
      <c r="AY2" s="387">
        <f>(AY5*AY6*AY7)/((1-EXP(-AY7*AY6))*AY15*(AY9/365)*AY10*(AY14/24)*AY12*AY13)</f>
        <v>8.9838462794600424</v>
      </c>
      <c r="AZ2" s="385" t="s">
        <v>13</v>
      </c>
      <c r="BA2" s="381" t="s">
        <v>516</v>
      </c>
      <c r="BB2" s="387">
        <f>(BB5*BB6*BB7)/((1-EXP(-BB7*BB6))*BB15*(BB9/365)*BB10*((BB14+BB16)/24)*BB12*BB13)</f>
        <v>7.6181011686355706</v>
      </c>
      <c r="BC2" s="391" t="s">
        <v>13</v>
      </c>
      <c r="BD2" s="383" t="s">
        <v>516</v>
      </c>
      <c r="BE2" s="387">
        <f>(BE5*BE6*BE7)/((1-EXP(-BE7*BE6))*BE15*(BE9/365)*BE10*((BE14+BE16)/24)*BE12*BE13)</f>
        <v>40.88456989454869</v>
      </c>
      <c r="BF2" s="391" t="s">
        <v>13</v>
      </c>
      <c r="BG2" s="383" t="s">
        <v>516</v>
      </c>
      <c r="BH2" s="387">
        <f>(BH5*BH6*BH7)/((1-EXP(-BH7*BH6))*BH15*(BH9/365)*BH10*((BH14+BH16)/24)*BH12*BH13)</f>
        <v>8.9838462794600424</v>
      </c>
      <c r="BI2" s="385" t="s">
        <v>13</v>
      </c>
      <c r="BJ2" s="381" t="s">
        <v>558</v>
      </c>
      <c r="BK2" s="389">
        <f>(BK5*BK6*BK7)/((1-EXP(-BK7*BK6))*BK12*BK16*(BK9/365)*BK14*(BK15/24)*BK13)</f>
        <v>77.571085539218501</v>
      </c>
      <c r="BL2" s="391" t="s">
        <v>13</v>
      </c>
      <c r="BM2" s="383" t="s">
        <v>559</v>
      </c>
      <c r="BN2" s="389">
        <f>(BN5*BN6*BN7)/((1-EXP(-BN7*BN6))*BN12*BN16*(BN9/365)*BN14*(BN15/24)*BN13)</f>
        <v>1127.713322922147</v>
      </c>
      <c r="BO2" s="391" t="s">
        <v>13</v>
      </c>
      <c r="BP2" s="383" t="s">
        <v>560</v>
      </c>
      <c r="BQ2" s="389">
        <f>(BQ5*BQ6*BQ7)/((1-EXP(-BQ7*BQ6))*BQ12*BQ16*(BQ9/365)*BQ14*(BQ15/24)*BQ13)</f>
        <v>118.44070980554035</v>
      </c>
      <c r="BR2" s="385" t="s">
        <v>13</v>
      </c>
      <c r="BS2" s="59"/>
      <c r="BT2" s="110"/>
      <c r="BU2" s="250"/>
      <c r="BV2" s="402" t="s">
        <v>563</v>
      </c>
      <c r="BW2" s="400">
        <f>1/((1/BW10)+(1/BW11))</f>
        <v>2.6653846217684696</v>
      </c>
      <c r="BX2" s="404" t="s">
        <v>14</v>
      </c>
      <c r="BY2" s="402" t="s">
        <v>563</v>
      </c>
      <c r="BZ2" s="400">
        <f>1/((1/BZ13)+(1/BZ14)+(1/BZ15))</f>
        <v>39.323822217417998</v>
      </c>
      <c r="CA2" s="398" t="s">
        <v>13</v>
      </c>
      <c r="CB2" s="410" t="s">
        <v>558</v>
      </c>
      <c r="CC2" s="400">
        <f>(CC5*CC6*CC7)/((1-EXP(-CC7*CC6))*CC10*CC14*(CC9/365)*CC12*(CC13/24)*CC11)</f>
        <v>54.946601466585982</v>
      </c>
      <c r="CD2" s="404" t="s">
        <v>13</v>
      </c>
      <c r="CE2" s="402" t="s">
        <v>559</v>
      </c>
      <c r="CF2" s="400">
        <f>(CF5*CF6*CF7)/((1-EXP(-CF7*CF6))*CF10*CF14*(CF9/365)*CF12*(CF13/24)*CF11)</f>
        <v>798.80298299853928</v>
      </c>
      <c r="CG2" s="404" t="s">
        <v>13</v>
      </c>
      <c r="CH2" s="402" t="s">
        <v>560</v>
      </c>
      <c r="CI2" s="400">
        <f>(CI5*CI6*CI7)/((1-EXP(-CI7*CI6))*CI10*CI14*(CI9/365)*CI12*(CI13/24)*CI11)</f>
        <v>83.896137766620598</v>
      </c>
      <c r="CJ2" s="398" t="s">
        <v>13</v>
      </c>
      <c r="CK2" s="410" t="s">
        <v>510</v>
      </c>
      <c r="CL2" s="400">
        <f>CL5/(CL6*CL7*CL8*CL9)</f>
        <v>9.9712329928157271</v>
      </c>
      <c r="CM2" s="404" t="s">
        <v>13</v>
      </c>
      <c r="CN2" s="402" t="s">
        <v>7</v>
      </c>
      <c r="CO2" s="400" t="e">
        <f>CL2/(CO5*((CO10*CO12*CO13*(CO6+CO7))+(CO11*CO12)))</f>
        <v>#DIV/0!</v>
      </c>
      <c r="CP2" s="412" t="s">
        <v>13</v>
      </c>
      <c r="CQ2" s="402" t="s">
        <v>6</v>
      </c>
      <c r="CR2" s="400" t="e">
        <f>CL2/(CR5*CR6*(1/CR7))</f>
        <v>#DIV/0!</v>
      </c>
      <c r="CS2" s="415" t="s">
        <v>14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(DD5)/(DD6*(DD7+DD10)*DD20)</f>
        <v>5.3564474754795227E-2</v>
      </c>
      <c r="DE2" s="672" t="s">
        <v>13</v>
      </c>
      <c r="DF2" s="670" t="s">
        <v>510</v>
      </c>
      <c r="DG2" s="668">
        <f>(DD2/((1/DG24)*(DG5+DG6+DG7)))</f>
        <v>3.995952832871938</v>
      </c>
      <c r="DH2" s="666" t="s">
        <v>14</v>
      </c>
      <c r="DI2" s="680" t="s">
        <v>510</v>
      </c>
      <c r="DJ2" s="668">
        <f>(DD2/(DJ5+DJ6))*CU11</f>
        <v>0.19619793329732452</v>
      </c>
      <c r="DK2" s="666" t="s">
        <v>14</v>
      </c>
      <c r="DL2" s="680" t="s">
        <v>554</v>
      </c>
      <c r="DM2" s="668">
        <f>(DD2/(DM5+DM6))*((DM9*DD21)/(1-EXP(-DD21*DM9)))</f>
        <v>0.19619793329732452</v>
      </c>
      <c r="DN2" s="666" t="s">
        <v>14</v>
      </c>
      <c r="DO2" s="680" t="s">
        <v>553</v>
      </c>
      <c r="DP2" s="668">
        <f>-(DP5+DP6+DP7)/(DP23+DP24)</f>
        <v>-48.781547491595369</v>
      </c>
      <c r="DQ2" s="678" t="s">
        <v>14</v>
      </c>
      <c r="DR2" s="556" t="s">
        <v>510</v>
      </c>
      <c r="DS2" s="460">
        <f>DS5/(DS6*DS7*DS16)</f>
        <v>0.10712894950959045</v>
      </c>
      <c r="DT2" s="466" t="s">
        <v>13</v>
      </c>
      <c r="DU2" s="464" t="s">
        <v>510</v>
      </c>
      <c r="DV2" s="462">
        <f>DS2/(DV5*(1/DV8)*DV6*(1/DV7))</f>
        <v>3156.2590959633344</v>
      </c>
      <c r="DW2" s="480" t="s">
        <v>14</v>
      </c>
      <c r="DX2" s="478" t="s">
        <v>510</v>
      </c>
      <c r="DY2" s="462">
        <f>(DS2/(DY9*(1/DY14)*((DY10*DY12*DY13*(DY5+DY6))+(DY11*DY12))))*CU11</f>
        <v>50.216741612772942</v>
      </c>
      <c r="DZ2" s="480" t="s">
        <v>14</v>
      </c>
      <c r="EA2" s="478" t="s">
        <v>554</v>
      </c>
      <c r="EB2" s="462">
        <f>(DS2/(EB9*(1/EB14)*((EB10*EB12*EB13*(EB5+EB6))+(EB11*EB12))))*((EB15*DS18)/(1-EXP(-DS18*EB15)))</f>
        <v>50.216741612772942</v>
      </c>
      <c r="EC2" s="480" t="s">
        <v>14</v>
      </c>
      <c r="ED2" s="478" t="s">
        <v>553</v>
      </c>
      <c r="EE2" s="462">
        <f>-EE15/((EE10*EE12*EE13*(EE5+EE6))+(EE11*EE12))</f>
        <v>-15.807288534561259</v>
      </c>
      <c r="EF2" s="476" t="s">
        <v>14</v>
      </c>
      <c r="EG2" s="474" t="s">
        <v>510</v>
      </c>
      <c r="EH2" s="472">
        <f>EH5/(EH6*EH7*EH16)</f>
        <v>0.10712894950959045</v>
      </c>
      <c r="EI2" s="470" t="s">
        <v>13</v>
      </c>
      <c r="EJ2" s="468" t="s">
        <v>510</v>
      </c>
      <c r="EK2" s="502">
        <f>EH2/(EK5*EK6*(1/EK7))</f>
        <v>1189.0005494960094</v>
      </c>
      <c r="EL2" s="500" t="s">
        <v>14</v>
      </c>
      <c r="EM2" s="504" t="s">
        <v>510</v>
      </c>
      <c r="EN2" s="502">
        <f>(EH2/(EN9*((EN10*EN12*EN13*(EN5+EN6))+(EN11*EN12))))*CU11</f>
        <v>17.412700720793467</v>
      </c>
      <c r="EO2" s="500" t="s">
        <v>13</v>
      </c>
      <c r="EP2" s="504" t="s">
        <v>554</v>
      </c>
      <c r="EQ2" s="502">
        <f>(EH2/(EQ9*((EQ10*EQ12*EQ13*(EQ5+EQ6))+(EQ11*EQ12))))*((EQ14*EH18)/(1-EXP(-EH18*EQ14)))</f>
        <v>17.412700720793467</v>
      </c>
      <c r="ER2" s="500" t="s">
        <v>14</v>
      </c>
      <c r="ES2" s="504" t="s">
        <v>553</v>
      </c>
      <c r="ET2" s="502">
        <f>-ET15/((ET10*ET12*ET13*(ET5+ET6))+(ET11*ET12))</f>
        <v>-14.550086614194845</v>
      </c>
      <c r="EU2" s="514" t="s">
        <v>19</v>
      </c>
      <c r="EV2" s="512" t="s">
        <v>510</v>
      </c>
      <c r="EW2" s="510">
        <f>EW5/(EW6*EW7*EW16)</f>
        <v>0.10712894950959045</v>
      </c>
      <c r="EX2" s="508" t="s">
        <v>13</v>
      </c>
      <c r="EY2" s="506" t="s">
        <v>510</v>
      </c>
      <c r="EZ2" s="494" t="e">
        <f>EW2/(EZ5*EZ6*(1/EZ7))</f>
        <v>#DIV/0!</v>
      </c>
      <c r="FA2" s="498" t="s">
        <v>14</v>
      </c>
      <c r="FB2" s="496" t="s">
        <v>510</v>
      </c>
      <c r="FC2" s="494" t="e">
        <f>(EW2/(FC9*((FC10*FC12*FC13*(FC5+FC6))+(FC11*FC12))))*CU11</f>
        <v>#DIV/0!</v>
      </c>
      <c r="FD2" s="498" t="s">
        <v>13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14</v>
      </c>
      <c r="FH2" s="496" t="s">
        <v>553</v>
      </c>
      <c r="FI2" s="494">
        <f>-FI15/((FI10*FI12*FI13*(FI5+FI6))+(FI11*FI12))</f>
        <v>-5.3050397877984095</v>
      </c>
      <c r="FJ2" s="492" t="s">
        <v>19</v>
      </c>
      <c r="FK2" s="490" t="s">
        <v>510</v>
      </c>
      <c r="FL2" s="488">
        <f>FL5/(FL6*FL7*FL16)</f>
        <v>0.10712894950959045</v>
      </c>
      <c r="FM2" s="486" t="s">
        <v>13</v>
      </c>
      <c r="FN2" s="484" t="s">
        <v>510</v>
      </c>
      <c r="FO2" s="430">
        <f>FL2/(FO5*(1/FO6))</f>
        <v>26.782237377397614</v>
      </c>
      <c r="FP2" s="428" t="s">
        <v>14</v>
      </c>
      <c r="FQ2" s="482" t="s">
        <v>510</v>
      </c>
      <c r="FR2" s="430">
        <f>((FL2*FR6)/FR5)*CU11</f>
        <v>2.6956615045385907E-2</v>
      </c>
      <c r="FS2" s="428" t="s">
        <v>13</v>
      </c>
      <c r="FT2" s="426" t="s">
        <v>554</v>
      </c>
      <c r="FU2" s="430">
        <f>((FL2*FU6)/FU5)*((FU7*FL18)/(1-EXP(-FL18*FU7)))</f>
        <v>2.6956615045385907E-2</v>
      </c>
      <c r="FV2" s="428" t="s">
        <v>14</v>
      </c>
      <c r="FW2" s="426" t="s">
        <v>553</v>
      </c>
      <c r="FX2" s="430">
        <f>-FX5/FX6</f>
        <v>-1E-3</v>
      </c>
      <c r="FY2" s="438" t="s">
        <v>19</v>
      </c>
      <c r="FZ2" s="436" t="s">
        <v>510</v>
      </c>
      <c r="GA2" s="434">
        <f>GA5/(GA6*GA7*GA16)</f>
        <v>0.10712894950959045</v>
      </c>
      <c r="GB2" s="432" t="s">
        <v>13</v>
      </c>
      <c r="GC2" s="458" t="s">
        <v>510</v>
      </c>
      <c r="GD2" s="417" t="e">
        <f>(GA2/(GD5*GD6*(1/GD7)))</f>
        <v>#DIV/0!</v>
      </c>
      <c r="GE2" s="421" t="s">
        <v>14</v>
      </c>
      <c r="GF2" s="419" t="s">
        <v>510</v>
      </c>
      <c r="GG2" s="417" t="e">
        <f>(GA2/((GG9)*((GG10*GG12*GG13*(GG5+GG6))+(GG11*GG12))))*CU11</f>
        <v>#DIV/0!</v>
      </c>
      <c r="GH2" s="421" t="s">
        <v>13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14</v>
      </c>
      <c r="GL2" s="419" t="s">
        <v>553</v>
      </c>
      <c r="GM2" s="417">
        <f>-GM15/((GM10*GM12*GM13*(GM5+GM6))+(GM11*GM12))</f>
        <v>-5.3050397877984095</v>
      </c>
      <c r="GN2" s="456" t="s">
        <v>19</v>
      </c>
      <c r="GO2" s="454" t="s">
        <v>510</v>
      </c>
      <c r="GP2" s="452">
        <f>GP5/(GP6*GP7*GP15)</f>
        <v>0.10712894950959045</v>
      </c>
      <c r="GQ2" s="450" t="s">
        <v>13</v>
      </c>
      <c r="GR2" s="448" t="s">
        <v>510</v>
      </c>
      <c r="GS2" s="442" t="e">
        <f>GP2/(GS5*GS6*(1/GS7))</f>
        <v>#DIV/0!</v>
      </c>
      <c r="GT2" s="446" t="s">
        <v>14</v>
      </c>
      <c r="GU2" s="444" t="s">
        <v>510</v>
      </c>
      <c r="GV2" s="442" t="e">
        <f>(GP2/((GV9)*((GV10*GV12*GV13*(GV5+GV6))+(GV11*GV12))))*CU11</f>
        <v>#DIV/0!</v>
      </c>
      <c r="GW2" s="446" t="s">
        <v>13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14</v>
      </c>
      <c r="HA2" s="444" t="s">
        <v>553</v>
      </c>
      <c r="HB2" s="442">
        <f>-HB15/((HB10*HB12*HB13*(HB5+HB6))+(HB11*HB12))</f>
        <v>-7.0158163579297179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362">
        <v>0.124</v>
      </c>
      <c r="C3" s="240"/>
      <c r="D3" s="317" t="s">
        <v>15</v>
      </c>
      <c r="E3" s="285">
        <f>1/((1/E20)+(1/E21))</f>
        <v>5.8548049465860074E-3</v>
      </c>
      <c r="F3" s="253" t="s">
        <v>10</v>
      </c>
      <c r="G3" s="627"/>
      <c r="H3" s="623"/>
      <c r="I3" s="625"/>
      <c r="J3" s="619"/>
      <c r="K3" s="623"/>
      <c r="L3" s="621"/>
      <c r="M3" s="617"/>
      <c r="N3" s="647"/>
      <c r="O3" s="689"/>
      <c r="P3" s="639"/>
      <c r="Q3" s="647"/>
      <c r="R3" s="637"/>
      <c r="S3" s="639"/>
      <c r="T3" s="647"/>
      <c r="U3" s="643"/>
      <c r="V3" s="319" t="s">
        <v>16</v>
      </c>
      <c r="W3" s="358">
        <f>1/((1/W18)+(1/W19))</f>
        <v>0.11253402030310072</v>
      </c>
      <c r="X3" s="254" t="s">
        <v>10</v>
      </c>
      <c r="Y3" s="321" t="s">
        <v>16</v>
      </c>
      <c r="Z3" s="358">
        <f>1/((1/Z18)+(1/Z19))</f>
        <v>0.11253402030310072</v>
      </c>
      <c r="AA3" s="255" t="s">
        <v>10</v>
      </c>
      <c r="AB3" s="699"/>
      <c r="AC3" s="661"/>
      <c r="AD3" s="658"/>
      <c r="AE3" s="658"/>
      <c r="AF3" s="658"/>
      <c r="AG3" s="655"/>
      <c r="AH3" s="701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7.9265051584549037E-2</v>
      </c>
      <c r="BU3" s="250" t="s">
        <v>10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1/((1/CU14)+(1/CU15)+(1/CU16)+(1/CU17)+(1/CU20)+(1/CU21)+(1/CU23))</f>
        <v>2.3276897169566716E-2</v>
      </c>
      <c r="CV3" s="71" t="s">
        <v>13</v>
      </c>
      <c r="CW3" s="326" t="s">
        <v>15</v>
      </c>
      <c r="CX3" s="117">
        <f>1/((1/CX20)+(1/CX21))</f>
        <v>6.2449376118021635E-3</v>
      </c>
      <c r="CY3" s="256" t="s">
        <v>10</v>
      </c>
      <c r="CZ3" s="338" t="s">
        <v>285</v>
      </c>
      <c r="DA3" s="336">
        <f>1/((1/DA13)+(1/DA15)+(1/DA16)+(1/DA19)+(1/DA20)+(1/DA22))</f>
        <v>1.6495919487762754</v>
      </c>
      <c r="DB3" s="72" t="s">
        <v>13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6.5281937710233552E-3</v>
      </c>
      <c r="HF3" s="252" t="s">
        <v>13</v>
      </c>
    </row>
    <row r="4" spans="1:214" ht="13.5" customHeight="1" thickBot="1" x14ac:dyDescent="0.25">
      <c r="A4" s="279" t="s">
        <v>457</v>
      </c>
      <c r="B4" s="363">
        <v>0.79200000000000004</v>
      </c>
      <c r="C4" s="241"/>
      <c r="D4" s="318" t="s">
        <v>16</v>
      </c>
      <c r="E4" s="286">
        <f>1/((1/E22)+(1/E23))</f>
        <v>5.8802001819783832E-3</v>
      </c>
      <c r="F4" s="257" t="s">
        <v>10</v>
      </c>
      <c r="G4" s="628"/>
      <c r="H4" s="624"/>
      <c r="I4" s="626"/>
      <c r="J4" s="620"/>
      <c r="K4" s="624"/>
      <c r="L4" s="622"/>
      <c r="M4" s="618"/>
      <c r="N4" s="648"/>
      <c r="O4" s="690"/>
      <c r="P4" s="640"/>
      <c r="Q4" s="648"/>
      <c r="R4" s="638"/>
      <c r="S4" s="640"/>
      <c r="T4" s="648"/>
      <c r="U4" s="644"/>
      <c r="V4" s="320" t="s">
        <v>15</v>
      </c>
      <c r="W4" s="359">
        <f>1/((1/W16)+(1/W17))</f>
        <v>0.11241225497445131</v>
      </c>
      <c r="X4" s="258" t="s">
        <v>10</v>
      </c>
      <c r="Y4" s="322" t="s">
        <v>15</v>
      </c>
      <c r="Z4" s="359">
        <f>1/((1/Z16)+(1/Z17))</f>
        <v>0.11241225497445131</v>
      </c>
      <c r="AA4" s="259" t="s">
        <v>10</v>
      </c>
      <c r="AB4" s="700"/>
      <c r="AC4" s="662"/>
      <c r="AD4" s="659"/>
      <c r="AE4" s="659"/>
      <c r="AF4" s="659"/>
      <c r="AG4" s="656"/>
      <c r="AH4" s="702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7.9712201035281052E-2</v>
      </c>
      <c r="BU4" s="260" t="s">
        <v>10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0.17279920590909287</v>
      </c>
      <c r="CV4" s="73" t="s">
        <v>13</v>
      </c>
      <c r="CW4" s="327" t="s">
        <v>16</v>
      </c>
      <c r="CX4" s="106">
        <f>1/((1/CX22)+(1/CX23))</f>
        <v>6.2855980555930708E-3</v>
      </c>
      <c r="CY4" s="261" t="s">
        <v>10</v>
      </c>
      <c r="CZ4" s="339" t="s">
        <v>11</v>
      </c>
      <c r="DA4" s="337">
        <f>1/((1/DA14)+(1/DA15)+(1/DA13))</f>
        <v>1.2441089446340738E-2</v>
      </c>
      <c r="DB4" s="74" t="s">
        <v>13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2.43558740227396E-5</v>
      </c>
      <c r="HF4" s="75" t="s">
        <v>13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1.0000000000000001E-5</v>
      </c>
      <c r="G5" s="262" t="s">
        <v>17</v>
      </c>
      <c r="H5" s="287">
        <f>B18</f>
        <v>1.0000000000000001E-5</v>
      </c>
      <c r="J5" s="262" t="s">
        <v>17</v>
      </c>
      <c r="K5" s="287">
        <f>B18</f>
        <v>1.0000000000000001E-5</v>
      </c>
      <c r="M5" s="249" t="s">
        <v>17</v>
      </c>
      <c r="N5" s="287">
        <f>B18</f>
        <v>1.0000000000000001E-5</v>
      </c>
      <c r="P5" s="249" t="s">
        <v>17</v>
      </c>
      <c r="Q5" s="287">
        <f>B18</f>
        <v>1.0000000000000001E-5</v>
      </c>
      <c r="S5" s="249" t="s">
        <v>17</v>
      </c>
      <c r="T5" s="287">
        <f>B18</f>
        <v>1.0000000000000001E-5</v>
      </c>
      <c r="V5" s="249" t="s">
        <v>17</v>
      </c>
      <c r="W5" s="287">
        <f>B18</f>
        <v>1.0000000000000001E-5</v>
      </c>
      <c r="Y5" s="249" t="s">
        <v>17</v>
      </c>
      <c r="Z5" s="287">
        <f>B18</f>
        <v>1.0000000000000001E-5</v>
      </c>
      <c r="AB5" s="262" t="s">
        <v>17</v>
      </c>
      <c r="AC5" s="287">
        <f>B18</f>
        <v>1.0000000000000001E-5</v>
      </c>
      <c r="AD5" s="287">
        <f>B18</f>
        <v>1.0000000000000001E-5</v>
      </c>
      <c r="AE5" s="287">
        <f>B18</f>
        <v>1.0000000000000001E-5</v>
      </c>
      <c r="AF5" s="287">
        <f>B18</f>
        <v>1.0000000000000001E-5</v>
      </c>
      <c r="AG5" s="287">
        <f>B18</f>
        <v>1.0000000000000001E-5</v>
      </c>
      <c r="AI5" s="249" t="s">
        <v>17</v>
      </c>
      <c r="AJ5" s="287">
        <f>B18</f>
        <v>1.0000000000000001E-5</v>
      </c>
      <c r="AL5" s="249" t="s">
        <v>17</v>
      </c>
      <c r="AM5" s="287">
        <f>B18</f>
        <v>1.0000000000000001E-5</v>
      </c>
      <c r="AO5" s="249" t="s">
        <v>17</v>
      </c>
      <c r="AP5" s="287">
        <f>B18</f>
        <v>1.0000000000000001E-5</v>
      </c>
      <c r="AR5" s="249" t="s">
        <v>17</v>
      </c>
      <c r="AS5" s="287">
        <f>B18</f>
        <v>1.0000000000000001E-5</v>
      </c>
      <c r="AU5" s="249" t="s">
        <v>17</v>
      </c>
      <c r="AV5" s="287">
        <f>B18</f>
        <v>1.0000000000000001E-5</v>
      </c>
      <c r="AX5" s="249" t="s">
        <v>17</v>
      </c>
      <c r="AY5" s="287">
        <f>B18</f>
        <v>1.0000000000000001E-5</v>
      </c>
      <c r="BA5" s="249" t="s">
        <v>17</v>
      </c>
      <c r="BB5" s="287">
        <f>B18</f>
        <v>1.0000000000000001E-5</v>
      </c>
      <c r="BD5" s="249" t="s">
        <v>17</v>
      </c>
      <c r="BE5" s="287">
        <f>B18</f>
        <v>1.0000000000000001E-5</v>
      </c>
      <c r="BG5" s="249" t="s">
        <v>17</v>
      </c>
      <c r="BH5" s="287">
        <f>B18</f>
        <v>1.0000000000000001E-5</v>
      </c>
      <c r="BJ5" s="249" t="s">
        <v>17</v>
      </c>
      <c r="BK5" s="287">
        <f>B18</f>
        <v>1.0000000000000001E-5</v>
      </c>
      <c r="BM5" s="249" t="s">
        <v>17</v>
      </c>
      <c r="BN5" s="287">
        <f>B18</f>
        <v>1.0000000000000001E-5</v>
      </c>
      <c r="BP5" s="249" t="s">
        <v>17</v>
      </c>
      <c r="BQ5" s="287">
        <f>B18</f>
        <v>1.0000000000000001E-5</v>
      </c>
      <c r="BS5" s="249" t="s">
        <v>17</v>
      </c>
      <c r="BT5" s="287">
        <f>B18</f>
        <v>1.0000000000000001E-5</v>
      </c>
      <c r="BV5" s="262" t="s">
        <v>17</v>
      </c>
      <c r="BW5" s="287">
        <f>B18</f>
        <v>1.0000000000000001E-5</v>
      </c>
      <c r="BY5" s="262" t="s">
        <v>17</v>
      </c>
      <c r="BZ5" s="287">
        <f>B18</f>
        <v>1.0000000000000001E-5</v>
      </c>
      <c r="CB5" s="249" t="s">
        <v>17</v>
      </c>
      <c r="CC5" s="287">
        <f>B18</f>
        <v>1.0000000000000001E-5</v>
      </c>
      <c r="CE5" s="249" t="s">
        <v>17</v>
      </c>
      <c r="CF5" s="287">
        <f>B18</f>
        <v>1.0000000000000001E-5</v>
      </c>
      <c r="CH5" s="249" t="s">
        <v>17</v>
      </c>
      <c r="CI5" s="287">
        <f>B18</f>
        <v>1.0000000000000001E-5</v>
      </c>
      <c r="CK5" s="249" t="s">
        <v>17</v>
      </c>
      <c r="CL5" s="287">
        <f>B18</f>
        <v>1.0000000000000001E-5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1.0000000000000001E-5</v>
      </c>
      <c r="CW5" s="249" t="s">
        <v>17</v>
      </c>
      <c r="CX5" s="287">
        <f>B18</f>
        <v>1.0000000000000001E-5</v>
      </c>
      <c r="CZ5" s="262" t="s">
        <v>17</v>
      </c>
      <c r="DA5" s="287">
        <f>B18</f>
        <v>1.0000000000000001E-5</v>
      </c>
      <c r="DC5" s="262" t="s">
        <v>17</v>
      </c>
      <c r="DD5" s="287">
        <f>B18</f>
        <v>1.0000000000000001E-5</v>
      </c>
      <c r="DF5" s="249" t="s">
        <v>18</v>
      </c>
      <c r="DG5" s="118">
        <f>(DG8*DG9*DG10*((1-EXP(-DG11*DG12))))/(DG13*DG11)</f>
        <v>0.52543733718458041</v>
      </c>
      <c r="DH5" s="249" t="s">
        <v>19</v>
      </c>
      <c r="DI5" s="262" t="s">
        <v>20</v>
      </c>
      <c r="DJ5" s="305">
        <f>DJ7</f>
        <v>1.4789999999999999E-2</v>
      </c>
      <c r="DK5" s="262"/>
      <c r="DL5" s="262" t="s">
        <v>20</v>
      </c>
      <c r="DM5" s="305">
        <f>DM7</f>
        <v>1.4789999999999999E-2</v>
      </c>
      <c r="DO5" s="249" t="s">
        <v>18</v>
      </c>
      <c r="DP5" s="118">
        <f>(DP8*DP9*DP10*((1-EXP(-DP11*DP12))))/(DP13*DP11)</f>
        <v>0.52543733718458041</v>
      </c>
      <c r="DQ5" s="249" t="s">
        <v>19</v>
      </c>
      <c r="DR5" s="262" t="s">
        <v>17</v>
      </c>
      <c r="DS5" s="287">
        <f>B18</f>
        <v>1.0000000000000001E-5</v>
      </c>
      <c r="DU5" s="262" t="s">
        <v>278</v>
      </c>
      <c r="DV5" s="310">
        <f>B37</f>
        <v>3.8000000000000002E-4</v>
      </c>
      <c r="DW5" s="262"/>
      <c r="DX5" s="262" t="s">
        <v>21</v>
      </c>
      <c r="DY5" s="305">
        <f>DY7</f>
        <v>1.7000000000000001E-2</v>
      </c>
      <c r="DZ5" s="262"/>
      <c r="EA5" s="262" t="s">
        <v>21</v>
      </c>
      <c r="EB5" s="305">
        <f>EB7</f>
        <v>1.7000000000000001E-2</v>
      </c>
      <c r="EC5" s="263"/>
      <c r="ED5" s="262" t="s">
        <v>21</v>
      </c>
      <c r="EE5" s="305">
        <f>EE7</f>
        <v>1.7000000000000001E-2</v>
      </c>
      <c r="EF5" s="263"/>
      <c r="EG5" s="262" t="s">
        <v>17</v>
      </c>
      <c r="EH5" s="287">
        <f>B18</f>
        <v>1.0000000000000001E-5</v>
      </c>
      <c r="EJ5" s="262" t="s">
        <v>275</v>
      </c>
      <c r="EK5" s="310">
        <f>B38</f>
        <v>1.6999999999999999E-3</v>
      </c>
      <c r="EL5" s="262"/>
      <c r="EM5" s="262" t="s">
        <v>21</v>
      </c>
      <c r="EN5" s="305">
        <f>EN7</f>
        <v>1.7000000000000001E-2</v>
      </c>
      <c r="EO5" s="262"/>
      <c r="EP5" s="262" t="s">
        <v>21</v>
      </c>
      <c r="EQ5" s="305">
        <f>EQ7</f>
        <v>1.7000000000000001E-2</v>
      </c>
      <c r="ER5" s="263"/>
      <c r="ES5" s="262" t="s">
        <v>21</v>
      </c>
      <c r="ET5" s="305">
        <f>ET7</f>
        <v>1.7000000000000001E-2</v>
      </c>
      <c r="EU5" s="263"/>
      <c r="EV5" s="262" t="s">
        <v>17</v>
      </c>
      <c r="EW5" s="287">
        <f>B18</f>
        <v>1.0000000000000001E-5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1.7000000000000001E-2</v>
      </c>
      <c r="FD5" s="262"/>
      <c r="FE5" s="262" t="s">
        <v>21</v>
      </c>
      <c r="FF5" s="305">
        <f>FF7</f>
        <v>1.7000000000000001E-2</v>
      </c>
      <c r="FG5" s="263"/>
      <c r="FH5" s="263" t="s">
        <v>21</v>
      </c>
      <c r="FI5" s="290">
        <f>FI7</f>
        <v>1.7000000000000001E-2</v>
      </c>
      <c r="FJ5" s="263"/>
      <c r="FK5" s="262" t="s">
        <v>17</v>
      </c>
      <c r="FL5" s="287">
        <f>B18</f>
        <v>1.0000000000000001E-5</v>
      </c>
      <c r="FN5" s="263" t="s">
        <v>122</v>
      </c>
      <c r="FO5" s="308">
        <f>B36</f>
        <v>4</v>
      </c>
      <c r="FP5" s="263"/>
      <c r="FQ5" s="263" t="s">
        <v>122</v>
      </c>
      <c r="FR5" s="298">
        <f>B36</f>
        <v>4</v>
      </c>
      <c r="FS5" s="263"/>
      <c r="FT5" s="263" t="s">
        <v>122</v>
      </c>
      <c r="FU5" s="298">
        <f>B36</f>
        <v>4</v>
      </c>
      <c r="FV5" s="263"/>
      <c r="FW5" s="262" t="s">
        <v>181</v>
      </c>
      <c r="FX5" s="305">
        <f>B46</f>
        <v>1</v>
      </c>
      <c r="FY5" s="249" t="s">
        <v>19</v>
      </c>
      <c r="FZ5" s="262" t="s">
        <v>17</v>
      </c>
      <c r="GA5" s="287">
        <f>B18</f>
        <v>1.0000000000000001E-5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1.7000000000000001E-2</v>
      </c>
      <c r="GH5" s="262"/>
      <c r="GI5" s="262" t="s">
        <v>21</v>
      </c>
      <c r="GJ5" s="305">
        <f>GJ7</f>
        <v>1.7000000000000001E-2</v>
      </c>
      <c r="GK5" s="262"/>
      <c r="GL5" s="262" t="s">
        <v>21</v>
      </c>
      <c r="GM5" s="305">
        <f>GM7</f>
        <v>1.7000000000000001E-2</v>
      </c>
      <c r="GN5" s="263"/>
      <c r="GO5" s="262" t="s">
        <v>17</v>
      </c>
      <c r="GP5" s="287">
        <f>B18</f>
        <v>1.0000000000000001E-5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1.7000000000000001E-2</v>
      </c>
      <c r="GW5" s="262"/>
      <c r="GX5" s="262" t="s">
        <v>21</v>
      </c>
      <c r="GY5" s="305">
        <f>GY7</f>
        <v>1.7000000000000001E-2</v>
      </c>
      <c r="GZ5" s="262"/>
      <c r="HA5" s="262" t="s">
        <v>21</v>
      </c>
      <c r="HB5" s="305">
        <f>HB7</f>
        <v>1.7000000000000001E-2</v>
      </c>
      <c r="HC5" s="263"/>
      <c r="HD5" s="265" t="s">
        <v>22</v>
      </c>
      <c r="HE5" s="293">
        <f>B47</f>
        <v>5</v>
      </c>
      <c r="HF5" s="262" t="s">
        <v>14</v>
      </c>
    </row>
    <row r="6" spans="1:214" ht="13.5" thickTop="1" x14ac:dyDescent="0.2">
      <c r="A6" s="278" t="s">
        <v>454</v>
      </c>
      <c r="B6" s="362">
        <v>5.8099999999999999E-2</v>
      </c>
      <c r="C6" s="240"/>
      <c r="D6" s="262" t="s">
        <v>23</v>
      </c>
      <c r="E6" s="288">
        <f>0.693/E7</f>
        <v>4.3312499999999997E-4</v>
      </c>
      <c r="G6" s="262" t="s">
        <v>439</v>
      </c>
      <c r="H6" s="287">
        <f>B20</f>
        <v>3.8480000000000001E-10</v>
      </c>
      <c r="I6" s="262" t="s">
        <v>35</v>
      </c>
      <c r="J6" s="262" t="s">
        <v>316</v>
      </c>
      <c r="K6" s="287">
        <f>B21</f>
        <v>6.7709999999999997E-10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4.3312499999999997E-4</v>
      </c>
      <c r="Y6" s="262" t="s">
        <v>23</v>
      </c>
      <c r="Z6" s="288">
        <f>0.693/Z7</f>
        <v>4.3312499999999997E-4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BK12</f>
        <v>5</v>
      </c>
      <c r="BR6" s="249" t="s">
        <v>69</v>
      </c>
      <c r="BS6" s="262" t="s">
        <v>23</v>
      </c>
      <c r="BT6" s="288">
        <f>0.693/BT7</f>
        <v>4.3312499999999997E-4</v>
      </c>
      <c r="BV6" s="262" t="s">
        <v>163</v>
      </c>
      <c r="BW6" s="287">
        <f>B20</f>
        <v>3.8480000000000001E-10</v>
      </c>
      <c r="BX6" s="262" t="s">
        <v>35</v>
      </c>
      <c r="BY6" s="262" t="s">
        <v>45</v>
      </c>
      <c r="BZ6" s="287">
        <f>B21</f>
        <v>6.7709999999999997E-10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5.1429999999999997E-10</v>
      </c>
      <c r="CM6" s="266" t="s">
        <v>13</v>
      </c>
      <c r="CN6" s="263" t="s">
        <v>21</v>
      </c>
      <c r="CO6" s="290">
        <f>CO8</f>
        <v>1.7000000000000001E-2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6.7709999999999997E-10</v>
      </c>
      <c r="CV6" s="262" t="s">
        <v>35</v>
      </c>
      <c r="CW6" s="262" t="s">
        <v>23</v>
      </c>
      <c r="CX6" s="288">
        <f>0.693/CX7</f>
        <v>4.3312499999999997E-4</v>
      </c>
      <c r="CZ6" s="262" t="s">
        <v>163</v>
      </c>
      <c r="DA6" s="287">
        <f>B20</f>
        <v>3.8480000000000001E-10</v>
      </c>
      <c r="DB6" s="262" t="s">
        <v>35</v>
      </c>
      <c r="DC6" s="262" t="s">
        <v>438</v>
      </c>
      <c r="DD6" s="287">
        <f>B30</f>
        <v>5.1429999999999997E-10</v>
      </c>
      <c r="DE6" s="267" t="s">
        <v>35</v>
      </c>
      <c r="DF6" s="249" t="s">
        <v>27</v>
      </c>
      <c r="DG6" s="118">
        <f>(DG8*DG9*DG14*((1-EXP(-DG11*DG12))))/(DG13*DG11)</f>
        <v>9.2368970701819411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9.2368970701819411</v>
      </c>
      <c r="DQ6" s="249" t="s">
        <v>19</v>
      </c>
      <c r="DR6" s="262" t="s">
        <v>438</v>
      </c>
      <c r="DS6" s="287">
        <f>B30</f>
        <v>5.1429999999999997E-10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5.1429999999999997E-10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5.1429999999999997E-10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5.1429999999999997E-10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</v>
      </c>
      <c r="FS6" s="249" t="s">
        <v>19</v>
      </c>
      <c r="FT6" s="262" t="s">
        <v>181</v>
      </c>
      <c r="FU6" s="305">
        <f>B46</f>
        <v>1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5.1429999999999997E-10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5.1429999999999997E-10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1.8654374300934383E-2</v>
      </c>
      <c r="HF6" s="262" t="s">
        <v>14</v>
      </c>
    </row>
    <row r="7" spans="1:214" x14ac:dyDescent="0.2">
      <c r="A7" s="279" t="s">
        <v>455</v>
      </c>
      <c r="B7" s="363">
        <v>0.624</v>
      </c>
      <c r="C7" s="241"/>
      <c r="D7" s="266" t="s">
        <v>270</v>
      </c>
      <c r="E7" s="287">
        <f>B31</f>
        <v>1600</v>
      </c>
      <c r="F7" s="249" t="s">
        <v>69</v>
      </c>
      <c r="G7" s="262" t="s">
        <v>43</v>
      </c>
      <c r="H7" s="290">
        <f>B19</f>
        <v>2.8231E-8</v>
      </c>
      <c r="I7" s="263" t="s">
        <v>35</v>
      </c>
      <c r="J7" s="262" t="s">
        <v>43</v>
      </c>
      <c r="K7" s="290">
        <f>B19</f>
        <v>2.8231E-8</v>
      </c>
      <c r="L7" s="263" t="s">
        <v>35</v>
      </c>
      <c r="M7" s="262" t="s">
        <v>23</v>
      </c>
      <c r="N7" s="288">
        <f>0.693/N8</f>
        <v>4.3312499999999997E-4</v>
      </c>
      <c r="P7" s="262" t="s">
        <v>23</v>
      </c>
      <c r="Q7" s="288">
        <f>0.693/Q8</f>
        <v>4.3312499999999997E-4</v>
      </c>
      <c r="S7" s="262" t="s">
        <v>23</v>
      </c>
      <c r="T7" s="288">
        <f>0.693/T8</f>
        <v>4.3312499999999997E-4</v>
      </c>
      <c r="V7" s="266" t="s">
        <v>270</v>
      </c>
      <c r="W7" s="287">
        <f>B31</f>
        <v>1600</v>
      </c>
      <c r="X7" s="249" t="s">
        <v>69</v>
      </c>
      <c r="Y7" s="266" t="s">
        <v>270</v>
      </c>
      <c r="Z7" s="287">
        <f>B31</f>
        <v>1600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4.3312499999999997E-4</v>
      </c>
      <c r="AL7" s="262" t="s">
        <v>23</v>
      </c>
      <c r="AM7" s="288">
        <f>0.693/AM8</f>
        <v>4.3312499999999997E-4</v>
      </c>
      <c r="AO7" s="262" t="s">
        <v>23</v>
      </c>
      <c r="AP7" s="288">
        <f>0.693/AP8</f>
        <v>4.3312499999999997E-4</v>
      </c>
      <c r="AR7" s="262" t="s">
        <v>23</v>
      </c>
      <c r="AS7" s="288">
        <f>0.693/AS8</f>
        <v>4.3312499999999997E-4</v>
      </c>
      <c r="AU7" s="262" t="s">
        <v>23</v>
      </c>
      <c r="AV7" s="288">
        <f>0.693/AV8</f>
        <v>4.3312499999999997E-4</v>
      </c>
      <c r="AX7" s="262" t="s">
        <v>23</v>
      </c>
      <c r="AY7" s="288">
        <f>0.693/AY8</f>
        <v>4.3312499999999997E-4</v>
      </c>
      <c r="BA7" s="262" t="s">
        <v>23</v>
      </c>
      <c r="BB7" s="288">
        <f>0.693/BB8</f>
        <v>4.3312499999999997E-4</v>
      </c>
      <c r="BD7" s="262" t="s">
        <v>23</v>
      </c>
      <c r="BE7" s="288">
        <f>0.693/BE8</f>
        <v>4.3312499999999997E-4</v>
      </c>
      <c r="BG7" s="262" t="s">
        <v>23</v>
      </c>
      <c r="BH7" s="288">
        <f>0.693/BH8</f>
        <v>4.3312499999999997E-4</v>
      </c>
      <c r="BJ7" s="262" t="s">
        <v>23</v>
      </c>
      <c r="BK7" s="288">
        <f>0.693/BK8</f>
        <v>4.3312499999999997E-4</v>
      </c>
      <c r="BM7" s="262" t="s">
        <v>23</v>
      </c>
      <c r="BN7" s="288">
        <f>0.693/BN8</f>
        <v>4.3312499999999997E-4</v>
      </c>
      <c r="BP7" s="262" t="s">
        <v>23</v>
      </c>
      <c r="BQ7" s="288">
        <f>0.693/BQ8</f>
        <v>4.3312499999999997E-4</v>
      </c>
      <c r="BS7" s="266" t="s">
        <v>270</v>
      </c>
      <c r="BT7" s="287">
        <f>B31</f>
        <v>1600</v>
      </c>
      <c r="BU7" s="249" t="s">
        <v>69</v>
      </c>
      <c r="BV7" s="262" t="s">
        <v>43</v>
      </c>
      <c r="BW7" s="290">
        <f>E10</f>
        <v>2.8231E-8</v>
      </c>
      <c r="BX7" s="263" t="s">
        <v>35</v>
      </c>
      <c r="BY7" s="262" t="s">
        <v>43</v>
      </c>
      <c r="BZ7" s="290">
        <f>B19</f>
        <v>2.8231E-8</v>
      </c>
      <c r="CA7" s="263" t="s">
        <v>35</v>
      </c>
      <c r="CB7" s="262" t="s">
        <v>23</v>
      </c>
      <c r="CC7" s="288">
        <f>0.693/CC8</f>
        <v>4.3312499999999997E-4</v>
      </c>
      <c r="CE7" s="262" t="s">
        <v>23</v>
      </c>
      <c r="CF7" s="288">
        <f>0.693/CF8</f>
        <v>4.3312499999999997E-4</v>
      </c>
      <c r="CH7" s="262" t="s">
        <v>23</v>
      </c>
      <c r="CI7" s="288">
        <f>0.693/CI8</f>
        <v>4.3312499999999997E-4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2.8231E-8</v>
      </c>
      <c r="CV7" s="263" t="s">
        <v>35</v>
      </c>
      <c r="CW7" s="266" t="s">
        <v>270</v>
      </c>
      <c r="CX7" s="287">
        <f>B31</f>
        <v>1600</v>
      </c>
      <c r="CY7" s="249" t="s">
        <v>69</v>
      </c>
      <c r="CZ7" s="263" t="s">
        <v>43</v>
      </c>
      <c r="DA7" s="290">
        <f>B19</f>
        <v>2.8231E-8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3.6423470278489711</v>
      </c>
      <c r="DH7" s="249" t="s">
        <v>19</v>
      </c>
      <c r="DI7" s="262" t="s">
        <v>37</v>
      </c>
      <c r="DJ7" s="287">
        <f>B44</f>
        <v>1.4789999999999999E-2</v>
      </c>
      <c r="DL7" s="262" t="s">
        <v>37</v>
      </c>
      <c r="DM7" s="287">
        <f>B44</f>
        <v>1.4789999999999999E-2</v>
      </c>
      <c r="DO7" s="249" t="s">
        <v>36</v>
      </c>
      <c r="DP7" s="118">
        <f>(DP8*DP9*DP15*DP21*((1-EXP(-DP16*DP17))))/(DP18*DP16)</f>
        <v>3.6423470278489711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1.7000000000000001E-2</v>
      </c>
      <c r="EA7" s="262" t="s">
        <v>38</v>
      </c>
      <c r="EB7" s="287">
        <f>B45</f>
        <v>1.7000000000000001E-2</v>
      </c>
      <c r="EC7" s="263"/>
      <c r="ED7" s="262" t="s">
        <v>38</v>
      </c>
      <c r="EE7" s="287">
        <f>B45</f>
        <v>1.7000000000000001E-2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1.7000000000000001E-2</v>
      </c>
      <c r="EP7" s="262" t="s">
        <v>38</v>
      </c>
      <c r="EQ7" s="287">
        <f>B45</f>
        <v>1.7000000000000001E-2</v>
      </c>
      <c r="ER7" s="263"/>
      <c r="ES7" s="262" t="s">
        <v>38</v>
      </c>
      <c r="ET7" s="287">
        <f>B45</f>
        <v>1.7000000000000001E-2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1.7000000000000001E-2</v>
      </c>
      <c r="FD7" s="262"/>
      <c r="FE7" s="262" t="s">
        <v>38</v>
      </c>
      <c r="FF7" s="305">
        <f>B45</f>
        <v>1.7000000000000001E-2</v>
      </c>
      <c r="FG7" s="263"/>
      <c r="FH7" s="263" t="s">
        <v>38</v>
      </c>
      <c r="FI7" s="290">
        <f>B45</f>
        <v>1.7000000000000001E-2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1.7000000000000001E-2</v>
      </c>
      <c r="GH7" s="262"/>
      <c r="GI7" s="262" t="s">
        <v>38</v>
      </c>
      <c r="GJ7" s="305">
        <f>B45</f>
        <v>1.7000000000000001E-2</v>
      </c>
      <c r="GK7" s="262"/>
      <c r="GL7" s="262" t="s">
        <v>38</v>
      </c>
      <c r="GM7" s="305">
        <f>B45</f>
        <v>1.7000000000000001E-2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1.7000000000000001E-2</v>
      </c>
      <c r="GW7" s="262"/>
      <c r="GX7" s="262" t="s">
        <v>38</v>
      </c>
      <c r="GY7" s="305">
        <f>B45</f>
        <v>1.7000000000000001E-2</v>
      </c>
      <c r="GZ7" s="262"/>
      <c r="HA7" s="262" t="s">
        <v>38</v>
      </c>
      <c r="HB7" s="305">
        <f>B45</f>
        <v>1.7000000000000001E-2</v>
      </c>
      <c r="HC7" s="263"/>
      <c r="HD7" s="262" t="s">
        <v>23</v>
      </c>
      <c r="HE7" s="288">
        <f>0.693/HE8</f>
        <v>4.3312499999999997E-4</v>
      </c>
    </row>
    <row r="8" spans="1:214" x14ac:dyDescent="0.2">
      <c r="A8" s="279" t="s">
        <v>458</v>
      </c>
      <c r="B8" s="363">
        <v>6.8599999999999994E-2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1.6813889280000001E-11</v>
      </c>
      <c r="I8" s="263" t="s">
        <v>35</v>
      </c>
      <c r="J8" s="262" t="s">
        <v>71</v>
      </c>
      <c r="K8" s="287">
        <f>B23</f>
        <v>8.3719157040000005E-6</v>
      </c>
      <c r="L8" s="262" t="s">
        <v>445</v>
      </c>
      <c r="M8" s="266" t="s">
        <v>270</v>
      </c>
      <c r="N8" s="287">
        <f>B31</f>
        <v>1600</v>
      </c>
      <c r="O8" s="249" t="s">
        <v>69</v>
      </c>
      <c r="P8" s="266" t="s">
        <v>270</v>
      </c>
      <c r="Q8" s="287">
        <f>B31</f>
        <v>1600</v>
      </c>
      <c r="R8" s="249" t="s">
        <v>69</v>
      </c>
      <c r="S8" s="266" t="s">
        <v>270</v>
      </c>
      <c r="T8" s="287">
        <f>B31</f>
        <v>1600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1600</v>
      </c>
      <c r="AK8" s="249" t="s">
        <v>69</v>
      </c>
      <c r="AL8" s="266" t="s">
        <v>270</v>
      </c>
      <c r="AM8" s="287">
        <f>B31</f>
        <v>1600</v>
      </c>
      <c r="AN8" s="249" t="s">
        <v>69</v>
      </c>
      <c r="AO8" s="266" t="s">
        <v>270</v>
      </c>
      <c r="AP8" s="287">
        <f>B31</f>
        <v>1600</v>
      </c>
      <c r="AQ8" s="249" t="s">
        <v>69</v>
      </c>
      <c r="AR8" s="266" t="s">
        <v>270</v>
      </c>
      <c r="AS8" s="287">
        <f>B31</f>
        <v>1600</v>
      </c>
      <c r="AT8" s="249" t="s">
        <v>69</v>
      </c>
      <c r="AU8" s="266" t="s">
        <v>270</v>
      </c>
      <c r="AV8" s="287">
        <f>B31</f>
        <v>1600</v>
      </c>
      <c r="AW8" s="249" t="s">
        <v>69</v>
      </c>
      <c r="AX8" s="266" t="s">
        <v>270</v>
      </c>
      <c r="AY8" s="287">
        <f>B31</f>
        <v>1600</v>
      </c>
      <c r="AZ8" s="249" t="s">
        <v>69</v>
      </c>
      <c r="BA8" s="266" t="s">
        <v>270</v>
      </c>
      <c r="BB8" s="287">
        <f>B31</f>
        <v>1600</v>
      </c>
      <c r="BC8" s="249" t="s">
        <v>69</v>
      </c>
      <c r="BD8" s="266" t="s">
        <v>270</v>
      </c>
      <c r="BE8" s="287">
        <f>B31</f>
        <v>1600</v>
      </c>
      <c r="BF8" s="249" t="s">
        <v>69</v>
      </c>
      <c r="BG8" s="266" t="s">
        <v>270</v>
      </c>
      <c r="BH8" s="287">
        <f>B31</f>
        <v>1600</v>
      </c>
      <c r="BI8" s="249" t="s">
        <v>69</v>
      </c>
      <c r="BJ8" s="266" t="s">
        <v>270</v>
      </c>
      <c r="BK8" s="287">
        <f>B31</f>
        <v>1600</v>
      </c>
      <c r="BL8" s="249" t="s">
        <v>69</v>
      </c>
      <c r="BM8" s="266" t="s">
        <v>270</v>
      </c>
      <c r="BN8" s="287">
        <f>B31</f>
        <v>1600</v>
      </c>
      <c r="BO8" s="249" t="s">
        <v>69</v>
      </c>
      <c r="BP8" s="266" t="s">
        <v>270</v>
      </c>
      <c r="BQ8" s="287">
        <f>B31</f>
        <v>1600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1.6813889280000001E-11</v>
      </c>
      <c r="BX8" s="263" t="s">
        <v>35</v>
      </c>
      <c r="BY8" s="262" t="s">
        <v>71</v>
      </c>
      <c r="BZ8" s="287">
        <f>B23</f>
        <v>8.3719157040000005E-6</v>
      </c>
      <c r="CA8" s="262" t="s">
        <v>95</v>
      </c>
      <c r="CB8" s="266" t="s">
        <v>270</v>
      </c>
      <c r="CC8" s="287">
        <f>B31</f>
        <v>1600</v>
      </c>
      <c r="CD8" s="249" t="s">
        <v>69</v>
      </c>
      <c r="CE8" s="266" t="s">
        <v>270</v>
      </c>
      <c r="CF8" s="287">
        <f>B31</f>
        <v>1600</v>
      </c>
      <c r="CG8" s="249" t="s">
        <v>69</v>
      </c>
      <c r="CH8" s="266" t="s">
        <v>270</v>
      </c>
      <c r="CI8" s="287">
        <f>B31</f>
        <v>1600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1.7000000000000001E-2</v>
      </c>
      <c r="CT8" s="262" t="s">
        <v>71</v>
      </c>
      <c r="CU8" s="287">
        <f>B23</f>
        <v>8.3719157040000005E-6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1.6813889280000001E-11</v>
      </c>
      <c r="DB8" s="262" t="s">
        <v>35</v>
      </c>
      <c r="DC8" s="262" t="s">
        <v>380</v>
      </c>
      <c r="DD8" s="311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1600</v>
      </c>
      <c r="HF8" s="249" t="s">
        <v>69</v>
      </c>
    </row>
    <row r="9" spans="1:214" x14ac:dyDescent="0.2">
      <c r="A9" s="279" t="s">
        <v>459</v>
      </c>
      <c r="B9" s="363">
        <v>0.73699999999999999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5.1429999999999997E-10</v>
      </c>
      <c r="I9" s="267" t="s">
        <v>35</v>
      </c>
      <c r="J9" s="262" t="s">
        <v>438</v>
      </c>
      <c r="K9" s="287">
        <f>B30</f>
        <v>5.1429999999999997E-10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2.9489E-10</v>
      </c>
      <c r="AD9" s="287">
        <f>B22</f>
        <v>2.9489E-10</v>
      </c>
      <c r="AE9" s="287">
        <f>B22</f>
        <v>2.9489E-10</v>
      </c>
      <c r="AF9" s="287">
        <f>B22</f>
        <v>2.9489E-10</v>
      </c>
      <c r="AG9" s="287">
        <f>B22</f>
        <v>2.9489E-10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5.1429999999999997E-10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5.1429999999999997E-10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5.1429999999999997E-10</v>
      </c>
      <c r="DB9" s="263" t="s">
        <v>35</v>
      </c>
      <c r="DC9" s="262" t="s">
        <v>381</v>
      </c>
      <c r="DD9" s="311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3.8000000000000002E-4</v>
      </c>
      <c r="EA9" s="262" t="s">
        <v>278</v>
      </c>
      <c r="EB9" s="287">
        <f>B37</f>
        <v>3.8000000000000002E-4</v>
      </c>
      <c r="EC9" s="263"/>
      <c r="ED9" s="262" t="s">
        <v>278</v>
      </c>
      <c r="EE9" s="287">
        <f>B37</f>
        <v>3.8000000000000002E-4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1.6999999999999999E-3</v>
      </c>
      <c r="EP9" s="262" t="s">
        <v>275</v>
      </c>
      <c r="EQ9" s="310">
        <f>B38</f>
        <v>1.6999999999999999E-3</v>
      </c>
      <c r="ER9" s="263"/>
      <c r="ES9" s="262" t="s">
        <v>275</v>
      </c>
      <c r="ET9" s="310">
        <f>B38</f>
        <v>1.6999999999999999E-3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0.10100000000000001</v>
      </c>
      <c r="C10" s="241"/>
      <c r="D10" s="88" t="s">
        <v>43</v>
      </c>
      <c r="E10" s="187">
        <f>B19</f>
        <v>2.8231E-8</v>
      </c>
      <c r="F10" s="188" t="s">
        <v>35</v>
      </c>
      <c r="G10" s="266" t="s">
        <v>80</v>
      </c>
      <c r="H10" s="294">
        <f>H5/(H6*H15)</f>
        <v>4.7250047250047249</v>
      </c>
      <c r="I10" s="271" t="s">
        <v>14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2.8231E-8</v>
      </c>
      <c r="X10" s="263" t="s">
        <v>44</v>
      </c>
      <c r="Y10" s="249" t="s">
        <v>43</v>
      </c>
      <c r="Z10" s="290">
        <f>B19</f>
        <v>2.8231E-8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2.8231E-8</v>
      </c>
      <c r="BU10" s="263" t="s">
        <v>35</v>
      </c>
      <c r="BV10" s="266" t="s">
        <v>80</v>
      </c>
      <c r="BW10" s="294">
        <f>BW5/(BW6*BW12)</f>
        <v>2.6653872807718964</v>
      </c>
      <c r="BX10" s="271" t="s">
        <v>12</v>
      </c>
      <c r="BY10" s="188" t="s">
        <v>16</v>
      </c>
      <c r="BZ10" s="191">
        <f>(BZ33*BZ11)/(1-EXP(-BZ11*BZ33))</f>
        <v>1.0056411929569626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2.8231E-8</v>
      </c>
      <c r="CY10" s="263" t="s">
        <v>35</v>
      </c>
      <c r="CZ10" s="263" t="s">
        <v>16</v>
      </c>
      <c r="DA10" s="288">
        <f>(DA38*DA11)/(1-EXP(-DA11*DA38))</f>
        <v>1.0065109447553271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1.4789999999999999E-2</v>
      </c>
      <c r="DL10" s="267"/>
      <c r="DO10" s="267" t="s">
        <v>37</v>
      </c>
      <c r="DP10" s="287">
        <f>B44</f>
        <v>1.4789999999999999E-2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0.751</v>
      </c>
      <c r="C11" s="241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H5/(H7*H16*H28)</f>
        <v>1.8735631746474118E-2</v>
      </c>
      <c r="I11" s="271" t="s">
        <v>14</v>
      </c>
      <c r="J11" s="188" t="s">
        <v>16</v>
      </c>
      <c r="K11" s="109">
        <f>(K46*K12)/(1-EXP(-K12*K46))</f>
        <v>1.0043375032343622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BW5/(BW8*(1/BW31)*BW15)</f>
        <v>2671783.7958236467</v>
      </c>
      <c r="BX11" s="271" t="s">
        <v>12</v>
      </c>
      <c r="BY11" s="266" t="s">
        <v>23</v>
      </c>
      <c r="BZ11" s="109">
        <f>0.693/BZ12</f>
        <v>4.3312499999999997E-4</v>
      </c>
      <c r="CA11" s="88"/>
      <c r="CB11" s="249" t="s">
        <v>456</v>
      </c>
      <c r="CC11" s="287">
        <f>B3</f>
        <v>0.124</v>
      </c>
      <c r="CE11" s="249" t="s">
        <v>454</v>
      </c>
      <c r="CF11" s="287">
        <f>B6</f>
        <v>5.8099999999999999E-2</v>
      </c>
      <c r="CH11" s="249" t="s">
        <v>460</v>
      </c>
      <c r="CI11" s="287">
        <f>B10</f>
        <v>0.10100000000000001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1.0065109447553271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4.3312499999999997E-4</v>
      </c>
      <c r="DC11" s="262" t="s">
        <v>382</v>
      </c>
      <c r="DD11" s="311">
        <f>B141</f>
        <v>55</v>
      </c>
      <c r="DE11" s="267" t="s">
        <v>254</v>
      </c>
      <c r="DF11" s="267" t="s">
        <v>55</v>
      </c>
      <c r="DG11" s="288">
        <f>DG19+DG20</f>
        <v>2.8186643835616437E-5</v>
      </c>
      <c r="DL11" s="267"/>
      <c r="DO11" s="267" t="s">
        <v>55</v>
      </c>
      <c r="DP11" s="288">
        <f>DP19+DP20</f>
        <v>2.8186643835616437E-5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3.44E-2</v>
      </c>
      <c r="C12" s="241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H5/(H8*(1/H45)*H21)</f>
        <v>1184086.0004218435</v>
      </c>
      <c r="I12" s="271" t="s">
        <v>14</v>
      </c>
      <c r="J12" s="266" t="s">
        <v>23</v>
      </c>
      <c r="K12" s="109">
        <f>0.693/K13</f>
        <v>4.3312499999999997E-4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1600</v>
      </c>
      <c r="CA12" s="88" t="s">
        <v>69</v>
      </c>
      <c r="CB12" s="249" t="s">
        <v>457</v>
      </c>
      <c r="CC12" s="287">
        <f>B4</f>
        <v>0.79200000000000004</v>
      </c>
      <c r="CE12" s="249" t="s">
        <v>455</v>
      </c>
      <c r="CF12" s="287">
        <f>B7</f>
        <v>0.624</v>
      </c>
      <c r="CH12" s="249" t="s">
        <v>461</v>
      </c>
      <c r="CI12" s="287">
        <f>B11</f>
        <v>0.751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4.3312499999999997E-4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1600</v>
      </c>
      <c r="DB12" s="249" t="s">
        <v>69</v>
      </c>
      <c r="DC12" s="262" t="s">
        <v>383</v>
      </c>
      <c r="DD12" s="311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0.45600000000000002</v>
      </c>
      <c r="C13" s="242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>
        <f>H14/((1/H42)*(H50+H51+H52))</f>
        <v>47.951433994463258</v>
      </c>
      <c r="I13" s="271" t="s">
        <v>14</v>
      </c>
      <c r="J13" s="266" t="s">
        <v>270</v>
      </c>
      <c r="K13" s="189">
        <f>B31</f>
        <v>1600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0.124</v>
      </c>
      <c r="BM13" s="249" t="s">
        <v>454</v>
      </c>
      <c r="BN13" s="287">
        <f>B6</f>
        <v>5.8099999999999999E-2</v>
      </c>
      <c r="BP13" s="249" t="s">
        <v>460</v>
      </c>
      <c r="BQ13" s="287">
        <f>B10</f>
        <v>0.10100000000000001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>
        <f>(BZ5/(BZ6*BZ16*(1/BZ36)))*BZ10</f>
        <v>138.48187652840909</v>
      </c>
      <c r="CA13" s="271" t="s">
        <v>13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1600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>
        <f>DA5/(DA6*DA23)</f>
        <v>3.1500031500031502</v>
      </c>
      <c r="DB13" s="266" t="s">
        <v>14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thickTop="1" x14ac:dyDescent="0.2">
      <c r="A14" s="583" t="s">
        <v>272</v>
      </c>
      <c r="B14" s="584"/>
      <c r="C14" s="685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>
        <f>H5/(H9*(H22+H25)*H43)</f>
        <v>0.64277369705754273</v>
      </c>
      <c r="I14" s="271" t="s">
        <v>13</v>
      </c>
      <c r="J14" s="266" t="s">
        <v>80</v>
      </c>
      <c r="K14" s="294">
        <f>(K5/(K6*K19*(1/K49)))*K11</f>
        <v>245.17235102896586</v>
      </c>
      <c r="L14" s="271" t="s">
        <v>13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7.7413948559999998E-9</v>
      </c>
      <c r="X14" s="262" t="s">
        <v>64</v>
      </c>
      <c r="Y14" s="262" t="s">
        <v>63</v>
      </c>
      <c r="Z14" s="287">
        <f>B28</f>
        <v>7.7413948559999998E-9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0.79200000000000004</v>
      </c>
      <c r="BM14" s="249" t="s">
        <v>455</v>
      </c>
      <c r="BN14" s="287">
        <f>B7</f>
        <v>0.624</v>
      </c>
      <c r="BP14" s="249" t="s">
        <v>461</v>
      </c>
      <c r="BQ14" s="287">
        <f>B11</f>
        <v>0.751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(BZ5/(BZ7*BZ17*(1/BZ9)*BZ35))*BZ10</f>
        <v>108357.82005661188</v>
      </c>
      <c r="CA14" s="271" t="s">
        <v>13</v>
      </c>
      <c r="CB14" s="249" t="s">
        <v>71</v>
      </c>
      <c r="CC14" s="290">
        <f>B23</f>
        <v>8.3719157040000005E-6</v>
      </c>
      <c r="CD14" s="263" t="s">
        <v>72</v>
      </c>
      <c r="CE14" s="249" t="s">
        <v>71</v>
      </c>
      <c r="CF14" s="290">
        <f>B25</f>
        <v>1.5599552831999999E-6</v>
      </c>
      <c r="CG14" s="263" t="s">
        <v>72</v>
      </c>
      <c r="CH14" s="249" t="s">
        <v>71</v>
      </c>
      <c r="CI14" s="290">
        <f>B27</f>
        <v>7.0991976959999998E-6</v>
      </c>
      <c r="CJ14" s="263" t="s">
        <v>72</v>
      </c>
      <c r="CK14" s="263"/>
      <c r="CL14" s="307"/>
      <c r="CM14" s="263"/>
      <c r="CO14" s="308"/>
      <c r="CQ14" s="263"/>
      <c r="CR14" s="307"/>
      <c r="CS14" s="263"/>
      <c r="CT14" s="266" t="s">
        <v>80</v>
      </c>
      <c r="CU14" s="294">
        <f>(CU5/(CU6*CU24*(1/CU47)))*CU11</f>
        <v>163.80194497524116</v>
      </c>
      <c r="CV14" s="271" t="s">
        <v>13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DA5/(DA7*DA24*DA46)</f>
        <v>1.2490421164316078E-2</v>
      </c>
      <c r="DB14" s="266" t="s">
        <v>14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(K5/(K7*K20*(1/K10)*K48))*K11</f>
        <v>12789.322887895811</v>
      </c>
      <c r="L15" s="271" t="s">
        <v>13</v>
      </c>
      <c r="M15" s="249" t="s">
        <v>448</v>
      </c>
      <c r="N15" s="290">
        <f>B23</f>
        <v>8.3719157040000005E-6</v>
      </c>
      <c r="O15" s="263" t="s">
        <v>446</v>
      </c>
      <c r="P15" s="249" t="s">
        <v>449</v>
      </c>
      <c r="Q15" s="290">
        <f>B25</f>
        <v>1.5599552831999999E-6</v>
      </c>
      <c r="R15" s="263" t="s">
        <v>446</v>
      </c>
      <c r="S15" s="249" t="s">
        <v>453</v>
      </c>
      <c r="T15" s="290">
        <f>B27</f>
        <v>7.0991976959999998E-6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8.3719157040000005E-6</v>
      </c>
      <c r="AK15" s="263" t="s">
        <v>72</v>
      </c>
      <c r="AL15" s="262" t="s">
        <v>449</v>
      </c>
      <c r="AM15" s="290">
        <f>B25</f>
        <v>1.5599552831999999E-6</v>
      </c>
      <c r="AN15" s="263" t="s">
        <v>72</v>
      </c>
      <c r="AO15" s="262" t="s">
        <v>452</v>
      </c>
      <c r="AP15" s="290">
        <f>B27</f>
        <v>7.0991976959999998E-6</v>
      </c>
      <c r="AQ15" s="263" t="s">
        <v>72</v>
      </c>
      <c r="AR15" s="249" t="s">
        <v>448</v>
      </c>
      <c r="AS15" s="290">
        <f>B23</f>
        <v>8.3719157040000005E-6</v>
      </c>
      <c r="AT15" s="263" t="s">
        <v>72</v>
      </c>
      <c r="AU15" s="262" t="s">
        <v>449</v>
      </c>
      <c r="AV15" s="290">
        <f>B25</f>
        <v>1.5599552831999999E-6</v>
      </c>
      <c r="AW15" s="263" t="s">
        <v>72</v>
      </c>
      <c r="AX15" s="262" t="s">
        <v>452</v>
      </c>
      <c r="AY15" s="290">
        <f>B27</f>
        <v>7.0991976959999998E-6</v>
      </c>
      <c r="AZ15" s="263" t="s">
        <v>72</v>
      </c>
      <c r="BA15" s="249" t="s">
        <v>448</v>
      </c>
      <c r="BB15" s="290">
        <f>B23</f>
        <v>8.3719157040000005E-6</v>
      </c>
      <c r="BC15" s="263" t="s">
        <v>72</v>
      </c>
      <c r="BD15" s="262" t="s">
        <v>449</v>
      </c>
      <c r="BE15" s="290">
        <f>B25</f>
        <v>1.5599552831999999E-6</v>
      </c>
      <c r="BF15" s="263" t="s">
        <v>72</v>
      </c>
      <c r="BG15" s="262" t="s">
        <v>452</v>
      </c>
      <c r="BH15" s="290">
        <f>B27</f>
        <v>7.0991976959999998E-6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((BZ5)/(BZ8*BZ22*(1/BZ34)*BZ25*BZ28*(1/24)*BZ31*BZ32))*BZ10</f>
        <v>54.946601466585975</v>
      </c>
      <c r="CA15" s="271" t="s">
        <v>13</v>
      </c>
      <c r="CT15" s="266" t="s">
        <v>74</v>
      </c>
      <c r="CU15" s="295">
        <f>(CU5/(CU7*CU25*(1/CU10)*CU46))*CU11</f>
        <v>8544.6664567253683</v>
      </c>
      <c r="CV15" s="271" t="s">
        <v>13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DA5/(DA8*DA25*(DA47/DA48))</f>
        <v>789390.66694789566</v>
      </c>
      <c r="DB15" s="266" t="s">
        <v>14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s="262" customFormat="1" x14ac:dyDescent="0.2">
      <c r="A16" s="585"/>
      <c r="B16" s="586"/>
      <c r="C16" s="6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(K5/(K8*K45*((K40*K44*(1/24))+(K41*K43*(1/24)))*K32*(1/K47)*K34))*K11</f>
        <v>1.7781883810985055</v>
      </c>
      <c r="L16" s="271" t="s">
        <v>13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(W5)/((W11/W12)*W8*W9*W10*W13)</f>
        <v>0.11241379047884469</v>
      </c>
      <c r="X16" s="88" t="s">
        <v>15</v>
      </c>
      <c r="Y16" s="88" t="s">
        <v>74</v>
      </c>
      <c r="Z16" s="294">
        <f>(Z5)/((Z11/Z12)*Z8*Z9*Z10*Z13)</f>
        <v>0.11241379047884469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0.124</v>
      </c>
      <c r="AG16" s="305">
        <f>B3</f>
        <v>0.124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8.3719157040000005E-6</v>
      </c>
      <c r="BL16" s="263" t="s">
        <v>72</v>
      </c>
      <c r="BM16" s="262" t="s">
        <v>449</v>
      </c>
      <c r="BN16" s="290">
        <f>B25</f>
        <v>1.5599552831999999E-6</v>
      </c>
      <c r="BO16" s="263" t="s">
        <v>72</v>
      </c>
      <c r="BP16" s="262" t="s">
        <v>452</v>
      </c>
      <c r="BQ16" s="290">
        <f>B27</f>
        <v>7.0991976959999998E-6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C16" s="293"/>
      <c r="CH16" s="249"/>
      <c r="CI16" s="289"/>
      <c r="CJ16" s="249"/>
      <c r="CL16" s="293"/>
      <c r="CO16" s="293"/>
      <c r="CR16" s="293"/>
      <c r="CT16" s="266" t="s">
        <v>117</v>
      </c>
      <c r="CU16" s="295">
        <f>(CU5*CU44*CU12)/((1-EXP(-CU12*CU44))*CU8*CU31*(1/365)*CU32*((CU38*(1/24)*CU42)+(CU39*(1/24)*CU41))*CU43)</f>
        <v>1.4620994209013476</v>
      </c>
      <c r="CV16" s="271" t="s">
        <v>13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>
        <f>DG2</f>
        <v>3.995952832871938</v>
      </c>
      <c r="DB16" s="266" t="s">
        <v>14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4.9501186643835612E-2</v>
      </c>
      <c r="DH16" s="262" t="s">
        <v>82</v>
      </c>
      <c r="DJ16" s="293"/>
      <c r="DL16" s="267"/>
      <c r="DM16" s="293"/>
      <c r="DO16" s="267" t="s">
        <v>81</v>
      </c>
      <c r="DP16" s="299">
        <f>DP20+(0.693/DP22)</f>
        <v>4.9501186643835612E-2</v>
      </c>
      <c r="DQ16" s="262" t="s">
        <v>82</v>
      </c>
      <c r="DR16" s="267" t="s">
        <v>400</v>
      </c>
      <c r="DS16" s="297">
        <f>B175</f>
        <v>2</v>
      </c>
      <c r="DT16" s="249"/>
      <c r="DU16" s="267"/>
      <c r="DV16" s="293"/>
      <c r="DY16" s="293"/>
      <c r="EA16" s="267"/>
      <c r="EB16" s="293"/>
      <c r="ED16" s="267" t="s">
        <v>81</v>
      </c>
      <c r="EE16" s="299">
        <f>EE20+(0.693/EE22)</f>
        <v>4.9501186643835612E-2</v>
      </c>
      <c r="EF16" s="262" t="s">
        <v>82</v>
      </c>
      <c r="EG16" s="267" t="s">
        <v>401</v>
      </c>
      <c r="EH16" s="297">
        <f>B176</f>
        <v>2</v>
      </c>
      <c r="EI16" s="249"/>
      <c r="EJ16" s="267"/>
      <c r="EK16" s="293"/>
      <c r="EN16" s="293"/>
      <c r="EP16" s="267"/>
      <c r="EQ16" s="293"/>
      <c r="ES16" s="267" t="s">
        <v>81</v>
      </c>
      <c r="ET16" s="299">
        <f>ET20+(0.693/ET22)</f>
        <v>4.9501186643835612E-2</v>
      </c>
      <c r="EU16" s="262" t="s">
        <v>82</v>
      </c>
      <c r="EV16" s="267" t="s">
        <v>402</v>
      </c>
      <c r="EW16" s="297">
        <f>B177</f>
        <v>2</v>
      </c>
      <c r="EX16" s="249"/>
      <c r="EZ16" s="293"/>
      <c r="FC16" s="293"/>
      <c r="FF16" s="293"/>
      <c r="FH16" s="262" t="s">
        <v>81</v>
      </c>
      <c r="FI16" s="299">
        <f>FI20+(0.693/FI22)</f>
        <v>4.9501186643835612E-2</v>
      </c>
      <c r="FJ16" s="262" t="s">
        <v>82</v>
      </c>
      <c r="FK16" s="267" t="s">
        <v>403</v>
      </c>
      <c r="FL16" s="297">
        <f>B178</f>
        <v>2</v>
      </c>
      <c r="FM16" s="249"/>
      <c r="FO16" s="293"/>
      <c r="FR16" s="293"/>
      <c r="FU16" s="293"/>
      <c r="FX16" s="293"/>
      <c r="FZ16" s="267" t="s">
        <v>404</v>
      </c>
      <c r="GA16" s="297">
        <f>B179</f>
        <v>2</v>
      </c>
      <c r="GB16" s="249"/>
      <c r="GD16" s="293"/>
      <c r="GG16" s="293"/>
      <c r="GJ16" s="293"/>
      <c r="GL16" s="262" t="s">
        <v>81</v>
      </c>
      <c r="GM16" s="299">
        <f>GM20+(0.693/GM22)</f>
        <v>4.9501186643835612E-2</v>
      </c>
      <c r="GN16" s="262" t="s">
        <v>82</v>
      </c>
      <c r="GP16" s="297">
        <v>365</v>
      </c>
      <c r="GQ16" s="249" t="s">
        <v>26</v>
      </c>
      <c r="GS16" s="293"/>
      <c r="GV16" s="293"/>
      <c r="GY16" s="293"/>
      <c r="HA16" s="262" t="s">
        <v>81</v>
      </c>
      <c r="HB16" s="299">
        <f>HB20+(0.693/HB22)</f>
        <v>4.9501186643835612E-2</v>
      </c>
      <c r="HC16" s="262" t="s">
        <v>82</v>
      </c>
      <c r="HE16" s="293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>
        <f>(K18/(K50+K51))*K11</f>
        <v>2.3492912043651248</v>
      </c>
      <c r="L17" s="271" t="s">
        <v>13</v>
      </c>
      <c r="M17" s="262"/>
      <c r="N17" s="293"/>
      <c r="O17" s="262"/>
      <c r="P17" s="262"/>
      <c r="Q17" s="293"/>
      <c r="R17" s="262"/>
      <c r="S17" s="262"/>
      <c r="T17" s="293"/>
      <c r="U17" s="262"/>
      <c r="V17" s="88" t="s">
        <v>78</v>
      </c>
      <c r="W17" s="296">
        <f>(W5)/((W11/W12)*W8*W9*W14*(1/365))</f>
        <v>8229.6655956920877</v>
      </c>
      <c r="X17" s="88" t="s">
        <v>15</v>
      </c>
      <c r="Y17" s="88" t="s">
        <v>78</v>
      </c>
      <c r="Z17" s="296">
        <f>(Z5)/((Z11/Z12)*Z8*Z9*Z14*(1/365))</f>
        <v>8229.6655956920877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262"/>
      <c r="AJ17" s="293"/>
      <c r="AK17" s="262"/>
      <c r="AL17" s="262"/>
      <c r="AM17" s="293"/>
      <c r="AN17" s="262"/>
      <c r="AO17" s="262"/>
      <c r="AP17" s="293"/>
      <c r="AQ17" s="262"/>
      <c r="AR17" s="262"/>
      <c r="AS17" s="293"/>
      <c r="AT17" s="262"/>
      <c r="AU17" s="262"/>
      <c r="AV17" s="293"/>
      <c r="AW17" s="262"/>
      <c r="AX17" s="262"/>
      <c r="AY17" s="293"/>
      <c r="AZ17" s="262"/>
      <c r="BA17" s="262"/>
      <c r="BB17" s="293"/>
      <c r="BC17" s="262"/>
      <c r="BD17" s="262"/>
      <c r="BE17" s="293"/>
      <c r="BF17" s="262"/>
      <c r="BG17" s="262"/>
      <c r="BH17" s="293"/>
      <c r="BI17" s="262"/>
      <c r="BJ17" s="262"/>
      <c r="BK17" s="293"/>
      <c r="BL17" s="262"/>
      <c r="BM17" s="262"/>
      <c r="BN17" s="293"/>
      <c r="BO17" s="262"/>
      <c r="BP17" s="262"/>
      <c r="BQ17" s="293"/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0.19619793329732452</v>
      </c>
      <c r="CV17" s="271" t="s">
        <v>13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4.3312499999999997E-4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1.0000000000000001E-5</v>
      </c>
      <c r="D18" s="266" t="s">
        <v>63</v>
      </c>
      <c r="E18" s="189">
        <f>B28</f>
        <v>7.7413948559999998E-9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>
        <f>K5/(K9*(K25+K28)*K39)</f>
        <v>0.64277369705754273</v>
      </c>
      <c r="L18" s="271" t="s">
        <v>13</v>
      </c>
      <c r="V18" s="88" t="s">
        <v>74</v>
      </c>
      <c r="W18" s="294">
        <f>(W5*W6*W9)/((W11/W12)*(1-EXP(-W6*W9))*W10*W13*W8*W9)</f>
        <v>0.11253555747075754</v>
      </c>
      <c r="X18" s="88" t="s">
        <v>16</v>
      </c>
      <c r="Y18" s="88" t="s">
        <v>74</v>
      </c>
      <c r="Z18" s="294">
        <f>(Z5*Z6*Z9)/((Z11/Z12)*(1-EXP(-Z6*Z9))*Z10*Z13*Z8*Z9)</f>
        <v>0.11253555747075754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14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13</v>
      </c>
      <c r="CW18" s="266" t="s">
        <v>63</v>
      </c>
      <c r="CX18" s="189">
        <f>B28</f>
        <v>7.7413948559999998E-9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4.3312499999999997E-4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4.3312499999999997E-4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4.3312499999999997E-4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4.3312499999999997E-4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4.3312499999999997E-4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1600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2.8231E-8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(W5*W6*W9)/((W11/W12)*(1-EXP(-W6*W9))*W14*W8*W9*(1/365))</f>
        <v>8238.5799968502342</v>
      </c>
      <c r="X19" s="88" t="s">
        <v>16</v>
      </c>
      <c r="Y19" s="88" t="s">
        <v>78</v>
      </c>
      <c r="Z19" s="296">
        <f>(Z5*Z6*Z9)/((Z11/Z12)*(1-EXP(-Z6*Z9))*Z14*Z8*Z9*(1/365))</f>
        <v>8238.5799968502342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0.79200000000000004</v>
      </c>
      <c r="AG19" s="305">
        <f>B4</f>
        <v>0.79200000000000004</v>
      </c>
      <c r="AH19" s="267"/>
      <c r="BS19" s="262" t="s">
        <v>63</v>
      </c>
      <c r="BT19" s="287">
        <f>E18</f>
        <v>7.7413948559999998E-9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(CC22*CC23*CC24)/((1-EXP(-CC24*CC23))*CC27*CC31*(CC26/365)*CC29*(CC30/24)*CC28)</f>
        <v>1897.3184095813774</v>
      </c>
      <c r="CD19" s="404" t="s">
        <v>94</v>
      </c>
      <c r="CE19" s="402" t="s">
        <v>562</v>
      </c>
      <c r="CF19" s="400">
        <f>(CF22*CF23*CF24)/((1-EXP(-CF24*CF23))*CF27*CF31*(CF26/365)*CF29*(CF30/24)*CF28)</f>
        <v>200.12316882438742</v>
      </c>
      <c r="CG19" s="398" t="s">
        <v>13</v>
      </c>
      <c r="CK19" s="410" t="s">
        <v>510</v>
      </c>
      <c r="CL19" s="400">
        <f>CL22/(CL23*CL24*CL25*CL26)</f>
        <v>9.9712329928157271</v>
      </c>
      <c r="CM19" s="404" t="s">
        <v>13</v>
      </c>
      <c r="CN19" s="402" t="s">
        <v>7</v>
      </c>
      <c r="CO19" s="400">
        <f>CL19/(CO22*((CO27*CO29*CO30*(CO23+CO24))+(CO28*CO29)))</f>
        <v>4629.3852977462875</v>
      </c>
      <c r="CP19" s="412" t="s">
        <v>13</v>
      </c>
      <c r="CQ19" s="402" t="s">
        <v>6</v>
      </c>
      <c r="CR19" s="400">
        <f>CL19/(CR22*CR23*(1/CR24))</f>
        <v>5865431.1722445451</v>
      </c>
      <c r="CS19" s="415" t="s">
        <v>14</v>
      </c>
      <c r="CT19" s="266" t="s">
        <v>258</v>
      </c>
      <c r="CU19" s="295" t="e">
        <f>GV2</f>
        <v>#DIV/0!</v>
      </c>
      <c r="CV19" s="271" t="s">
        <v>13</v>
      </c>
      <c r="CW19" s="266" t="s">
        <v>255</v>
      </c>
      <c r="CX19" s="304">
        <f>B173</f>
        <v>2</v>
      </c>
      <c r="CY19" s="88"/>
      <c r="CZ19" s="266" t="s">
        <v>184</v>
      </c>
      <c r="DA19" s="295">
        <f>EK2</f>
        <v>1189.0005494960094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1600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1600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1600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1600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1600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267"/>
      <c r="GP19" s="292"/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3.8480000000000001E-10</v>
      </c>
      <c r="C20" s="263" t="s">
        <v>35</v>
      </c>
      <c r="D20" s="88" t="s">
        <v>74</v>
      </c>
      <c r="E20" s="294">
        <f>(E5)/(E10*E11)</f>
        <v>5.8548849207731611E-3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AB20" s="262" t="s">
        <v>71</v>
      </c>
      <c r="AC20" s="287">
        <f>B23</f>
        <v>8.3719157040000005E-6</v>
      </c>
      <c r="AD20" s="287">
        <f>B23</f>
        <v>8.3719157040000005E-6</v>
      </c>
      <c r="AE20" s="287">
        <f>B23</f>
        <v>8.3719157040000005E-6</v>
      </c>
      <c r="AF20" s="287">
        <f>B23</f>
        <v>8.3719157040000005E-6</v>
      </c>
      <c r="AG20" s="287">
        <f>B23</f>
        <v>8.3719157040000005E-6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17.412700720793467</v>
      </c>
      <c r="CV20" s="271" t="s">
        <v>13</v>
      </c>
      <c r="CW20" s="88" t="s">
        <v>74</v>
      </c>
      <c r="CX20" s="294">
        <f>(CX5)/((CX14/CX15)*CX10*CX11)</f>
        <v>6.245210582158039E-3</v>
      </c>
      <c r="CY20" s="88" t="s">
        <v>15</v>
      </c>
      <c r="CZ20" s="266" t="s">
        <v>493</v>
      </c>
      <c r="DA20" s="295">
        <f>DV2</f>
        <v>3156.2590959633344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1.1866438356164383E-6</v>
      </c>
      <c r="DH20" s="249" t="s">
        <v>82</v>
      </c>
      <c r="DL20" s="267"/>
      <c r="DO20" s="267" t="s">
        <v>90</v>
      </c>
      <c r="DP20" s="288">
        <f>0.693/B35</f>
        <v>1.1866438356164383E-6</v>
      </c>
      <c r="DQ20" s="249" t="s">
        <v>82</v>
      </c>
      <c r="DU20" s="267"/>
      <c r="EA20" s="267"/>
      <c r="EB20" s="307"/>
      <c r="EC20" s="263"/>
      <c r="ED20" s="267" t="s">
        <v>90</v>
      </c>
      <c r="EE20" s="299">
        <f>0.693/B35</f>
        <v>1.1866438356164383E-6</v>
      </c>
      <c r="EF20" s="263" t="s">
        <v>82</v>
      </c>
      <c r="EJ20" s="267"/>
      <c r="EP20" s="267"/>
      <c r="EQ20" s="307"/>
      <c r="ER20" s="263"/>
      <c r="ES20" s="267" t="s">
        <v>90</v>
      </c>
      <c r="ET20" s="299">
        <f>0.693/B35</f>
        <v>1.1866438356164383E-6</v>
      </c>
      <c r="EU20" s="263" t="s">
        <v>82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1.1866438356164383E-6</v>
      </c>
      <c r="FJ20" s="263" t="s">
        <v>82</v>
      </c>
      <c r="FK20" s="267"/>
      <c r="FL20" s="292"/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267"/>
      <c r="GA20" s="292"/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1.1866438356164383E-6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1.1866438356164383E-6</v>
      </c>
      <c r="HC20" s="263" t="s">
        <v>82</v>
      </c>
    </row>
    <row r="21" spans="1:214" ht="15" thickTop="1" thickBot="1" x14ac:dyDescent="0.25">
      <c r="A21" s="262" t="s">
        <v>316</v>
      </c>
      <c r="B21" s="315">
        <v>6.7709999999999997E-10</v>
      </c>
      <c r="C21" s="262" t="s">
        <v>35</v>
      </c>
      <c r="D21" s="88" t="s">
        <v>78</v>
      </c>
      <c r="E21" s="295">
        <f>(E5)/((E14/E15)*E8*E9*E18*(1/365)*E19)</f>
        <v>428.62841644229633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(N24*N25*N26)/((1-EXP(-N26*N25))*N29*N34*(N28/365)*N32*(((N33/24)*N31)+((N35/24)*N30)))</f>
        <v>6.3425753013157857</v>
      </c>
      <c r="O21" s="637" t="s">
        <v>94</v>
      </c>
      <c r="P21" s="639" t="s">
        <v>516</v>
      </c>
      <c r="Q21" s="647">
        <f>(Q24*Q25*Q26)/((1-EXP(-Q26*Q25))*Q29*Q34*(Q28/365)*Q32*(((Q33/24)*Q31)+((Q35/24)*Q30)))</f>
        <v>2.1562102227276472</v>
      </c>
      <c r="R21" s="643" t="s">
        <v>13</v>
      </c>
      <c r="AB21" s="262" t="s">
        <v>43</v>
      </c>
      <c r="AC21" s="290">
        <f>B19</f>
        <v>2.8231E-8</v>
      </c>
      <c r="AD21" s="290">
        <f>B19</f>
        <v>2.8231E-8</v>
      </c>
      <c r="AE21" s="290">
        <f>B19</f>
        <v>2.8231E-8</v>
      </c>
      <c r="AF21" s="290">
        <f>B19</f>
        <v>2.8231E-8</v>
      </c>
      <c r="AG21" s="290">
        <f>B19</f>
        <v>2.8231E-8</v>
      </c>
      <c r="AH21" s="263" t="s">
        <v>35</v>
      </c>
      <c r="AI21" s="381" t="s">
        <v>516</v>
      </c>
      <c r="AJ21" s="387">
        <f>(AJ24*AJ25*AJ26)/((1-EXP(-AJ26*AJ25))*AJ34*(AJ28/365)*AJ29*(AJ35/24)*AJ30*AJ32)</f>
        <v>105.04189495984048</v>
      </c>
      <c r="AK21" s="629" t="s">
        <v>94</v>
      </c>
      <c r="AL21" s="383" t="s">
        <v>516</v>
      </c>
      <c r="AM21" s="387">
        <f>(AM24*AM25*AM26)/((1-EXP(-AM26*AM25))*AM34*(AM28/365)*AM29*(AM35/24)*AM30*AM32)</f>
        <v>35.709849227979241</v>
      </c>
      <c r="AN21" s="635" t="s">
        <v>13</v>
      </c>
      <c r="AR21" s="381" t="s">
        <v>516</v>
      </c>
      <c r="AS21" s="387">
        <f>(AS24*AS25*AS26)/((1-EXP(-AS26*AS25))*AS34*(AS28/365)*AS29*(AS33/24)*AS31*AS32)</f>
        <v>42.016757983936188</v>
      </c>
      <c r="AT21" s="391" t="s">
        <v>94</v>
      </c>
      <c r="AU21" s="383" t="s">
        <v>516</v>
      </c>
      <c r="AV21" s="387">
        <f>(AV24*AV25*AV26)/((1-EXP(-AV26*AV25))*AV34*(AV28/365)*AV29*(AV33/24)*AV31*AV32)</f>
        <v>14.283939691191698</v>
      </c>
      <c r="AW21" s="385" t="s">
        <v>13</v>
      </c>
      <c r="BA21" s="381" t="s">
        <v>516</v>
      </c>
      <c r="BB21" s="387">
        <f>(BB24*BB25*BB26)/((1-EXP(-BB26*BB25))*BB34*(BB28/365)*BB29*((BB33+BB35)/24)*BB31*BB32)</f>
        <v>42.016757983936188</v>
      </c>
      <c r="BC21" s="391" t="s">
        <v>94</v>
      </c>
      <c r="BD21" s="383" t="s">
        <v>516</v>
      </c>
      <c r="BE21" s="387">
        <f>(BE24*BE25*BE26)/((1-EXP(-BE26*BE25))*BE34*(BE28/365)*BE29*((BE33+BE35)/24)*BE31*BE32)</f>
        <v>14.283939691191698</v>
      </c>
      <c r="BF21" s="385" t="s">
        <v>13</v>
      </c>
      <c r="BJ21" s="381" t="s">
        <v>561</v>
      </c>
      <c r="BK21" s="389">
        <f>(BK24*BK25*BK26)/((1-EXP(-BK26*BK25))*BK31*BK35*(BK28/365)*BK33*(BK34/24)*BK32)</f>
        <v>2678.5468931007872</v>
      </c>
      <c r="BL21" s="391" t="s">
        <v>94</v>
      </c>
      <c r="BM21" s="383" t="s">
        <v>562</v>
      </c>
      <c r="BN21" s="389">
        <f>(BN24*BN25*BN26)/((1-EXP(-BN26*BN25))*BN31*BN35*(BN28/365)*BN33*(BN34/24)*BN32)</f>
        <v>282.52468820471648</v>
      </c>
      <c r="BO21" s="385" t="s">
        <v>13</v>
      </c>
      <c r="BS21" s="88" t="s">
        <v>74</v>
      </c>
      <c r="BT21" s="294">
        <f>(BT5)/(BT10*BT11)</f>
        <v>7.9266134312005881E-2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50.216741612772942</v>
      </c>
      <c r="CV21" s="271" t="s">
        <v>13</v>
      </c>
      <c r="CW21" s="88" t="s">
        <v>78</v>
      </c>
      <c r="CX21" s="296">
        <f>(CX5)/((CX14/CX15)*CX8*CX9*CX18*(1/365)*CX19)</f>
        <v>142.87613881409879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4.3312499999999997E-4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/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2.9489E-10</v>
      </c>
      <c r="C22" s="262" t="s">
        <v>35</v>
      </c>
      <c r="D22" s="88" t="s">
        <v>74</v>
      </c>
      <c r="E22" s="295">
        <f>(E5*E9*E6)/((1-EXP(-E6*E9))*E10*E11)</f>
        <v>5.8802805030538328E-3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(BT5)/((BT14/24)*(BT8/365)*BT9*BT19*BT20)</f>
        <v>5802.9693302957039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1.0000000000000001E-5</v>
      </c>
      <c r="CE22" s="249" t="s">
        <v>17</v>
      </c>
      <c r="CF22" s="287">
        <f>B18</f>
        <v>1.0000000000000001E-5</v>
      </c>
      <c r="CK22" s="249" t="s">
        <v>17</v>
      </c>
      <c r="CL22" s="287">
        <f>B18</f>
        <v>1.0000000000000001E-5</v>
      </c>
      <c r="CM22" s="76"/>
      <c r="CN22" s="249" t="s">
        <v>265</v>
      </c>
      <c r="CO22" s="287">
        <f>B42</f>
        <v>1.6999999999999999E-3</v>
      </c>
      <c r="CQ22" s="262" t="s">
        <v>265</v>
      </c>
      <c r="CR22" s="287">
        <f>CO22</f>
        <v>1.6999999999999999E-3</v>
      </c>
      <c r="CT22" s="266" t="s">
        <v>492</v>
      </c>
      <c r="CU22" s="295" t="e">
        <f>GG2</f>
        <v>#DIV/0!</v>
      </c>
      <c r="CV22" s="271" t="s">
        <v>13</v>
      </c>
      <c r="CW22" s="88" t="s">
        <v>74</v>
      </c>
      <c r="CX22" s="294">
        <f>(CX5*CX9*CX6)/((CX14/CX15)*(1-EXP(-CX6*CX9))*CX10*CX11)</f>
        <v>6.2858728032438539E-3</v>
      </c>
      <c r="CY22" s="88" t="s">
        <v>16</v>
      </c>
      <c r="CZ22" s="266" t="s">
        <v>183</v>
      </c>
      <c r="DA22" s="296">
        <f>FO2</f>
        <v>26.782237377397614</v>
      </c>
      <c r="DB22" s="88"/>
      <c r="DC22" s="266" t="s">
        <v>270</v>
      </c>
      <c r="DD22" s="287">
        <f>B31</f>
        <v>1600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8.3719157040000005E-6</v>
      </c>
      <c r="C23" s="262" t="s">
        <v>95</v>
      </c>
      <c r="D23" s="88" t="s">
        <v>78</v>
      </c>
      <c r="E23" s="296">
        <f>(E5*E9*E6)/((E14/E15)*E8*E9*(1-EXP(-E6*E9))*E18*(1/365)*E19)</f>
        <v>430.48759358495431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97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(BT5*BT28*BT6)/((1-EXP(-BT6*BT28))*BT10*BT11)</f>
        <v>7.9713289870612408E-2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5.1429999999999997E-10</v>
      </c>
      <c r="CM23" s="266" t="s">
        <v>13</v>
      </c>
      <c r="CN23" s="249" t="s">
        <v>21</v>
      </c>
      <c r="CO23" s="290">
        <f>CO25</f>
        <v>1.7000000000000001E-2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2.6956615045385907E-2</v>
      </c>
      <c r="CV23" s="271" t="s">
        <v>13</v>
      </c>
      <c r="CW23" s="88" t="s">
        <v>78</v>
      </c>
      <c r="CX23" s="296">
        <f>(CX5*CX9*CX6)/((CX14/CX15)*CX8*CX9*(1-EXP(-CX6*CX9))*CX18*(1/365)*CX19)</f>
        <v>143.80639746077182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F23" s="262" t="s">
        <v>17</v>
      </c>
      <c r="DG23" s="287">
        <f>B35</f>
        <v>584000</v>
      </c>
      <c r="DH23" s="249" t="s">
        <v>257</v>
      </c>
      <c r="DO23" s="262" t="s">
        <v>20</v>
      </c>
      <c r="DP23" s="305">
        <f>DP25</f>
        <v>1.4789999999999999E-2</v>
      </c>
      <c r="EA23" s="262"/>
      <c r="EB23" s="293"/>
      <c r="EC23" s="263"/>
      <c r="ED23" s="262" t="s">
        <v>20</v>
      </c>
      <c r="EE23" s="305">
        <f>EE25</f>
        <v>1.7000000000000001E-2</v>
      </c>
      <c r="EF23" s="263"/>
      <c r="EP23" s="262"/>
      <c r="EQ23" s="293"/>
      <c r="ER23" s="263"/>
      <c r="ES23" s="262" t="s">
        <v>20</v>
      </c>
      <c r="ET23" s="305">
        <f>ET25</f>
        <v>1.7000000000000001E-2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1.4789999999999999E-2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1.4789999999999999E-2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1.4789999999999999E-2</v>
      </c>
      <c r="HC23" s="263"/>
      <c r="HD23" s="219" t="s">
        <v>574</v>
      </c>
      <c r="HE23" s="348">
        <f>(HE25*HE33*HE38*HE32*10^-3*HE31*HE27)/(HE30*HE41*(1-EXP(-HE27*HE31)))</f>
        <v>7.0780401104868565E-2</v>
      </c>
      <c r="HF23" s="252" t="s">
        <v>13</v>
      </c>
    </row>
    <row r="24" spans="1:214" ht="14.25" thickTop="1" thickBot="1" x14ac:dyDescent="0.25">
      <c r="A24" s="262" t="s">
        <v>450</v>
      </c>
      <c r="B24" s="315">
        <v>1.5179205599999999E-6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1.0000000000000001E-5</v>
      </c>
      <c r="P24" s="249" t="s">
        <v>17</v>
      </c>
      <c r="Q24" s="287">
        <f>B18</f>
        <v>1.0000000000000001E-5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1.0000000000000001E-5</v>
      </c>
      <c r="AL24" s="249" t="s">
        <v>17</v>
      </c>
      <c r="AM24" s="287">
        <f>B18</f>
        <v>1.0000000000000001E-5</v>
      </c>
      <c r="AR24" s="249" t="s">
        <v>17</v>
      </c>
      <c r="AS24" s="287">
        <f>B18</f>
        <v>1.0000000000000001E-5</v>
      </c>
      <c r="AU24" s="249" t="s">
        <v>17</v>
      </c>
      <c r="AV24" s="287">
        <f>B18</f>
        <v>1.0000000000000001E-5</v>
      </c>
      <c r="BA24" s="249" t="s">
        <v>17</v>
      </c>
      <c r="BB24" s="287">
        <f>B18</f>
        <v>1.0000000000000001E-5</v>
      </c>
      <c r="BD24" s="249" t="s">
        <v>17</v>
      </c>
      <c r="BE24" s="287">
        <f>B18</f>
        <v>1.0000000000000001E-5</v>
      </c>
      <c r="BJ24" s="249" t="s">
        <v>17</v>
      </c>
      <c r="BK24" s="287">
        <f>B18</f>
        <v>1.0000000000000001E-5</v>
      </c>
      <c r="BM24" s="249" t="s">
        <v>17</v>
      </c>
      <c r="BN24" s="287">
        <f>B18</f>
        <v>1.0000000000000001E-5</v>
      </c>
      <c r="BS24" s="88" t="s">
        <v>78</v>
      </c>
      <c r="BT24" s="296">
        <f>(BT5*BT28*BT6)/((BT14/24)*(BT8/365)*BT9*(1-EXP(-BT6*BT28))*BT19*BT20)</f>
        <v>5835.7050000112386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4.3312499999999997E-4</v>
      </c>
      <c r="CE24" s="262" t="s">
        <v>23</v>
      </c>
      <c r="CF24" s="288">
        <f>0.693/CF25</f>
        <v>4.3312499999999997E-4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2.6407281907609754E-4</v>
      </c>
      <c r="HF24" s="75" t="s">
        <v>13</v>
      </c>
    </row>
    <row r="25" spans="1:214" ht="13.5" thickTop="1" x14ac:dyDescent="0.2">
      <c r="A25" s="262" t="s">
        <v>449</v>
      </c>
      <c r="B25" s="315">
        <v>1.5599552831999999E-6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0.11253402030310072</v>
      </c>
      <c r="X25" s="254" t="s">
        <v>10</v>
      </c>
      <c r="Y25" s="321" t="s">
        <v>16</v>
      </c>
      <c r="Z25" s="358">
        <f>1/((1/Z38)+(1/Z39))</f>
        <v>0.11243046472947862</v>
      </c>
      <c r="AA25" s="255" t="s">
        <v>10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1600</v>
      </c>
      <c r="CD25" s="249" t="s">
        <v>69</v>
      </c>
      <c r="CE25" s="266" t="s">
        <v>270</v>
      </c>
      <c r="CF25" s="287">
        <f>B31</f>
        <v>1600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1.7000000000000001E-2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1.4789999999999999E-2</v>
      </c>
      <c r="EA25" s="262"/>
      <c r="EC25" s="263"/>
      <c r="ED25" s="262" t="s">
        <v>38</v>
      </c>
      <c r="EE25" s="287">
        <f>B45</f>
        <v>1.7000000000000001E-2</v>
      </c>
      <c r="EF25" s="263"/>
      <c r="EP25" s="262"/>
      <c r="ER25" s="263"/>
      <c r="ES25" s="263" t="s">
        <v>37</v>
      </c>
      <c r="ET25" s="287">
        <f>B45</f>
        <v>1.7000000000000001E-2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1.4789999999999999E-2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1.4789999999999999E-2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1.4789999999999999E-2</v>
      </c>
      <c r="HC25" s="263"/>
      <c r="HD25" s="265" t="s">
        <v>22</v>
      </c>
      <c r="HE25" s="305">
        <f>B47</f>
        <v>5</v>
      </c>
      <c r="HF25" s="262" t="s">
        <v>14</v>
      </c>
    </row>
    <row r="26" spans="1:214" ht="13.5" thickBot="1" x14ac:dyDescent="0.25">
      <c r="A26" s="262" t="s">
        <v>451</v>
      </c>
      <c r="B26" s="315">
        <v>4.4650217087999997E-6</v>
      </c>
      <c r="C26" s="262" t="s">
        <v>95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4.3312499999999997E-4</v>
      </c>
      <c r="P26" s="262" t="s">
        <v>23</v>
      </c>
      <c r="Q26" s="288">
        <f>0.693/Q27</f>
        <v>4.3312499999999997E-4</v>
      </c>
      <c r="V26" s="320" t="s">
        <v>15</v>
      </c>
      <c r="W26" s="359">
        <f>1/((1/W38)+(1/W39))</f>
        <v>0.11241225497445131</v>
      </c>
      <c r="X26" s="258" t="s">
        <v>10</v>
      </c>
      <c r="Y26" s="322" t="s">
        <v>15</v>
      </c>
      <c r="Z26" s="360">
        <f>1/((1/Z40)+(1/Z41))</f>
        <v>0.11241225497445137</v>
      </c>
      <c r="AA26" s="259" t="s">
        <v>10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4.3312499999999997E-4</v>
      </c>
      <c r="AL26" s="262" t="s">
        <v>23</v>
      </c>
      <c r="AM26" s="288">
        <f>0.693/AM27</f>
        <v>4.3312499999999997E-4</v>
      </c>
      <c r="AR26" s="262" t="s">
        <v>23</v>
      </c>
      <c r="AS26" s="288">
        <f>0.693/AS27</f>
        <v>4.3312499999999997E-4</v>
      </c>
      <c r="AU26" s="262" t="s">
        <v>23</v>
      </c>
      <c r="AV26" s="288">
        <f>0.693/AV27</f>
        <v>4.3312499999999997E-4</v>
      </c>
      <c r="BA26" s="262" t="s">
        <v>23</v>
      </c>
      <c r="BB26" s="288">
        <f>0.693/BB27</f>
        <v>4.3312499999999997E-4</v>
      </c>
      <c r="BD26" s="262" t="s">
        <v>23</v>
      </c>
      <c r="BE26" s="288">
        <f>0.693/BE27</f>
        <v>4.3312499999999997E-4</v>
      </c>
      <c r="BJ26" s="262" t="s">
        <v>23</v>
      </c>
      <c r="BK26" s="288">
        <f>0.693/BK27</f>
        <v>4.3312499999999997E-4</v>
      </c>
      <c r="BM26" s="262" t="s">
        <v>23</v>
      </c>
      <c r="BN26" s="288">
        <f>0.693/BN27</f>
        <v>4.3312499999999997E-4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88"/>
      <c r="CX26" s="192"/>
      <c r="CY26" s="88"/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1.7000000000000001E-2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1.8654374300934383E-2</v>
      </c>
      <c r="HF26" s="262" t="s">
        <v>14</v>
      </c>
    </row>
    <row r="27" spans="1:214" ht="15" thickTop="1" x14ac:dyDescent="0.2">
      <c r="A27" s="262" t="s">
        <v>452</v>
      </c>
      <c r="B27" s="315">
        <v>7.0991976959999998E-6</v>
      </c>
      <c r="C27" s="262" t="s">
        <v>95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1600</v>
      </c>
      <c r="O27" s="249" t="s">
        <v>69</v>
      </c>
      <c r="P27" s="266" t="s">
        <v>270</v>
      </c>
      <c r="Q27" s="287">
        <f>B31</f>
        <v>1600</v>
      </c>
      <c r="R27" s="249" t="s">
        <v>69</v>
      </c>
      <c r="V27" s="249" t="s">
        <v>17</v>
      </c>
      <c r="W27" s="287">
        <f>B18</f>
        <v>1.0000000000000001E-5</v>
      </c>
      <c r="Y27" s="249" t="s">
        <v>17</v>
      </c>
      <c r="Z27" s="287">
        <f>B18</f>
        <v>1.0000000000000001E-5</v>
      </c>
      <c r="AB27" s="269" t="s">
        <v>23</v>
      </c>
      <c r="AC27" s="288">
        <f>0.693/AC28</f>
        <v>4.3312499999999997E-4</v>
      </c>
      <c r="AD27" s="288">
        <f>0.693/AD28</f>
        <v>4.3312499999999997E-4</v>
      </c>
      <c r="AE27" s="288">
        <f>0.693/AE28</f>
        <v>4.3312499999999997E-4</v>
      </c>
      <c r="AF27" s="288">
        <f>0.693/AF28</f>
        <v>4.3312499999999997E-4</v>
      </c>
      <c r="AG27" s="288">
        <f>0.693/AG28</f>
        <v>4.3312499999999997E-4</v>
      </c>
      <c r="AI27" s="266" t="s">
        <v>270</v>
      </c>
      <c r="AJ27" s="287">
        <f>B31</f>
        <v>1600</v>
      </c>
      <c r="AK27" s="249" t="s">
        <v>69</v>
      </c>
      <c r="AL27" s="266" t="s">
        <v>270</v>
      </c>
      <c r="AM27" s="287">
        <f>B31</f>
        <v>1600</v>
      </c>
      <c r="AN27" s="249" t="s">
        <v>69</v>
      </c>
      <c r="AR27" s="266" t="s">
        <v>270</v>
      </c>
      <c r="AS27" s="287">
        <f>B31</f>
        <v>1600</v>
      </c>
      <c r="AT27" s="249" t="s">
        <v>69</v>
      </c>
      <c r="AU27" s="266" t="s">
        <v>270</v>
      </c>
      <c r="AV27" s="287">
        <f>B31</f>
        <v>1600</v>
      </c>
      <c r="AW27" s="249" t="s">
        <v>69</v>
      </c>
      <c r="BA27" s="266" t="s">
        <v>270</v>
      </c>
      <c r="BB27" s="287">
        <f>B31</f>
        <v>1600</v>
      </c>
      <c r="BC27" s="249" t="s">
        <v>69</v>
      </c>
      <c r="BD27" s="266" t="s">
        <v>270</v>
      </c>
      <c r="BE27" s="287">
        <f>B31</f>
        <v>1600</v>
      </c>
      <c r="BF27" s="249" t="s">
        <v>69</v>
      </c>
      <c r="BJ27" s="266" t="s">
        <v>270</v>
      </c>
      <c r="BK27" s="287">
        <f>B31</f>
        <v>1600</v>
      </c>
      <c r="BL27" s="249" t="s">
        <v>69</v>
      </c>
      <c r="BM27" s="266" t="s">
        <v>270</v>
      </c>
      <c r="BN27" s="287">
        <f>B31</f>
        <v>1600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3.8000000000000002E-4</v>
      </c>
      <c r="EP27" s="262"/>
      <c r="EQ27" s="310"/>
      <c r="ES27" s="262" t="s">
        <v>275</v>
      </c>
      <c r="ET27" s="310">
        <f>B38</f>
        <v>1.6999999999999999E-3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4.3312499999999997E-4</v>
      </c>
    </row>
    <row r="28" spans="1:214" ht="15.75" thickBot="1" x14ac:dyDescent="0.25">
      <c r="A28" s="262" t="s">
        <v>63</v>
      </c>
      <c r="B28" s="315">
        <v>7.7413948559999998E-9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4.3312499999999997E-4</v>
      </c>
      <c r="Y28" s="262" t="s">
        <v>23</v>
      </c>
      <c r="Z28" s="288">
        <f>0.693/Z29</f>
        <v>4.3312499999999997E-4</v>
      </c>
      <c r="AB28" s="266" t="s">
        <v>270</v>
      </c>
      <c r="AC28" s="287">
        <f>B31</f>
        <v>1600</v>
      </c>
      <c r="AD28" s="287">
        <f>B31</f>
        <v>1600</v>
      </c>
      <c r="AE28" s="287">
        <f>B31</f>
        <v>1600</v>
      </c>
      <c r="AF28" s="287">
        <f>B31</f>
        <v>1600</v>
      </c>
      <c r="AG28" s="287">
        <f>B31</f>
        <v>1600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3.44E-2</v>
      </c>
      <c r="CE28" s="249" t="s">
        <v>458</v>
      </c>
      <c r="CF28" s="287">
        <f>B8</f>
        <v>6.8599999999999994E-2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1600</v>
      </c>
      <c r="HF28" s="249" t="s">
        <v>69</v>
      </c>
    </row>
    <row r="29" spans="1:214" ht="18.75" thickTop="1" x14ac:dyDescent="0.2">
      <c r="A29" s="266" t="s">
        <v>161</v>
      </c>
      <c r="B29" s="315">
        <v>1.6813889280000001E-11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1600</v>
      </c>
      <c r="X29" s="249" t="s">
        <v>69</v>
      </c>
      <c r="Y29" s="266" t="s">
        <v>270</v>
      </c>
      <c r="Z29" s="287">
        <f>B31</f>
        <v>1600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266"/>
      <c r="BT29" s="115"/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0.45600000000000002</v>
      </c>
      <c r="CE29" s="249" t="s">
        <v>459</v>
      </c>
      <c r="CF29" s="287">
        <f>B9</f>
        <v>0.73699999999999999</v>
      </c>
      <c r="CM29" s="262"/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5.1429999999999997E-10</v>
      </c>
      <c r="C30" s="267" t="s">
        <v>35</v>
      </c>
      <c r="D30" s="203" t="s">
        <v>510</v>
      </c>
      <c r="E30" s="204">
        <f>E37</f>
        <v>0.32138684852877136</v>
      </c>
      <c r="F30" s="184" t="s">
        <v>13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354">
        <f>(AC26*AC27)/(1-EXP(-AC27*AC26))</f>
        <v>1.0010832033275825</v>
      </c>
      <c r="AD30" s="354">
        <f>(AD26*AD27)/(1-EXP(-AD27*AD26))</f>
        <v>1.0010832033275825</v>
      </c>
      <c r="AE30" s="354">
        <f>(AE26*AE27)/(1-EXP(-AE27*AE26))</f>
        <v>1.0010832033275825</v>
      </c>
      <c r="AF30" s="354">
        <f>(AF26*AF27)/(1-EXP(-AF27*AF26))</f>
        <v>1.0010832033275825</v>
      </c>
      <c r="AG30" s="354">
        <f>(AG26*AG27)/(1-EXP(-AG27*AG26))</f>
        <v>1.0010832033275825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M30" s="262"/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315">
        <v>1600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0.124</v>
      </c>
      <c r="CB31" s="249" t="s">
        <v>71</v>
      </c>
      <c r="CC31" s="290">
        <f>B24</f>
        <v>1.5179205599999999E-6</v>
      </c>
      <c r="CD31" s="262" t="s">
        <v>282</v>
      </c>
      <c r="CE31" s="249" t="s">
        <v>71</v>
      </c>
      <c r="CF31" s="290">
        <f>B26</f>
        <v>4.4650217087999997E-6</v>
      </c>
      <c r="CG31" s="263" t="s">
        <v>72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2.75" customHeight="1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1.0000000000000001E-5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2.8231E-8</v>
      </c>
      <c r="X32" s="263" t="s">
        <v>44</v>
      </c>
      <c r="Y32" s="249" t="s">
        <v>43</v>
      </c>
      <c r="Z32" s="290">
        <f>B19</f>
        <v>2.8231E-8</v>
      </c>
      <c r="AA32" s="263" t="s">
        <v>44</v>
      </c>
      <c r="AB32" s="266" t="s">
        <v>80</v>
      </c>
      <c r="AC32" s="294">
        <f>(AC5/(AC9*AC14*AC8*AC11*(1/AC6)))*AC30</f>
        <v>2244.4748627715389</v>
      </c>
      <c r="AD32" s="294">
        <f>(AD5/(AD9*AD14*AD8*AD11*(1/AD6)))*AD30</f>
        <v>2244.4748627715389</v>
      </c>
      <c r="AE32" s="294">
        <f>(AE5/(AE9*AE14*AE8*AE11*(1/AE6)))*AE30</f>
        <v>2244.4748627715389</v>
      </c>
      <c r="AF32" s="294">
        <f>(AF5/(AF9*AF14*AF8*AF11*(1/AF6)))*AF30</f>
        <v>2244.4748627715389</v>
      </c>
      <c r="AG32" s="294">
        <f>(AG5/(AG9*AG14*AG8*AG11*(1/AG6)))*AG30</f>
        <v>2244.4748627715389</v>
      </c>
      <c r="AH32" s="266" t="s">
        <v>13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3.44E-2</v>
      </c>
      <c r="BM32" s="249" t="s">
        <v>458</v>
      </c>
      <c r="BN32" s="287">
        <f>B8</f>
        <v>6.8599999999999994E-2</v>
      </c>
      <c r="BY32" s="262" t="s">
        <v>62</v>
      </c>
      <c r="BZ32" s="305">
        <f>B4</f>
        <v>0.79200000000000004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(AC5/(AC21*AC17*AC8*AC11*(1/AC35)*((8/1)/(24/1))*AC31))*AC30</f>
        <v>95609.117580800084</v>
      </c>
      <c r="AD33" s="295">
        <f>(AD5/(AD21*AD17*AD8*((8/1)/(24/1))*AD11*(1/AD35)*AD31))*AD30</f>
        <v>95609.11758080007</v>
      </c>
      <c r="AE33" s="295">
        <f>(AE5/(AE21*AE17*AE8*((8/1)/(24/1))*AE11*(1/AE35)*AE31))*AE30</f>
        <v>95609.11758080007</v>
      </c>
      <c r="AF33" s="295">
        <f>(AF5/(AF21*AF17*AF8*AF11*(1/AF36)*(AF23/24)*AF31))*AF30</f>
        <v>87.066694624611046</v>
      </c>
      <c r="AG33" s="295">
        <f>(AG5/(AG21*AG17*AG8*AG11*(1/AG37)*(AG23/24)*AG31))*AG30</f>
        <v>4057.5664131148346</v>
      </c>
      <c r="AH33" s="88" t="s">
        <v>13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0.45600000000000002</v>
      </c>
      <c r="BM33" s="249" t="s">
        <v>459</v>
      </c>
      <c r="BN33" s="287">
        <f>B9</f>
        <v>0.73699999999999999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5.1429999999999997E-10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1.5179205599999999E-6</v>
      </c>
      <c r="O34" s="263" t="s">
        <v>447</v>
      </c>
      <c r="P34" s="249" t="s">
        <v>451</v>
      </c>
      <c r="Q34" s="290">
        <f>B26</f>
        <v>4.4650217087999997E-6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(AC5/(AC20*(AC8/365)*AC11*((AC23+AC24)/24)*AC16*AC19))*AC30</f>
        <v>7.6181011686355715</v>
      </c>
      <c r="AD34" s="296">
        <f>(AD5/(AD20*(AD8/365)*AD11*(AD24/24)*AD18*AD19))*AD30</f>
        <v>19.045252921588926</v>
      </c>
      <c r="AE34" s="296">
        <f>(AE5/(AE20*(AE8/365)*AE11*(AE23/24)*AE16*AE19))*AE30</f>
        <v>7.6181011686355715</v>
      </c>
      <c r="AF34" s="296">
        <f>(AF5/(AF20*(AF8/365)*AF11*(AF23/24)*AF16*AF19))*AF30</f>
        <v>77.571085539218501</v>
      </c>
      <c r="AG34" s="296">
        <f>(AG5/(AG20*(AG8/365)*AG11*(AG23/24)*AG16*AG19))*AG30</f>
        <v>77.571085539218501</v>
      </c>
      <c r="AH34" s="266" t="s">
        <v>13</v>
      </c>
      <c r="AI34" s="262" t="s">
        <v>450</v>
      </c>
      <c r="AJ34" s="290">
        <f>B24</f>
        <v>1.5179205599999999E-6</v>
      </c>
      <c r="AK34" s="262" t="s">
        <v>282</v>
      </c>
      <c r="AL34" s="262" t="s">
        <v>451</v>
      </c>
      <c r="AM34" s="290">
        <f>B26</f>
        <v>4.4650217087999997E-6</v>
      </c>
      <c r="AN34" s="263" t="s">
        <v>72</v>
      </c>
      <c r="AR34" s="262" t="s">
        <v>450</v>
      </c>
      <c r="AS34" s="290">
        <f>B24</f>
        <v>1.5179205599999999E-6</v>
      </c>
      <c r="AT34" s="262" t="s">
        <v>282</v>
      </c>
      <c r="AU34" s="262" t="s">
        <v>451</v>
      </c>
      <c r="AV34" s="290">
        <f>B26</f>
        <v>4.4650217087999997E-6</v>
      </c>
      <c r="AW34" s="263" t="s">
        <v>72</v>
      </c>
      <c r="BA34" s="262" t="s">
        <v>450</v>
      </c>
      <c r="BB34" s="290">
        <f>B24</f>
        <v>1.5179205599999999E-6</v>
      </c>
      <c r="BC34" s="262" t="s">
        <v>282</v>
      </c>
      <c r="BD34" s="262" t="s">
        <v>451</v>
      </c>
      <c r="BE34" s="290">
        <f>B26</f>
        <v>4.4650217087999997E-6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</v>
      </c>
      <c r="HF34" s="249" t="s">
        <v>19</v>
      </c>
    </row>
    <row r="35" spans="1:214" ht="12.75" customHeight="1" x14ac:dyDescent="0.2">
      <c r="A35" s="266" t="s">
        <v>270</v>
      </c>
      <c r="B35" s="315">
        <v>584000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1.5179205599999999E-6</v>
      </c>
      <c r="BL35" s="262" t="s">
        <v>282</v>
      </c>
      <c r="BM35" s="262" t="s">
        <v>451</v>
      </c>
      <c r="BN35" s="290">
        <f>B26</f>
        <v>4.4650217087999997E-6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ht="13.5" customHeight="1" x14ac:dyDescent="0.2">
      <c r="A36" s="262" t="s">
        <v>122</v>
      </c>
      <c r="B36" s="315">
        <v>4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281"/>
      <c r="N36" s="361"/>
      <c r="O36" s="281"/>
      <c r="P36" s="281"/>
      <c r="Q36" s="361"/>
      <c r="R36" s="281"/>
      <c r="V36" s="262" t="s">
        <v>63</v>
      </c>
      <c r="W36" s="287">
        <f>B28</f>
        <v>7.7413948559999998E-9</v>
      </c>
      <c r="X36" s="262" t="s">
        <v>64</v>
      </c>
      <c r="Y36" s="262" t="s">
        <v>63</v>
      </c>
      <c r="Z36" s="287">
        <f>B28</f>
        <v>7.7413948559999998E-9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x14ac:dyDescent="0.2">
      <c r="A37" s="262" t="s">
        <v>278</v>
      </c>
      <c r="B37" s="315">
        <v>3.8000000000000002E-4</v>
      </c>
      <c r="C37" s="263" t="s">
        <v>298</v>
      </c>
      <c r="D37" s="262" t="s">
        <v>80</v>
      </c>
      <c r="E37" s="300">
        <f>E32/(E34*E33*E35*E36)</f>
        <v>0.32138684852877136</v>
      </c>
      <c r="F37" s="263" t="s">
        <v>13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1.6999999999999999E-3</v>
      </c>
      <c r="C38" s="263" t="s">
        <v>298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W27/((W33/W34)*W30*W31*W32*W35)</f>
        <v>0.11241379047884469</v>
      </c>
      <c r="X38" s="88" t="s">
        <v>15</v>
      </c>
      <c r="Y38" s="88" t="s">
        <v>74</v>
      </c>
      <c r="Z38" s="294">
        <f>(Z27*Z31*Z28)/((1-EXP(-Z28))*Z31*Z32*Z30*Z44*(Z33/Z34)*Z35)</f>
        <v>0.11243813684772226</v>
      </c>
      <c r="AA38" s="88" t="s">
        <v>16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ht="13.5" customHeight="1" x14ac:dyDescent="0.2">
      <c r="A39" s="262" t="s">
        <v>276</v>
      </c>
      <c r="B39" s="315">
        <v>0</v>
      </c>
      <c r="C39" s="263" t="s">
        <v>298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(W27)/((W33/W34)*W30*W31*W36*(1/365))</f>
        <v>8229.6655956920877</v>
      </c>
      <c r="X39" s="88" t="s">
        <v>15</v>
      </c>
      <c r="Y39" s="88" t="s">
        <v>78</v>
      </c>
      <c r="Z39" s="296">
        <f>(Z27*Z31*Z28)/((1-EXP(-Z28*Z31))*Z36*Z30*Z44*(Z33/Z34)*Z37*(Z44/Z45))</f>
        <v>1647.7159993700468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(W27*W28*W31)/((W33/W34)*(1-EXP(-W28*W31))*W32*W35*W30*W31)</f>
        <v>0.11253555747075754</v>
      </c>
      <c r="X40" s="88" t="s">
        <v>16</v>
      </c>
      <c r="Y40" s="88" t="s">
        <v>74</v>
      </c>
      <c r="Z40" s="294">
        <f>Z27/((Z32*Z30*Z44*(Z33/Z34)*Z35))</f>
        <v>0.11241379047884471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(W27*W28*W31)/((W33/W34)*(1-EXP(-W28*W31))*W36*W30*W31*(1/365))</f>
        <v>8238.5799968502342</v>
      </c>
      <c r="X41" s="88" t="s">
        <v>16</v>
      </c>
      <c r="Y41" s="88" t="s">
        <v>78</v>
      </c>
      <c r="Z41" s="296">
        <f>Z27/(Z36*Z30*(1/Z45)*Z44*(Z33/Z34)*Z37)</f>
        <v>8229.6655956920877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1.6999999999999999E-3</v>
      </c>
      <c r="C42" s="263" t="s">
        <v>298</v>
      </c>
      <c r="D42" s="203" t="s">
        <v>510</v>
      </c>
      <c r="E42" s="204">
        <f>E52</f>
        <v>80.346712132192849</v>
      </c>
      <c r="F42" s="184" t="s">
        <v>14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0.124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2.75" customHeight="1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0.79200000000000004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1.4789999999999999E-2</v>
      </c>
      <c r="C44" s="249" t="s">
        <v>19</v>
      </c>
      <c r="D44" s="262" t="s">
        <v>17</v>
      </c>
      <c r="E44" s="287">
        <f>B18</f>
        <v>1.0000000000000001E-5</v>
      </c>
      <c r="G44" s="262"/>
      <c r="H44" s="297">
        <v>365</v>
      </c>
      <c r="I44" s="263" t="s">
        <v>26</v>
      </c>
      <c r="J44" s="262" t="s">
        <v>159</v>
      </c>
      <c r="K44" s="292">
        <f>B80</f>
        <v>0.124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1.7000000000000001E-2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0.79200000000000004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x14ac:dyDescent="0.2">
      <c r="A46" s="249" t="s">
        <v>284</v>
      </c>
      <c r="B46" s="315">
        <v>1</v>
      </c>
      <c r="C46" s="249" t="s">
        <v>19</v>
      </c>
      <c r="D46" s="262" t="s">
        <v>438</v>
      </c>
      <c r="E46" s="287">
        <f>B30</f>
        <v>5.1429999999999997E-10</v>
      </c>
      <c r="F46" s="262" t="s">
        <v>289</v>
      </c>
      <c r="G46" s="249" t="s">
        <v>20</v>
      </c>
      <c r="H46" s="287">
        <f>H48</f>
        <v>1.4789999999999999E-2</v>
      </c>
      <c r="I46" s="263"/>
      <c r="J46" s="269" t="s">
        <v>107</v>
      </c>
      <c r="K46" s="292">
        <f>K34</f>
        <v>20</v>
      </c>
      <c r="L46" s="269" t="s">
        <v>69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5</v>
      </c>
      <c r="C47" s="262" t="s">
        <v>14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1.4789999999999999E-2</v>
      </c>
      <c r="K48" s="289">
        <v>1000</v>
      </c>
      <c r="L48" s="249" t="s">
        <v>115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249" customFormat="1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262"/>
      <c r="BZ49" s="293"/>
      <c r="CC49" s="289"/>
      <c r="CF49" s="289"/>
      <c r="CI49" s="289"/>
      <c r="CL49" s="289"/>
      <c r="CO49" s="289"/>
      <c r="CR49" s="289"/>
      <c r="CU49" s="289"/>
      <c r="CX49" s="289"/>
      <c r="DA49" s="292">
        <v>1000</v>
      </c>
      <c r="DB49" s="267" t="s">
        <v>115</v>
      </c>
      <c r="DD49" s="289"/>
      <c r="DG49" s="289"/>
      <c r="DJ49" s="289"/>
      <c r="DM49" s="289"/>
      <c r="DP49" s="289"/>
      <c r="DS49" s="289"/>
      <c r="DV49" s="289"/>
      <c r="DW49" s="264"/>
      <c r="DX49" s="264"/>
      <c r="DY49" s="328"/>
      <c r="DZ49" s="264"/>
    </row>
    <row r="50" spans="1:130" s="249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4</v>
      </c>
      <c r="F50" s="263" t="s">
        <v>19</v>
      </c>
      <c r="G50" s="249" t="s">
        <v>18</v>
      </c>
      <c r="H50" s="288">
        <f>(H53*H54*H48*((1-EXP(-H55*H56))))/(H57*H55)</f>
        <v>0.52543733718458041</v>
      </c>
      <c r="I50" s="249" t="s">
        <v>19</v>
      </c>
      <c r="J50" s="249" t="s">
        <v>20</v>
      </c>
      <c r="K50" s="287">
        <f>K52</f>
        <v>1.4789999999999999E-2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263"/>
      <c r="BZ50" s="307"/>
      <c r="CC50" s="289"/>
      <c r="CF50" s="289"/>
      <c r="CI50" s="289"/>
      <c r="CL50" s="289"/>
      <c r="CO50" s="289"/>
      <c r="CR50" s="289"/>
      <c r="CT50" s="263"/>
      <c r="CU50" s="307"/>
      <c r="CX50" s="289"/>
      <c r="DA50" s="289"/>
      <c r="DD50" s="289"/>
      <c r="DG50" s="289"/>
      <c r="DJ50" s="289"/>
      <c r="DM50" s="289"/>
      <c r="DP50" s="289"/>
      <c r="DS50" s="289"/>
      <c r="DV50" s="289"/>
      <c r="DW50" s="264"/>
      <c r="DX50" s="264"/>
      <c r="DY50" s="328"/>
      <c r="DZ50" s="264"/>
    </row>
    <row r="51" spans="1:130" s="249" customFormat="1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9.2368970701819411</v>
      </c>
      <c r="I51" s="249" t="s">
        <v>19</v>
      </c>
      <c r="J51" s="262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262"/>
      <c r="BZ51" s="293"/>
      <c r="CC51" s="289"/>
      <c r="CF51" s="289"/>
      <c r="CI51" s="289"/>
      <c r="CL51" s="289"/>
      <c r="CO51" s="289"/>
      <c r="CR51" s="289"/>
      <c r="CT51" s="262"/>
      <c r="CU51" s="293"/>
      <c r="CX51" s="289"/>
      <c r="CZ51" s="267"/>
      <c r="DA51" s="289"/>
      <c r="DD51" s="289"/>
      <c r="DG51" s="289"/>
      <c r="DJ51" s="289"/>
      <c r="DM51" s="289"/>
      <c r="DP51" s="289"/>
      <c r="DS51" s="289"/>
      <c r="DV51" s="289"/>
      <c r="DW51" s="264"/>
      <c r="DX51" s="264"/>
      <c r="DY51" s="328"/>
      <c r="DZ51" s="264"/>
    </row>
    <row r="52" spans="1:130" s="249" customFormat="1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>
        <f>E44/(E46*E45*E47*E48*E50*E51*(1/E49))</f>
        <v>80.346712132192849</v>
      </c>
      <c r="G52" s="249" t="s">
        <v>36</v>
      </c>
      <c r="H52" s="288">
        <f>(H53*H54*H58*H64*((1-EXP(-H59*H60))))/(H61*H59)</f>
        <v>3.6423470278489711</v>
      </c>
      <c r="I52" s="249" t="s">
        <v>19</v>
      </c>
      <c r="J52" s="263" t="s">
        <v>37</v>
      </c>
      <c r="K52" s="290">
        <f>B44</f>
        <v>1.4789999999999999E-2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267"/>
      <c r="DA52" s="289"/>
      <c r="DD52" s="289"/>
      <c r="DG52" s="289"/>
      <c r="DJ52" s="289"/>
      <c r="DM52" s="289"/>
      <c r="DP52" s="289"/>
      <c r="DS52" s="289"/>
      <c r="DV52" s="289"/>
      <c r="DW52" s="264"/>
      <c r="DX52" s="264"/>
      <c r="DY52" s="328"/>
      <c r="DZ52" s="264"/>
    </row>
    <row r="53" spans="1:130" s="249" customFormat="1" x14ac:dyDescent="0.2">
      <c r="A53" s="262" t="s">
        <v>320</v>
      </c>
      <c r="B53" s="283">
        <v>55</v>
      </c>
      <c r="C53" s="263" t="s">
        <v>54</v>
      </c>
      <c r="E53" s="289"/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262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267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249" customFormat="1" x14ac:dyDescent="0.2">
      <c r="A54" s="262" t="s">
        <v>321</v>
      </c>
      <c r="B54" s="283">
        <v>55</v>
      </c>
      <c r="C54" s="263" t="s">
        <v>54</v>
      </c>
      <c r="E54" s="289"/>
      <c r="G54" s="262" t="s">
        <v>46</v>
      </c>
      <c r="H54" s="287">
        <f>B86</f>
        <v>0.25</v>
      </c>
      <c r="I54" s="249" t="s">
        <v>47</v>
      </c>
      <c r="K54" s="289"/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262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267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249" customFormat="1" x14ac:dyDescent="0.2">
      <c r="A55" s="262" t="s">
        <v>322</v>
      </c>
      <c r="B55" s="283">
        <v>5</v>
      </c>
      <c r="C55" s="262" t="s">
        <v>30</v>
      </c>
      <c r="E55" s="289"/>
      <c r="G55" s="267" t="s">
        <v>55</v>
      </c>
      <c r="H55" s="303">
        <f>H62+H63</f>
        <v>2.8186643835616437E-5</v>
      </c>
      <c r="K55" s="289"/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267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267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249" customFormat="1" x14ac:dyDescent="0.2">
      <c r="A56" s="262" t="s">
        <v>323</v>
      </c>
      <c r="B56" s="283">
        <v>5</v>
      </c>
      <c r="C56" s="262" t="s">
        <v>30</v>
      </c>
      <c r="E56" s="289"/>
      <c r="G56" s="267" t="s">
        <v>60</v>
      </c>
      <c r="H56" s="289">
        <f>B87</f>
        <v>10950</v>
      </c>
      <c r="I56" s="249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267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267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249" customFormat="1" x14ac:dyDescent="0.2">
      <c r="A57" s="262" t="s">
        <v>337</v>
      </c>
      <c r="B57" s="283">
        <v>55</v>
      </c>
      <c r="C57" s="249" t="s">
        <v>54</v>
      </c>
      <c r="E57" s="289"/>
      <c r="G57" s="267" t="s">
        <v>65</v>
      </c>
      <c r="H57" s="289">
        <f>B88</f>
        <v>240</v>
      </c>
      <c r="I57" s="249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267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267"/>
      <c r="DA57" s="293"/>
      <c r="DB57" s="262"/>
      <c r="DD57" s="289"/>
      <c r="DG57" s="289"/>
      <c r="DJ57" s="289"/>
      <c r="DM57" s="289"/>
      <c r="DP57" s="289"/>
      <c r="DS57" s="289"/>
      <c r="DV57" s="289"/>
      <c r="DY57" s="289"/>
    </row>
    <row r="58" spans="1:130" s="249" customFormat="1" x14ac:dyDescent="0.2">
      <c r="A58" s="249" t="s">
        <v>357</v>
      </c>
      <c r="B58" s="283">
        <v>55</v>
      </c>
      <c r="C58" s="249" t="s">
        <v>54</v>
      </c>
      <c r="E58" s="289"/>
      <c r="G58" s="267" t="s">
        <v>76</v>
      </c>
      <c r="H58" s="289">
        <f>B89</f>
        <v>0.42</v>
      </c>
      <c r="I58" s="249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267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267"/>
      <c r="DA58" s="293"/>
      <c r="DB58" s="262"/>
      <c r="DD58" s="289"/>
      <c r="DG58" s="289"/>
      <c r="DJ58" s="289"/>
      <c r="DM58" s="289"/>
      <c r="DP58" s="289"/>
      <c r="DS58" s="289"/>
      <c r="DV58" s="289"/>
      <c r="DY58" s="289"/>
    </row>
    <row r="59" spans="1:130" s="249" customFormat="1" x14ac:dyDescent="0.2">
      <c r="A59" s="249" t="s">
        <v>336</v>
      </c>
      <c r="B59" s="283">
        <v>55</v>
      </c>
      <c r="C59" s="249" t="s">
        <v>54</v>
      </c>
      <c r="E59" s="289"/>
      <c r="G59" s="267" t="s">
        <v>81</v>
      </c>
      <c r="H59" s="299">
        <f>H63+(0.693/H65)</f>
        <v>4.9501186643835612E-2</v>
      </c>
      <c r="I59" s="262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267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267"/>
      <c r="DA59" s="293"/>
      <c r="DB59" s="262"/>
      <c r="DD59" s="289"/>
      <c r="DG59" s="289"/>
      <c r="DJ59" s="289"/>
      <c r="DM59" s="289"/>
      <c r="DP59" s="289"/>
      <c r="DS59" s="289"/>
      <c r="DV59" s="289"/>
      <c r="DY59" s="289"/>
    </row>
    <row r="60" spans="1:130" s="249" customFormat="1" x14ac:dyDescent="0.2">
      <c r="A60" s="262" t="s">
        <v>332</v>
      </c>
      <c r="B60" s="283">
        <v>55</v>
      </c>
      <c r="C60" s="267" t="s">
        <v>254</v>
      </c>
      <c r="E60" s="289"/>
      <c r="G60" s="267" t="s">
        <v>85</v>
      </c>
      <c r="H60" s="293">
        <f>B90</f>
        <v>60</v>
      </c>
      <c r="I60" s="262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267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267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249" customFormat="1" x14ac:dyDescent="0.2">
      <c r="A61" s="262" t="s">
        <v>333</v>
      </c>
      <c r="B61" s="283">
        <v>55</v>
      </c>
      <c r="C61" s="267" t="s">
        <v>254</v>
      </c>
      <c r="E61" s="289"/>
      <c r="G61" s="267" t="s">
        <v>87</v>
      </c>
      <c r="H61" s="293">
        <f>B91</f>
        <v>2</v>
      </c>
      <c r="I61" s="262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267"/>
      <c r="BW61" s="293"/>
      <c r="BX61" s="262"/>
      <c r="BZ61" s="289"/>
      <c r="CC61" s="289"/>
      <c r="CF61" s="289"/>
      <c r="CI61" s="289"/>
      <c r="CL61" s="289"/>
      <c r="CO61" s="289"/>
      <c r="CR61" s="289"/>
      <c r="CU61" s="289"/>
      <c r="CX61" s="289"/>
      <c r="CZ61" s="267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249" customFormat="1" x14ac:dyDescent="0.2">
      <c r="A62" s="262" t="s">
        <v>334</v>
      </c>
      <c r="B62" s="283">
        <v>55</v>
      </c>
      <c r="C62" s="267" t="s">
        <v>254</v>
      </c>
      <c r="E62" s="289"/>
      <c r="G62" s="267" t="s">
        <v>89</v>
      </c>
      <c r="H62" s="289">
        <f>B92</f>
        <v>2.6999999999999999E-5</v>
      </c>
      <c r="I62" s="249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267"/>
      <c r="BW62" s="293"/>
      <c r="BX62" s="262"/>
      <c r="BZ62" s="289"/>
      <c r="CC62" s="289"/>
      <c r="CF62" s="289"/>
      <c r="CI62" s="289"/>
      <c r="CL62" s="289"/>
      <c r="CO62" s="289"/>
      <c r="CR62" s="289"/>
      <c r="CU62" s="289"/>
      <c r="CX62" s="289"/>
      <c r="CZ62" s="267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249" customFormat="1" x14ac:dyDescent="0.2">
      <c r="A63" s="262" t="s">
        <v>335</v>
      </c>
      <c r="B63" s="283">
        <v>55</v>
      </c>
      <c r="C63" s="267" t="s">
        <v>254</v>
      </c>
      <c r="E63" s="289"/>
      <c r="G63" s="267" t="s">
        <v>90</v>
      </c>
      <c r="H63" s="288">
        <f>0.693/H67</f>
        <v>1.1866438356164383E-6</v>
      </c>
      <c r="I63" s="249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267"/>
      <c r="BW63" s="293"/>
      <c r="BX63" s="262"/>
      <c r="BZ63" s="289"/>
      <c r="CC63" s="289"/>
      <c r="CF63" s="289"/>
      <c r="CI63" s="289"/>
      <c r="CL63" s="289"/>
      <c r="CO63" s="289"/>
      <c r="CR63" s="289"/>
      <c r="CU63" s="289"/>
      <c r="CX63" s="289"/>
      <c r="CZ63" s="267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249" customFormat="1" x14ac:dyDescent="0.2">
      <c r="A64" s="262" t="s">
        <v>343</v>
      </c>
      <c r="B64" s="283">
        <v>5</v>
      </c>
      <c r="C64" s="264" t="s">
        <v>69</v>
      </c>
      <c r="E64" s="289"/>
      <c r="G64" s="267" t="s">
        <v>91</v>
      </c>
      <c r="H64" s="289">
        <f>B93</f>
        <v>1</v>
      </c>
      <c r="I64" s="249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275"/>
      <c r="AJ64" s="353"/>
      <c r="AK64" s="275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267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249" customFormat="1" x14ac:dyDescent="0.2">
      <c r="A65" s="262" t="s">
        <v>342</v>
      </c>
      <c r="B65" s="283">
        <v>15</v>
      </c>
      <c r="C65" s="264" t="s">
        <v>69</v>
      </c>
      <c r="E65" s="289"/>
      <c r="G65" s="267" t="s">
        <v>92</v>
      </c>
      <c r="H65" s="289">
        <f>B94</f>
        <v>14</v>
      </c>
      <c r="I65" s="249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275"/>
      <c r="AJ65" s="353"/>
      <c r="AK65" s="275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267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249" customFormat="1" x14ac:dyDescent="0.2">
      <c r="A66" s="262" t="s">
        <v>341</v>
      </c>
      <c r="B66" s="283">
        <v>20</v>
      </c>
      <c r="C66" s="264" t="s">
        <v>69</v>
      </c>
      <c r="E66" s="289"/>
      <c r="G66" s="249" t="s">
        <v>38</v>
      </c>
      <c r="H66" s="287">
        <f>B45</f>
        <v>1.7000000000000001E-2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275"/>
      <c r="AJ66" s="353"/>
      <c r="AK66" s="275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267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262"/>
      <c r="DA66" s="287"/>
    </row>
    <row r="67" spans="1:105" s="249" customFormat="1" x14ac:dyDescent="0.2">
      <c r="A67" s="262" t="s">
        <v>340</v>
      </c>
      <c r="B67" s="283">
        <v>55</v>
      </c>
      <c r="C67" s="264" t="s">
        <v>26</v>
      </c>
      <c r="E67" s="289"/>
      <c r="G67" s="262" t="s">
        <v>273</v>
      </c>
      <c r="H67" s="287">
        <f>B35</f>
        <v>584000</v>
      </c>
      <c r="I67" s="249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275"/>
      <c r="AJ67" s="353"/>
      <c r="AK67" s="275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267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249" customFormat="1" x14ac:dyDescent="0.2">
      <c r="A68" s="262" t="s">
        <v>339</v>
      </c>
      <c r="B68" s="283">
        <v>55</v>
      </c>
      <c r="C68" s="264" t="s">
        <v>26</v>
      </c>
      <c r="E68" s="289"/>
      <c r="H68" s="289"/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275"/>
      <c r="AJ68" s="353"/>
      <c r="AK68" s="275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249" customFormat="1" x14ac:dyDescent="0.2">
      <c r="A69" s="262" t="s">
        <v>338</v>
      </c>
      <c r="B69" s="283">
        <v>55</v>
      </c>
      <c r="C69" s="264" t="s">
        <v>26</v>
      </c>
      <c r="E69" s="289"/>
      <c r="H69" s="289"/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275"/>
      <c r="AJ69" s="353"/>
      <c r="AK69" s="275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262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249" customFormat="1" x14ac:dyDescent="0.2">
      <c r="A70" s="249" t="s">
        <v>344</v>
      </c>
      <c r="B70" s="284">
        <v>2</v>
      </c>
      <c r="C70" s="92" t="s">
        <v>104</v>
      </c>
      <c r="E70" s="289"/>
      <c r="H70" s="289"/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275"/>
      <c r="AJ70" s="353"/>
      <c r="AK70" s="275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262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249" customFormat="1" x14ac:dyDescent="0.2">
      <c r="A71" s="249" t="s">
        <v>345</v>
      </c>
      <c r="B71" s="284">
        <v>2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275"/>
      <c r="AJ71" s="353"/>
      <c r="AK71" s="275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262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249" customFormat="1" x14ac:dyDescent="0.2">
      <c r="A72" s="262" t="s">
        <v>347</v>
      </c>
      <c r="B72" s="283">
        <v>15</v>
      </c>
      <c r="C72" s="264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275"/>
      <c r="AI72" s="275"/>
      <c r="AJ72" s="353"/>
      <c r="AK72" s="275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249" customFormat="1" x14ac:dyDescent="0.2">
      <c r="A73" s="262" t="s">
        <v>348</v>
      </c>
      <c r="B73" s="283">
        <v>15</v>
      </c>
      <c r="C73" s="264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275"/>
      <c r="AI73" s="275"/>
      <c r="AJ73" s="353"/>
      <c r="AK73" s="275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249" customFormat="1" x14ac:dyDescent="0.2">
      <c r="A74" s="262" t="s">
        <v>346</v>
      </c>
      <c r="B74" s="283">
        <v>15</v>
      </c>
      <c r="C74" s="264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275"/>
      <c r="AI74" s="275"/>
      <c r="AJ74" s="353"/>
      <c r="AK74" s="275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249" customFormat="1" x14ac:dyDescent="0.2">
      <c r="A75" s="249" t="s">
        <v>349</v>
      </c>
      <c r="B75" s="284">
        <v>2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275"/>
      <c r="AI75" s="275"/>
      <c r="AJ75" s="353"/>
      <c r="AK75" s="275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249" customFormat="1" x14ac:dyDescent="0.2">
      <c r="A76" s="249" t="s">
        <v>350</v>
      </c>
      <c r="B76" s="284">
        <v>2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275"/>
      <c r="AI76" s="275"/>
      <c r="AJ76" s="353"/>
      <c r="AK76" s="275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249" customFormat="1" x14ac:dyDescent="0.2">
      <c r="A77" s="262" t="s">
        <v>103</v>
      </c>
      <c r="B77" s="283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275"/>
      <c r="AI77" s="275"/>
      <c r="AJ77" s="353"/>
      <c r="AK77" s="275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249" customFormat="1" x14ac:dyDescent="0.2">
      <c r="A78" s="249" t="s">
        <v>353</v>
      </c>
      <c r="B78" s="284">
        <v>1</v>
      </c>
      <c r="C78" s="247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249" customFormat="1" x14ac:dyDescent="0.2">
      <c r="A79" s="249" t="s">
        <v>158</v>
      </c>
      <c r="B79" s="284">
        <v>0.4</v>
      </c>
      <c r="C79" s="247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275"/>
      <c r="AI79" s="275"/>
      <c r="AJ79" s="353"/>
      <c r="AK79" s="275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249" customFormat="1" x14ac:dyDescent="0.2">
      <c r="A80" s="249" t="s">
        <v>159</v>
      </c>
      <c r="B80" s="282">
        <f>B3</f>
        <v>0.124</v>
      </c>
      <c r="C80" s="247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275"/>
      <c r="AI80" s="275"/>
      <c r="AJ80" s="353"/>
      <c r="AK80" s="275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249" customFormat="1" x14ac:dyDescent="0.2">
      <c r="A81" s="249" t="s">
        <v>62</v>
      </c>
      <c r="B81" s="282">
        <f>B4</f>
        <v>0.79200000000000004</v>
      </c>
      <c r="C81" s="247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249" customFormat="1" x14ac:dyDescent="0.2">
      <c r="A82" s="262" t="s">
        <v>124</v>
      </c>
      <c r="B82" s="284">
        <v>1</v>
      </c>
      <c r="C82" s="263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249" customFormat="1" x14ac:dyDescent="0.2">
      <c r="A83" s="249" t="s">
        <v>83</v>
      </c>
      <c r="B83" s="284">
        <v>0.5</v>
      </c>
      <c r="C83" s="249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249" customFormat="1" x14ac:dyDescent="0.2">
      <c r="A84" s="249" t="s">
        <v>355</v>
      </c>
      <c r="B84" s="284">
        <v>0.25</v>
      </c>
      <c r="C84" s="24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249" customFormat="1" x14ac:dyDescent="0.2">
      <c r="A85" s="262" t="s">
        <v>41</v>
      </c>
      <c r="B85" s="284">
        <v>3.62</v>
      </c>
      <c r="C85" s="249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249" customFormat="1" x14ac:dyDescent="0.2">
      <c r="A86" s="262" t="s">
        <v>46</v>
      </c>
      <c r="B86" s="284">
        <v>0.25</v>
      </c>
      <c r="C86" s="249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249" customFormat="1" x14ac:dyDescent="0.2">
      <c r="A87" s="267" t="s">
        <v>60</v>
      </c>
      <c r="B87" s="284">
        <v>10950</v>
      </c>
      <c r="C87" s="249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249" customFormat="1" x14ac:dyDescent="0.2">
      <c r="A88" s="267" t="s">
        <v>65</v>
      </c>
      <c r="B88" s="284">
        <v>240</v>
      </c>
      <c r="C88" s="249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249" customFormat="1" x14ac:dyDescent="0.2">
      <c r="A89" s="267" t="s">
        <v>76</v>
      </c>
      <c r="B89" s="284">
        <v>0.42</v>
      </c>
      <c r="C89" s="24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249" customFormat="1" x14ac:dyDescent="0.2">
      <c r="A90" s="267" t="s">
        <v>85</v>
      </c>
      <c r="B90" s="284">
        <v>60</v>
      </c>
      <c r="C90" s="262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249" customFormat="1" x14ac:dyDescent="0.2">
      <c r="A91" s="267" t="s">
        <v>87</v>
      </c>
      <c r="B91" s="284">
        <v>2</v>
      </c>
      <c r="C91" s="262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249" customFormat="1" x14ac:dyDescent="0.2">
      <c r="A92" s="267" t="s">
        <v>89</v>
      </c>
      <c r="B92" s="284">
        <v>2.6999999999999999E-5</v>
      </c>
      <c r="C92" s="249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249" customFormat="1" x14ac:dyDescent="0.2">
      <c r="A93" s="267" t="s">
        <v>91</v>
      </c>
      <c r="B93" s="284">
        <v>1</v>
      </c>
      <c r="C93" s="249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249" customFormat="1" x14ac:dyDescent="0.2">
      <c r="A94" s="267" t="s">
        <v>92</v>
      </c>
      <c r="B94" s="284">
        <v>14</v>
      </c>
      <c r="C94" s="249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249" customFormat="1" x14ac:dyDescent="0.2">
      <c r="A95" s="262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249" customFormat="1" x14ac:dyDescent="0.2">
      <c r="A96" s="262" t="s">
        <v>351</v>
      </c>
      <c r="B96" s="283">
        <v>1.752</v>
      </c>
      <c r="C96" s="264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249" customFormat="1" x14ac:dyDescent="0.2">
      <c r="A97" s="262" t="s">
        <v>352</v>
      </c>
      <c r="B97" s="283">
        <v>16.416</v>
      </c>
      <c r="C97" s="264" t="s">
        <v>224</v>
      </c>
    </row>
    <row r="98" spans="1:3" s="249" customFormat="1" ht="15" x14ac:dyDescent="0.2">
      <c r="A98" s="517" t="s">
        <v>5</v>
      </c>
      <c r="B98" s="517"/>
      <c r="C98" s="517"/>
    </row>
    <row r="99" spans="1:3" s="249" customFormat="1" x14ac:dyDescent="0.2">
      <c r="A99" s="262" t="s">
        <v>358</v>
      </c>
      <c r="B99" s="284">
        <v>55</v>
      </c>
      <c r="C99" s="267" t="s">
        <v>359</v>
      </c>
    </row>
    <row r="100" spans="1:3" s="249" customFormat="1" x14ac:dyDescent="0.2">
      <c r="A100" s="262" t="s">
        <v>360</v>
      </c>
      <c r="B100" s="284">
        <v>55</v>
      </c>
      <c r="C100" s="267" t="s">
        <v>359</v>
      </c>
    </row>
    <row r="101" spans="1:3" s="249" customFormat="1" x14ac:dyDescent="0.2">
      <c r="A101" s="262" t="s">
        <v>305</v>
      </c>
      <c r="B101" s="283">
        <v>5</v>
      </c>
      <c r="C101" s="262" t="s">
        <v>361</v>
      </c>
    </row>
    <row r="102" spans="1:3" s="249" customFormat="1" x14ac:dyDescent="0.2">
      <c r="A102" s="262" t="s">
        <v>306</v>
      </c>
      <c r="B102" s="283">
        <v>5</v>
      </c>
      <c r="C102" s="262" t="s">
        <v>361</v>
      </c>
    </row>
    <row r="103" spans="1:3" s="249" customFormat="1" x14ac:dyDescent="0.2">
      <c r="A103" s="262" t="s">
        <v>362</v>
      </c>
      <c r="B103" s="284">
        <v>55</v>
      </c>
      <c r="C103" s="263" t="s">
        <v>54</v>
      </c>
    </row>
    <row r="104" spans="1:3" s="249" customFormat="1" x14ac:dyDescent="0.2">
      <c r="A104" s="262" t="s">
        <v>363</v>
      </c>
      <c r="B104" s="284">
        <v>55</v>
      </c>
      <c r="C104" s="263" t="s">
        <v>54</v>
      </c>
    </row>
    <row r="105" spans="1:3" s="249" customFormat="1" x14ac:dyDescent="0.2">
      <c r="A105" s="249" t="s">
        <v>187</v>
      </c>
      <c r="B105" s="284">
        <v>1</v>
      </c>
      <c r="C105" s="249" t="s">
        <v>254</v>
      </c>
    </row>
    <row r="106" spans="1:3" s="249" customFormat="1" x14ac:dyDescent="0.2">
      <c r="A106" s="249" t="s">
        <v>188</v>
      </c>
      <c r="B106" s="284">
        <v>1</v>
      </c>
      <c r="C106" s="249" t="s">
        <v>254</v>
      </c>
    </row>
    <row r="107" spans="1:3" s="249" customFormat="1" x14ac:dyDescent="0.2">
      <c r="A107" s="94" t="s">
        <v>373</v>
      </c>
      <c r="B107" s="283">
        <v>6</v>
      </c>
      <c r="C107" s="270" t="s">
        <v>69</v>
      </c>
    </row>
    <row r="108" spans="1:3" s="249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249" customFormat="1" x14ac:dyDescent="0.2">
      <c r="A109" s="94" t="s">
        <v>59</v>
      </c>
      <c r="B109" s="283">
        <v>26</v>
      </c>
      <c r="C109" s="270" t="s">
        <v>69</v>
      </c>
    </row>
    <row r="110" spans="1:3" s="249" customFormat="1" x14ac:dyDescent="0.2">
      <c r="A110" s="94" t="s">
        <v>371</v>
      </c>
      <c r="B110" s="107">
        <v>75</v>
      </c>
      <c r="C110" s="94" t="s">
        <v>26</v>
      </c>
    </row>
    <row r="111" spans="1:3" s="249" customFormat="1" x14ac:dyDescent="0.2">
      <c r="A111" s="94" t="s">
        <v>370</v>
      </c>
      <c r="B111" s="283">
        <v>75</v>
      </c>
      <c r="C111" s="94" t="s">
        <v>26</v>
      </c>
    </row>
    <row r="112" spans="1:3" s="249" customFormat="1" x14ac:dyDescent="0.2">
      <c r="A112" s="94" t="s">
        <v>157</v>
      </c>
      <c r="B112" s="283">
        <v>75</v>
      </c>
      <c r="C112" s="94" t="s">
        <v>26</v>
      </c>
    </row>
    <row r="113" spans="1:3" s="249" customFormat="1" x14ac:dyDescent="0.2">
      <c r="A113" s="94" t="s">
        <v>105</v>
      </c>
      <c r="B113" s="283">
        <v>1</v>
      </c>
      <c r="C113" s="92" t="s">
        <v>224</v>
      </c>
    </row>
    <row r="114" spans="1:3" s="249" customFormat="1" x14ac:dyDescent="0.2">
      <c r="A114" s="92" t="s">
        <v>368</v>
      </c>
      <c r="B114" s="284">
        <v>1</v>
      </c>
      <c r="C114" s="92" t="s">
        <v>224</v>
      </c>
    </row>
    <row r="115" spans="1:3" s="249" customFormat="1" x14ac:dyDescent="0.2">
      <c r="A115" s="92" t="s">
        <v>369</v>
      </c>
      <c r="B115" s="284">
        <v>1</v>
      </c>
      <c r="C115" s="92" t="s">
        <v>224</v>
      </c>
    </row>
    <row r="116" spans="1:3" s="249" customFormat="1" x14ac:dyDescent="0.2">
      <c r="A116" s="249" t="s">
        <v>366</v>
      </c>
      <c r="B116" s="284">
        <v>1</v>
      </c>
      <c r="C116" s="249" t="s">
        <v>104</v>
      </c>
    </row>
    <row r="117" spans="1:3" s="249" customFormat="1" x14ac:dyDescent="0.2">
      <c r="A117" s="249" t="s">
        <v>367</v>
      </c>
      <c r="B117" s="284">
        <v>1</v>
      </c>
      <c r="C117" s="249" t="s">
        <v>104</v>
      </c>
    </row>
    <row r="118" spans="1:3" s="249" customFormat="1" x14ac:dyDescent="0.2">
      <c r="A118" s="94" t="s">
        <v>364</v>
      </c>
      <c r="B118" s="284">
        <v>1</v>
      </c>
      <c r="C118" s="92" t="s">
        <v>98</v>
      </c>
    </row>
    <row r="119" spans="1:3" s="249" customFormat="1" x14ac:dyDescent="0.2">
      <c r="A119" s="94" t="s">
        <v>365</v>
      </c>
      <c r="B119" s="284">
        <v>1</v>
      </c>
      <c r="C119" s="92" t="s">
        <v>98</v>
      </c>
    </row>
    <row r="120" spans="1:3" s="249" customFormat="1" x14ac:dyDescent="0.2">
      <c r="A120" s="263" t="s">
        <v>192</v>
      </c>
      <c r="B120" s="283">
        <v>1</v>
      </c>
      <c r="C120" s="249" t="s">
        <v>283</v>
      </c>
    </row>
    <row r="121" spans="1:3" s="249" customFormat="1" x14ac:dyDescent="0.2">
      <c r="A121" s="263" t="s">
        <v>189</v>
      </c>
      <c r="B121" s="283">
        <v>1</v>
      </c>
      <c r="C121" s="249" t="s">
        <v>283</v>
      </c>
    </row>
    <row r="122" spans="1:3" s="249" customFormat="1" x14ac:dyDescent="0.2">
      <c r="A122" s="263" t="s">
        <v>190</v>
      </c>
      <c r="B122" s="283">
        <v>1</v>
      </c>
      <c r="C122" s="249" t="s">
        <v>47</v>
      </c>
    </row>
    <row r="123" spans="1:3" s="249" customFormat="1" x14ac:dyDescent="0.2">
      <c r="A123" s="263" t="s">
        <v>191</v>
      </c>
      <c r="B123" s="283">
        <v>1</v>
      </c>
      <c r="C123" s="249" t="s">
        <v>47</v>
      </c>
    </row>
    <row r="124" spans="1:3" s="249" customFormat="1" x14ac:dyDescent="0.2">
      <c r="A124" s="263" t="s">
        <v>199</v>
      </c>
      <c r="B124" s="283">
        <v>1</v>
      </c>
      <c r="C124" s="249" t="s">
        <v>30</v>
      </c>
    </row>
    <row r="125" spans="1:3" s="249" customFormat="1" x14ac:dyDescent="0.2">
      <c r="A125" s="249" t="s">
        <v>193</v>
      </c>
      <c r="B125" s="283">
        <v>1</v>
      </c>
      <c r="C125" s="249" t="s">
        <v>283</v>
      </c>
    </row>
    <row r="126" spans="1:3" s="249" customFormat="1" x14ac:dyDescent="0.2">
      <c r="A126" s="249" t="s">
        <v>196</v>
      </c>
      <c r="B126" s="283">
        <v>1</v>
      </c>
      <c r="C126" s="249" t="s">
        <v>283</v>
      </c>
    </row>
    <row r="127" spans="1:3" s="249" customFormat="1" x14ac:dyDescent="0.2">
      <c r="A127" s="268" t="s">
        <v>197</v>
      </c>
      <c r="B127" s="283">
        <v>1</v>
      </c>
      <c r="C127" s="249" t="s">
        <v>47</v>
      </c>
    </row>
    <row r="128" spans="1:3" s="249" customFormat="1" x14ac:dyDescent="0.2">
      <c r="A128" s="262" t="s">
        <v>198</v>
      </c>
      <c r="B128" s="283">
        <v>1</v>
      </c>
      <c r="C128" s="249" t="s">
        <v>47</v>
      </c>
    </row>
    <row r="129" spans="1:3" s="249" customFormat="1" x14ac:dyDescent="0.2">
      <c r="A129" s="263" t="s">
        <v>200</v>
      </c>
      <c r="B129" s="283">
        <v>1</v>
      </c>
      <c r="C129" s="249" t="s">
        <v>30</v>
      </c>
    </row>
    <row r="130" spans="1:3" s="249" customFormat="1" x14ac:dyDescent="0.2">
      <c r="A130" s="262" t="s">
        <v>255</v>
      </c>
      <c r="B130" s="284">
        <v>1</v>
      </c>
    </row>
    <row r="131" spans="1:3" s="249" customFormat="1" x14ac:dyDescent="0.2">
      <c r="A131" s="249" t="s">
        <v>83</v>
      </c>
      <c r="B131" s="284">
        <v>0.5</v>
      </c>
    </row>
    <row r="132" spans="1:3" s="249" customFormat="1" ht="15" x14ac:dyDescent="0.2">
      <c r="A132" s="518" t="s">
        <v>180</v>
      </c>
      <c r="B132" s="518"/>
      <c r="C132" s="518"/>
    </row>
    <row r="133" spans="1:3" s="249" customFormat="1" x14ac:dyDescent="0.2">
      <c r="A133" s="262" t="s">
        <v>374</v>
      </c>
      <c r="B133" s="283">
        <v>55</v>
      </c>
      <c r="C133" s="263" t="s">
        <v>54</v>
      </c>
    </row>
    <row r="134" spans="1:3" s="249" customFormat="1" x14ac:dyDescent="0.2">
      <c r="A134" s="262" t="s">
        <v>375</v>
      </c>
      <c r="B134" s="283">
        <v>55</v>
      </c>
      <c r="C134" s="263" t="s">
        <v>54</v>
      </c>
    </row>
    <row r="135" spans="1:3" s="249" customFormat="1" x14ac:dyDescent="0.2">
      <c r="A135" s="262" t="s">
        <v>376</v>
      </c>
      <c r="B135" s="283">
        <v>55</v>
      </c>
      <c r="C135" s="267" t="s">
        <v>359</v>
      </c>
    </row>
    <row r="136" spans="1:3" s="249" customFormat="1" x14ac:dyDescent="0.2">
      <c r="A136" s="262" t="s">
        <v>377</v>
      </c>
      <c r="B136" s="283">
        <v>55</v>
      </c>
      <c r="C136" s="267" t="s">
        <v>359</v>
      </c>
    </row>
    <row r="137" spans="1:3" s="249" customFormat="1" x14ac:dyDescent="0.2">
      <c r="A137" s="267" t="s">
        <v>378</v>
      </c>
      <c r="B137" s="284">
        <v>5</v>
      </c>
      <c r="C137" s="262" t="s">
        <v>30</v>
      </c>
    </row>
    <row r="138" spans="1:3" s="249" customFormat="1" x14ac:dyDescent="0.2">
      <c r="A138" s="267" t="s">
        <v>379</v>
      </c>
      <c r="B138" s="284">
        <v>5</v>
      </c>
      <c r="C138" s="262" t="s">
        <v>30</v>
      </c>
    </row>
    <row r="139" spans="1:3" s="249" customFormat="1" x14ac:dyDescent="0.2">
      <c r="A139" s="262" t="s">
        <v>380</v>
      </c>
      <c r="B139" s="283">
        <v>55</v>
      </c>
      <c r="C139" s="267" t="s">
        <v>254</v>
      </c>
    </row>
    <row r="140" spans="1:3" s="249" customFormat="1" x14ac:dyDescent="0.2">
      <c r="A140" s="262" t="s">
        <v>381</v>
      </c>
      <c r="B140" s="283">
        <v>55</v>
      </c>
      <c r="C140" s="267" t="s">
        <v>254</v>
      </c>
    </row>
    <row r="141" spans="1:3" s="249" customFormat="1" x14ac:dyDescent="0.2">
      <c r="A141" s="262" t="s">
        <v>382</v>
      </c>
      <c r="B141" s="283">
        <v>55</v>
      </c>
      <c r="C141" s="267" t="s">
        <v>254</v>
      </c>
    </row>
    <row r="142" spans="1:3" s="249" customFormat="1" x14ac:dyDescent="0.2">
      <c r="A142" s="262" t="s">
        <v>383</v>
      </c>
      <c r="B142" s="283">
        <v>55</v>
      </c>
      <c r="C142" s="267" t="s">
        <v>254</v>
      </c>
    </row>
    <row r="143" spans="1:3" s="249" customFormat="1" x14ac:dyDescent="0.2">
      <c r="A143" s="262" t="s">
        <v>479</v>
      </c>
      <c r="B143" s="283">
        <v>55</v>
      </c>
      <c r="C143" s="267" t="s">
        <v>254</v>
      </c>
    </row>
    <row r="144" spans="1:3" s="249" customFormat="1" x14ac:dyDescent="0.2">
      <c r="A144" s="262" t="s">
        <v>480</v>
      </c>
      <c r="B144" s="283">
        <v>55</v>
      </c>
      <c r="C144" s="267" t="s">
        <v>254</v>
      </c>
    </row>
    <row r="145" spans="1:3" s="249" customFormat="1" x14ac:dyDescent="0.2">
      <c r="A145" s="262" t="s">
        <v>481</v>
      </c>
      <c r="B145" s="283">
        <v>55</v>
      </c>
      <c r="C145" s="267" t="s">
        <v>254</v>
      </c>
    </row>
    <row r="146" spans="1:3" s="249" customFormat="1" x14ac:dyDescent="0.2">
      <c r="A146" s="262" t="s">
        <v>482</v>
      </c>
      <c r="B146" s="283">
        <v>55</v>
      </c>
      <c r="C146" s="267" t="s">
        <v>254</v>
      </c>
    </row>
    <row r="147" spans="1:3" s="249" customFormat="1" x14ac:dyDescent="0.2">
      <c r="A147" s="262" t="s">
        <v>326</v>
      </c>
      <c r="B147" s="283">
        <v>55</v>
      </c>
      <c r="C147" s="262" t="s">
        <v>254</v>
      </c>
    </row>
    <row r="148" spans="1:3" s="249" customFormat="1" x14ac:dyDescent="0.2">
      <c r="A148" s="262" t="s">
        <v>327</v>
      </c>
      <c r="B148" s="283">
        <v>55</v>
      </c>
      <c r="C148" s="262" t="s">
        <v>254</v>
      </c>
    </row>
    <row r="149" spans="1:3" s="249" customFormat="1" x14ac:dyDescent="0.2">
      <c r="A149" s="262" t="s">
        <v>483</v>
      </c>
      <c r="B149" s="283">
        <v>55</v>
      </c>
      <c r="C149" s="267" t="s">
        <v>254</v>
      </c>
    </row>
    <row r="150" spans="1:3" s="249" customFormat="1" x14ac:dyDescent="0.2">
      <c r="A150" s="262" t="s">
        <v>484</v>
      </c>
      <c r="B150" s="283">
        <v>55</v>
      </c>
      <c r="C150" s="267" t="s">
        <v>254</v>
      </c>
    </row>
    <row r="151" spans="1:3" s="249" customFormat="1" x14ac:dyDescent="0.2">
      <c r="A151" s="262" t="s">
        <v>324</v>
      </c>
      <c r="B151" s="283">
        <v>55</v>
      </c>
      <c r="C151" s="262" t="s">
        <v>254</v>
      </c>
    </row>
    <row r="152" spans="1:3" s="249" customFormat="1" x14ac:dyDescent="0.2">
      <c r="A152" s="262" t="s">
        <v>325</v>
      </c>
      <c r="B152" s="283">
        <v>55</v>
      </c>
      <c r="C152" s="262" t="s">
        <v>254</v>
      </c>
    </row>
    <row r="153" spans="1:3" s="249" customFormat="1" x14ac:dyDescent="0.2">
      <c r="A153" s="262" t="s">
        <v>328</v>
      </c>
      <c r="B153" s="283">
        <v>55</v>
      </c>
      <c r="C153" s="262" t="s">
        <v>254</v>
      </c>
    </row>
    <row r="154" spans="1:3" s="249" customFormat="1" x14ac:dyDescent="0.2">
      <c r="A154" s="262" t="s">
        <v>329</v>
      </c>
      <c r="B154" s="283">
        <v>55</v>
      </c>
      <c r="C154" s="262" t="s">
        <v>254</v>
      </c>
    </row>
    <row r="155" spans="1:3" s="249" customFormat="1" x14ac:dyDescent="0.2">
      <c r="A155" s="262" t="s">
        <v>384</v>
      </c>
      <c r="B155" s="284">
        <v>10</v>
      </c>
      <c r="C155" s="93" t="s">
        <v>69</v>
      </c>
    </row>
    <row r="156" spans="1:3" s="249" customFormat="1" x14ac:dyDescent="0.2">
      <c r="A156" s="262" t="s">
        <v>385</v>
      </c>
      <c r="B156" s="284">
        <v>20</v>
      </c>
      <c r="C156" s="93" t="s">
        <v>69</v>
      </c>
    </row>
    <row r="157" spans="1:3" s="249" customFormat="1" x14ac:dyDescent="0.2">
      <c r="A157" s="262" t="s">
        <v>386</v>
      </c>
      <c r="B157" s="284">
        <v>30</v>
      </c>
      <c r="C157" s="93" t="s">
        <v>69</v>
      </c>
    </row>
    <row r="158" spans="1:3" s="249" customFormat="1" x14ac:dyDescent="0.2">
      <c r="A158" s="262" t="s">
        <v>387</v>
      </c>
      <c r="B158" s="284">
        <v>55</v>
      </c>
      <c r="C158" s="262" t="s">
        <v>26</v>
      </c>
    </row>
    <row r="159" spans="1:3" s="249" customFormat="1" x14ac:dyDescent="0.2">
      <c r="A159" s="262" t="s">
        <v>388</v>
      </c>
      <c r="B159" s="284">
        <v>55</v>
      </c>
      <c r="C159" s="262" t="s">
        <v>26</v>
      </c>
    </row>
    <row r="160" spans="1:3" s="249" customFormat="1" x14ac:dyDescent="0.2">
      <c r="A160" s="262" t="s">
        <v>389</v>
      </c>
      <c r="B160" s="283">
        <v>15</v>
      </c>
      <c r="C160" s="263" t="s">
        <v>224</v>
      </c>
    </row>
    <row r="161" spans="1:3" s="249" customFormat="1" x14ac:dyDescent="0.2">
      <c r="A161" s="262" t="s">
        <v>390</v>
      </c>
      <c r="B161" s="283">
        <v>15</v>
      </c>
      <c r="C161" s="263" t="s">
        <v>224</v>
      </c>
    </row>
    <row r="162" spans="1:3" s="249" customFormat="1" x14ac:dyDescent="0.2">
      <c r="A162" s="262" t="s">
        <v>396</v>
      </c>
      <c r="B162" s="283">
        <v>15</v>
      </c>
      <c r="C162" s="263" t="s">
        <v>224</v>
      </c>
    </row>
    <row r="163" spans="1:3" s="249" customFormat="1" x14ac:dyDescent="0.2">
      <c r="A163" s="249" t="s">
        <v>393</v>
      </c>
      <c r="B163" s="283">
        <v>2</v>
      </c>
      <c r="C163" s="267" t="s">
        <v>395</v>
      </c>
    </row>
    <row r="164" spans="1:3" s="249" customFormat="1" x14ac:dyDescent="0.2">
      <c r="A164" s="249" t="s">
        <v>394</v>
      </c>
      <c r="B164" s="283">
        <v>2</v>
      </c>
      <c r="C164" s="267" t="s">
        <v>395</v>
      </c>
    </row>
    <row r="165" spans="1:3" s="249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249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249" customFormat="1" x14ac:dyDescent="0.2">
      <c r="A167" s="262" t="s">
        <v>397</v>
      </c>
      <c r="B167" s="283">
        <v>2</v>
      </c>
      <c r="C167" s="267" t="s">
        <v>166</v>
      </c>
    </row>
    <row r="168" spans="1:3" s="249" customFormat="1" x14ac:dyDescent="0.2">
      <c r="A168" s="262" t="s">
        <v>398</v>
      </c>
      <c r="B168" s="283">
        <v>2</v>
      </c>
      <c r="C168" s="267" t="s">
        <v>166</v>
      </c>
    </row>
    <row r="169" spans="1:3" s="249" customFormat="1" x14ac:dyDescent="0.2">
      <c r="A169" s="262" t="s">
        <v>103</v>
      </c>
      <c r="B169" s="283">
        <v>0.4</v>
      </c>
      <c r="C169" s="247"/>
    </row>
    <row r="170" spans="1:3" s="249" customFormat="1" x14ac:dyDescent="0.2">
      <c r="A170" s="262" t="s">
        <v>158</v>
      </c>
      <c r="B170" s="283">
        <v>0.4</v>
      </c>
      <c r="C170" s="247"/>
    </row>
    <row r="171" spans="1:3" s="249" customFormat="1" x14ac:dyDescent="0.2">
      <c r="A171" s="262" t="s">
        <v>159</v>
      </c>
      <c r="B171" s="282">
        <f>B3</f>
        <v>0.124</v>
      </c>
      <c r="C171" s="247"/>
    </row>
    <row r="172" spans="1:3" s="249" customFormat="1" x14ac:dyDescent="0.2">
      <c r="A172" s="262" t="s">
        <v>62</v>
      </c>
      <c r="B172" s="282">
        <f>B4</f>
        <v>0.79200000000000004</v>
      </c>
      <c r="C172" s="247"/>
    </row>
    <row r="173" spans="1:3" s="249" customFormat="1" x14ac:dyDescent="0.2">
      <c r="A173" s="262" t="s">
        <v>255</v>
      </c>
      <c r="B173" s="284">
        <v>2</v>
      </c>
      <c r="C173" s="247"/>
    </row>
    <row r="174" spans="1:3" s="249" customFormat="1" x14ac:dyDescent="0.2">
      <c r="A174" s="267" t="s">
        <v>399</v>
      </c>
      <c r="B174" s="283">
        <v>2</v>
      </c>
      <c r="C174" s="247"/>
    </row>
    <row r="175" spans="1:3" s="249" customFormat="1" x14ac:dyDescent="0.2">
      <c r="A175" s="267" t="s">
        <v>400</v>
      </c>
      <c r="B175" s="283">
        <v>2</v>
      </c>
      <c r="C175" s="247"/>
    </row>
    <row r="176" spans="1:3" s="249" customFormat="1" x14ac:dyDescent="0.2">
      <c r="A176" s="267" t="s">
        <v>401</v>
      </c>
      <c r="B176" s="283">
        <v>2</v>
      </c>
      <c r="C176" s="247"/>
    </row>
    <row r="177" spans="1:3" s="249" customFormat="1" x14ac:dyDescent="0.2">
      <c r="A177" s="267" t="s">
        <v>402</v>
      </c>
      <c r="B177" s="283">
        <v>2</v>
      </c>
      <c r="C177" s="247"/>
    </row>
    <row r="178" spans="1:3" s="249" customFormat="1" x14ac:dyDescent="0.2">
      <c r="A178" s="267" t="s">
        <v>403</v>
      </c>
      <c r="B178" s="283">
        <v>2</v>
      </c>
      <c r="C178" s="247"/>
    </row>
    <row r="179" spans="1:3" s="249" customFormat="1" x14ac:dyDescent="0.2">
      <c r="A179" s="267" t="s">
        <v>404</v>
      </c>
      <c r="B179" s="283">
        <v>2</v>
      </c>
      <c r="C179" s="247"/>
    </row>
    <row r="180" spans="1:3" s="249" customFormat="1" x14ac:dyDescent="0.2">
      <c r="A180" s="267" t="s">
        <v>405</v>
      </c>
      <c r="B180" s="284">
        <v>2</v>
      </c>
      <c r="C180" s="247"/>
    </row>
    <row r="181" spans="1:3" s="249" customFormat="1" x14ac:dyDescent="0.2">
      <c r="A181" s="262" t="s">
        <v>41</v>
      </c>
      <c r="B181" s="284">
        <v>3.62</v>
      </c>
      <c r="C181" s="249" t="s">
        <v>42</v>
      </c>
    </row>
    <row r="182" spans="1:3" s="249" customFormat="1" x14ac:dyDescent="0.2">
      <c r="A182" s="262" t="s">
        <v>46</v>
      </c>
      <c r="B182" s="284">
        <v>0.25</v>
      </c>
      <c r="C182" s="249" t="s">
        <v>47</v>
      </c>
    </row>
    <row r="183" spans="1:3" s="249" customFormat="1" x14ac:dyDescent="0.2">
      <c r="A183" s="267" t="s">
        <v>60</v>
      </c>
      <c r="B183" s="284">
        <v>10950</v>
      </c>
      <c r="C183" s="249" t="s">
        <v>61</v>
      </c>
    </row>
    <row r="184" spans="1:3" s="249" customFormat="1" x14ac:dyDescent="0.2">
      <c r="A184" s="267" t="s">
        <v>65</v>
      </c>
      <c r="B184" s="284">
        <v>240</v>
      </c>
      <c r="C184" s="249" t="s">
        <v>66</v>
      </c>
    </row>
    <row r="185" spans="1:3" s="249" customFormat="1" x14ac:dyDescent="0.2">
      <c r="A185" s="267" t="s">
        <v>76</v>
      </c>
      <c r="B185" s="284">
        <v>0.42</v>
      </c>
      <c r="C185" s="249" t="s">
        <v>47</v>
      </c>
    </row>
    <row r="186" spans="1:3" s="249" customFormat="1" x14ac:dyDescent="0.2">
      <c r="A186" s="267" t="s">
        <v>85</v>
      </c>
      <c r="B186" s="284">
        <v>60</v>
      </c>
      <c r="C186" s="262" t="s">
        <v>61</v>
      </c>
    </row>
    <row r="187" spans="1:3" s="249" customFormat="1" x14ac:dyDescent="0.2">
      <c r="A187" s="267" t="s">
        <v>87</v>
      </c>
      <c r="B187" s="284">
        <v>2</v>
      </c>
      <c r="C187" s="262" t="s">
        <v>66</v>
      </c>
    </row>
    <row r="188" spans="1:3" s="249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249" customFormat="1" x14ac:dyDescent="0.2">
      <c r="A189" s="267" t="s">
        <v>91</v>
      </c>
      <c r="B189" s="284">
        <v>1</v>
      </c>
      <c r="C189" s="249" t="s">
        <v>47</v>
      </c>
    </row>
    <row r="190" spans="1:3" s="249" customFormat="1" x14ac:dyDescent="0.2">
      <c r="A190" s="267" t="s">
        <v>92</v>
      </c>
      <c r="B190" s="284">
        <v>14</v>
      </c>
      <c r="C190" s="249" t="s">
        <v>93</v>
      </c>
    </row>
    <row r="191" spans="1:3" s="249" customFormat="1" x14ac:dyDescent="0.2">
      <c r="A191" s="262" t="s">
        <v>29</v>
      </c>
      <c r="B191" s="284">
        <v>92</v>
      </c>
      <c r="C191" s="262" t="s">
        <v>30</v>
      </c>
    </row>
    <row r="192" spans="1:3" s="249" customFormat="1" x14ac:dyDescent="0.2">
      <c r="A192" s="249" t="s">
        <v>287</v>
      </c>
      <c r="B192" s="283">
        <v>1.03</v>
      </c>
      <c r="C192" s="249" t="s">
        <v>288</v>
      </c>
    </row>
    <row r="193" spans="1:3" s="249" customFormat="1" x14ac:dyDescent="0.2">
      <c r="A193" s="262" t="s">
        <v>406</v>
      </c>
      <c r="B193" s="284">
        <v>20.3</v>
      </c>
      <c r="C193" s="249" t="s">
        <v>283</v>
      </c>
    </row>
    <row r="194" spans="1:3" s="249" customFormat="1" x14ac:dyDescent="0.2">
      <c r="A194" s="262" t="s">
        <v>407</v>
      </c>
      <c r="B194" s="284">
        <v>0.4</v>
      </c>
      <c r="C194" s="249" t="s">
        <v>283</v>
      </c>
    </row>
    <row r="195" spans="1:3" s="249" customFormat="1" x14ac:dyDescent="0.2">
      <c r="A195" s="262" t="s">
        <v>408</v>
      </c>
      <c r="B195" s="284">
        <v>1</v>
      </c>
      <c r="C195" s="247"/>
    </row>
    <row r="196" spans="1:3" s="249" customFormat="1" x14ac:dyDescent="0.2">
      <c r="A196" s="262" t="s">
        <v>409</v>
      </c>
      <c r="B196" s="284">
        <v>1</v>
      </c>
      <c r="C196" s="247"/>
    </row>
    <row r="197" spans="1:3" s="249" customFormat="1" x14ac:dyDescent="0.2">
      <c r="A197" s="262" t="s">
        <v>31</v>
      </c>
      <c r="B197" s="284">
        <v>53</v>
      </c>
      <c r="C197" s="262" t="s">
        <v>30</v>
      </c>
    </row>
    <row r="198" spans="1:3" s="249" customFormat="1" x14ac:dyDescent="0.2">
      <c r="A198" s="262" t="s">
        <v>410</v>
      </c>
      <c r="B198" s="284">
        <v>11.77</v>
      </c>
      <c r="C198" s="249" t="s">
        <v>283</v>
      </c>
    </row>
    <row r="199" spans="1:3" s="249" customFormat="1" x14ac:dyDescent="0.2">
      <c r="A199" s="262" t="s">
        <v>411</v>
      </c>
      <c r="B199" s="284">
        <v>0.5</v>
      </c>
      <c r="C199" s="249" t="s">
        <v>283</v>
      </c>
    </row>
    <row r="200" spans="1:3" s="249" customFormat="1" x14ac:dyDescent="0.2">
      <c r="A200" s="262" t="s">
        <v>412</v>
      </c>
      <c r="B200" s="284">
        <v>1</v>
      </c>
      <c r="C200" s="247"/>
    </row>
    <row r="201" spans="1:3" s="249" customFormat="1" x14ac:dyDescent="0.2">
      <c r="A201" s="262" t="s">
        <v>413</v>
      </c>
      <c r="B201" s="284">
        <v>1</v>
      </c>
      <c r="C201" s="247"/>
    </row>
    <row r="202" spans="1:3" s="249" customFormat="1" x14ac:dyDescent="0.2">
      <c r="A202" s="262" t="s">
        <v>173</v>
      </c>
      <c r="B202" s="283">
        <v>0.4</v>
      </c>
      <c r="C202" s="262" t="s">
        <v>30</v>
      </c>
    </row>
    <row r="203" spans="1:3" s="249" customFormat="1" x14ac:dyDescent="0.2">
      <c r="A203" s="262" t="s">
        <v>177</v>
      </c>
      <c r="B203" s="284">
        <v>0.2</v>
      </c>
      <c r="C203" s="249" t="s">
        <v>283</v>
      </c>
    </row>
    <row r="204" spans="1:3" s="249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249" customFormat="1" x14ac:dyDescent="0.2">
      <c r="A205" s="262" t="s">
        <v>178</v>
      </c>
      <c r="B205" s="283">
        <v>1</v>
      </c>
      <c r="C205" s="247"/>
    </row>
    <row r="206" spans="1:3" s="249" customFormat="1" x14ac:dyDescent="0.2">
      <c r="A206" s="262" t="s">
        <v>179</v>
      </c>
      <c r="B206" s="283">
        <v>1</v>
      </c>
      <c r="C206" s="247"/>
    </row>
    <row r="207" spans="1:3" s="249" customFormat="1" x14ac:dyDescent="0.2">
      <c r="A207" s="262" t="s">
        <v>414</v>
      </c>
      <c r="B207" s="283">
        <v>0.4</v>
      </c>
      <c r="C207" s="262" t="s">
        <v>30</v>
      </c>
    </row>
    <row r="208" spans="1:3" s="249" customFormat="1" x14ac:dyDescent="0.2">
      <c r="A208" s="262" t="s">
        <v>415</v>
      </c>
      <c r="B208" s="284">
        <v>0.2</v>
      </c>
      <c r="C208" s="249" t="s">
        <v>283</v>
      </c>
    </row>
    <row r="209" spans="1:3" s="249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249" customFormat="1" x14ac:dyDescent="0.2">
      <c r="A210" s="262" t="s">
        <v>417</v>
      </c>
      <c r="B210" s="284">
        <v>1</v>
      </c>
      <c r="C210" s="247"/>
    </row>
    <row r="211" spans="1:3" s="249" customFormat="1" x14ac:dyDescent="0.2">
      <c r="A211" s="262" t="s">
        <v>418</v>
      </c>
      <c r="B211" s="284">
        <v>1</v>
      </c>
      <c r="C211" s="247"/>
    </row>
    <row r="212" spans="1:3" s="249" customFormat="1" x14ac:dyDescent="0.2">
      <c r="A212" s="262" t="s">
        <v>174</v>
      </c>
      <c r="B212" s="284">
        <v>11.4</v>
      </c>
      <c r="C212" s="262" t="s">
        <v>30</v>
      </c>
    </row>
    <row r="213" spans="1:3" s="249" customFormat="1" x14ac:dyDescent="0.2">
      <c r="A213" s="262" t="s">
        <v>419</v>
      </c>
      <c r="B213" s="284">
        <v>4.7</v>
      </c>
      <c r="C213" s="249" t="s">
        <v>283</v>
      </c>
    </row>
    <row r="214" spans="1:3" s="249" customFormat="1" x14ac:dyDescent="0.2">
      <c r="A214" s="262" t="s">
        <v>420</v>
      </c>
      <c r="B214" s="284">
        <v>0.37</v>
      </c>
      <c r="C214" s="249" t="s">
        <v>283</v>
      </c>
    </row>
    <row r="215" spans="1:3" s="249" customFormat="1" x14ac:dyDescent="0.2">
      <c r="A215" s="262" t="s">
        <v>421</v>
      </c>
      <c r="B215" s="284">
        <v>1</v>
      </c>
      <c r="C215" s="247"/>
    </row>
    <row r="216" spans="1:3" s="249" customFormat="1" x14ac:dyDescent="0.2">
      <c r="A216" s="262" t="s">
        <v>422</v>
      </c>
      <c r="B216" s="284">
        <v>1</v>
      </c>
      <c r="C216" s="247"/>
    </row>
    <row r="217" spans="1:3" s="249" customFormat="1" x14ac:dyDescent="0.2">
      <c r="A217" s="249" t="s">
        <v>83</v>
      </c>
      <c r="B217" s="284">
        <v>0.5</v>
      </c>
    </row>
    <row r="218" spans="1:3" s="249" customFormat="1" x14ac:dyDescent="0.2">
      <c r="A218" s="558" t="s">
        <v>423</v>
      </c>
      <c r="B218" s="558"/>
      <c r="C218" s="558"/>
    </row>
    <row r="219" spans="1:3" s="249" customFormat="1" x14ac:dyDescent="0.2">
      <c r="A219" s="249" t="s">
        <v>424</v>
      </c>
      <c r="B219" s="283">
        <v>55</v>
      </c>
      <c r="C219" s="263" t="s">
        <v>359</v>
      </c>
    </row>
    <row r="220" spans="1:3" s="249" customFormat="1" x14ac:dyDescent="0.2">
      <c r="A220" s="262" t="s">
        <v>425</v>
      </c>
      <c r="B220" s="283">
        <v>55</v>
      </c>
      <c r="C220" s="249" t="s">
        <v>26</v>
      </c>
    </row>
    <row r="221" spans="1:3" s="249" customFormat="1" x14ac:dyDescent="0.2">
      <c r="A221" s="262" t="s">
        <v>75</v>
      </c>
      <c r="B221" s="284">
        <v>5</v>
      </c>
      <c r="C221" s="249" t="s">
        <v>69</v>
      </c>
    </row>
    <row r="222" spans="1:3" s="249" customFormat="1" x14ac:dyDescent="0.2">
      <c r="A222" s="262" t="s">
        <v>426</v>
      </c>
      <c r="B222" s="283">
        <v>55</v>
      </c>
      <c r="C222" s="263" t="s">
        <v>54</v>
      </c>
    </row>
    <row r="223" spans="1:3" s="249" customFormat="1" x14ac:dyDescent="0.2">
      <c r="A223" s="249" t="s">
        <v>353</v>
      </c>
      <c r="B223" s="284">
        <v>1</v>
      </c>
      <c r="C223" s="247"/>
    </row>
    <row r="224" spans="1:3" s="249" customFormat="1" x14ac:dyDescent="0.2">
      <c r="A224" s="262" t="s">
        <v>56</v>
      </c>
      <c r="B224" s="284">
        <v>1</v>
      </c>
      <c r="C224" s="247"/>
    </row>
    <row r="225" spans="1:3" s="249" customFormat="1" x14ac:dyDescent="0.2">
      <c r="A225" s="262" t="s">
        <v>52</v>
      </c>
      <c r="B225" s="284">
        <v>0.4</v>
      </c>
      <c r="C225" s="247"/>
    </row>
    <row r="226" spans="1:3" s="249" customFormat="1" x14ac:dyDescent="0.2">
      <c r="A226" s="262" t="s">
        <v>62</v>
      </c>
      <c r="B226" s="284">
        <v>1</v>
      </c>
      <c r="C226" s="247"/>
    </row>
    <row r="227" spans="1:3" s="249" customFormat="1" x14ac:dyDescent="0.2">
      <c r="A227" s="262" t="s">
        <v>467</v>
      </c>
      <c r="B227" s="283">
        <v>2</v>
      </c>
      <c r="C227" s="249" t="s">
        <v>224</v>
      </c>
    </row>
    <row r="228" spans="1:3" s="249" customFormat="1" x14ac:dyDescent="0.2">
      <c r="A228" s="262" t="s">
        <v>468</v>
      </c>
      <c r="B228" s="283">
        <v>3</v>
      </c>
      <c r="C228" s="249" t="s">
        <v>224</v>
      </c>
    </row>
    <row r="229" spans="1:3" s="249" customFormat="1" x14ac:dyDescent="0.2">
      <c r="A229" s="262" t="s">
        <v>103</v>
      </c>
      <c r="B229" s="283">
        <v>0.4</v>
      </c>
      <c r="C229" s="247"/>
    </row>
    <row r="230" spans="1:3" s="249" customFormat="1" x14ac:dyDescent="0.2">
      <c r="A230" s="558" t="s">
        <v>427</v>
      </c>
      <c r="B230" s="558"/>
      <c r="C230" s="558"/>
    </row>
    <row r="231" spans="1:3" s="249" customFormat="1" x14ac:dyDescent="0.2">
      <c r="A231" s="249" t="s">
        <v>428</v>
      </c>
      <c r="B231" s="283">
        <v>55</v>
      </c>
      <c r="C231" s="263" t="s">
        <v>359</v>
      </c>
    </row>
    <row r="232" spans="1:3" s="249" customFormat="1" x14ac:dyDescent="0.2">
      <c r="A232" s="262" t="s">
        <v>40</v>
      </c>
      <c r="B232" s="283">
        <v>55</v>
      </c>
      <c r="C232" s="249" t="s">
        <v>26</v>
      </c>
    </row>
    <row r="233" spans="1:3" s="249" customFormat="1" x14ac:dyDescent="0.2">
      <c r="A233" s="262" t="s">
        <v>429</v>
      </c>
      <c r="B233" s="284">
        <v>5</v>
      </c>
      <c r="C233" s="249" t="s">
        <v>69</v>
      </c>
    </row>
    <row r="234" spans="1:3" s="249" customFormat="1" x14ac:dyDescent="0.2">
      <c r="A234" s="262" t="s">
        <v>79</v>
      </c>
      <c r="B234" s="283">
        <v>55</v>
      </c>
      <c r="C234" s="263" t="s">
        <v>54</v>
      </c>
    </row>
    <row r="235" spans="1:3" s="249" customFormat="1" x14ac:dyDescent="0.2">
      <c r="A235" s="249" t="s">
        <v>353</v>
      </c>
      <c r="B235" s="284">
        <v>1</v>
      </c>
      <c r="C235" s="247"/>
    </row>
    <row r="236" spans="1:3" s="249" customFormat="1" x14ac:dyDescent="0.2">
      <c r="A236" s="262" t="s">
        <v>56</v>
      </c>
      <c r="B236" s="284">
        <v>1</v>
      </c>
      <c r="C236" s="247"/>
    </row>
    <row r="237" spans="1:3" s="249" customFormat="1" x14ac:dyDescent="0.2">
      <c r="A237" s="262" t="s">
        <v>52</v>
      </c>
      <c r="B237" s="284">
        <v>0.4</v>
      </c>
      <c r="C237" s="247"/>
    </row>
    <row r="238" spans="1:3" s="249" customFormat="1" x14ac:dyDescent="0.2">
      <c r="A238" s="262" t="s">
        <v>62</v>
      </c>
      <c r="B238" s="284">
        <v>1</v>
      </c>
      <c r="C238" s="247"/>
    </row>
    <row r="239" spans="1:3" s="249" customFormat="1" x14ac:dyDescent="0.2">
      <c r="A239" s="262" t="s">
        <v>469</v>
      </c>
      <c r="B239" s="283">
        <v>0</v>
      </c>
      <c r="C239" s="249" t="s">
        <v>224</v>
      </c>
    </row>
    <row r="240" spans="1:3" s="249" customFormat="1" x14ac:dyDescent="0.2">
      <c r="A240" s="262" t="s">
        <v>470</v>
      </c>
      <c r="B240" s="283">
        <v>5</v>
      </c>
      <c r="C240" s="249" t="s">
        <v>224</v>
      </c>
    </row>
    <row r="241" spans="1:3" s="249" customFormat="1" x14ac:dyDescent="0.2">
      <c r="A241" s="262" t="s">
        <v>103</v>
      </c>
      <c r="B241" s="283">
        <v>0.4</v>
      </c>
      <c r="C241" s="247"/>
    </row>
    <row r="242" spans="1:3" s="249" customFormat="1" x14ac:dyDescent="0.2">
      <c r="A242" s="558" t="s">
        <v>430</v>
      </c>
      <c r="B242" s="558"/>
      <c r="C242" s="558"/>
    </row>
    <row r="243" spans="1:3" s="249" customFormat="1" x14ac:dyDescent="0.2">
      <c r="A243" s="249" t="s">
        <v>58</v>
      </c>
      <c r="B243" s="283">
        <v>55</v>
      </c>
      <c r="C243" s="263" t="s">
        <v>359</v>
      </c>
    </row>
    <row r="244" spans="1:3" s="249" customFormat="1" x14ac:dyDescent="0.2">
      <c r="A244" s="262" t="s">
        <v>431</v>
      </c>
      <c r="B244" s="283">
        <v>55</v>
      </c>
      <c r="C244" s="249" t="s">
        <v>26</v>
      </c>
    </row>
    <row r="245" spans="1:3" s="249" customFormat="1" x14ac:dyDescent="0.2">
      <c r="A245" s="262" t="s">
        <v>432</v>
      </c>
      <c r="B245" s="284">
        <v>5</v>
      </c>
      <c r="C245" s="249" t="s">
        <v>69</v>
      </c>
    </row>
    <row r="246" spans="1:3" s="249" customFormat="1" x14ac:dyDescent="0.2">
      <c r="A246" s="262" t="s">
        <v>433</v>
      </c>
      <c r="B246" s="283">
        <v>55</v>
      </c>
      <c r="C246" s="263" t="s">
        <v>54</v>
      </c>
    </row>
    <row r="247" spans="1:3" s="249" customFormat="1" x14ac:dyDescent="0.2">
      <c r="A247" s="249" t="s">
        <v>353</v>
      </c>
      <c r="B247" s="284">
        <v>1</v>
      </c>
      <c r="C247" s="247"/>
    </row>
    <row r="248" spans="1:3" s="249" customFormat="1" x14ac:dyDescent="0.2">
      <c r="A248" s="262" t="s">
        <v>56</v>
      </c>
      <c r="B248" s="284">
        <v>1</v>
      </c>
      <c r="C248" s="247"/>
    </row>
    <row r="249" spans="1:3" s="249" customFormat="1" x14ac:dyDescent="0.2">
      <c r="A249" s="262" t="s">
        <v>52</v>
      </c>
      <c r="B249" s="284">
        <v>0.4</v>
      </c>
      <c r="C249" s="247"/>
    </row>
    <row r="250" spans="1:3" s="249" customFormat="1" x14ac:dyDescent="0.2">
      <c r="A250" s="262" t="s">
        <v>62</v>
      </c>
      <c r="B250" s="284">
        <v>1</v>
      </c>
      <c r="C250" s="247"/>
    </row>
    <row r="251" spans="1:3" s="249" customFormat="1" x14ac:dyDescent="0.2">
      <c r="A251" s="262" t="s">
        <v>466</v>
      </c>
      <c r="B251" s="283">
        <v>5</v>
      </c>
      <c r="C251" s="249" t="s">
        <v>224</v>
      </c>
    </row>
    <row r="252" spans="1:3" s="249" customFormat="1" x14ac:dyDescent="0.2">
      <c r="A252" s="262" t="s">
        <v>465</v>
      </c>
      <c r="B252" s="283">
        <v>0</v>
      </c>
      <c r="C252" s="249" t="s">
        <v>224</v>
      </c>
    </row>
    <row r="253" spans="1:3" s="249" customFormat="1" x14ac:dyDescent="0.2">
      <c r="A253" s="262" t="s">
        <v>103</v>
      </c>
      <c r="B253" s="283">
        <v>0.4</v>
      </c>
      <c r="C253" s="247"/>
    </row>
    <row r="254" spans="1:3" s="249" customFormat="1" x14ac:dyDescent="0.2">
      <c r="A254" s="558" t="s">
        <v>434</v>
      </c>
      <c r="B254" s="558"/>
      <c r="C254" s="558"/>
    </row>
    <row r="255" spans="1:3" s="249" customFormat="1" x14ac:dyDescent="0.2">
      <c r="A255" s="249" t="s">
        <v>435</v>
      </c>
      <c r="B255" s="283">
        <v>55</v>
      </c>
      <c r="C255" s="263" t="s">
        <v>359</v>
      </c>
    </row>
    <row r="256" spans="1:3" s="249" customFormat="1" x14ac:dyDescent="0.2">
      <c r="A256" s="262" t="s">
        <v>221</v>
      </c>
      <c r="B256" s="283">
        <v>55</v>
      </c>
      <c r="C256" s="249" t="s">
        <v>26</v>
      </c>
    </row>
    <row r="257" spans="1:3" s="249" customFormat="1" x14ac:dyDescent="0.2">
      <c r="A257" s="262" t="s">
        <v>186</v>
      </c>
      <c r="B257" s="284">
        <v>5</v>
      </c>
      <c r="C257" s="249" t="s">
        <v>69</v>
      </c>
    </row>
    <row r="258" spans="1:3" s="249" customFormat="1" x14ac:dyDescent="0.2">
      <c r="A258" s="262" t="s">
        <v>436</v>
      </c>
      <c r="B258" s="283">
        <v>55</v>
      </c>
      <c r="C258" s="263" t="s">
        <v>54</v>
      </c>
    </row>
    <row r="259" spans="1:3" s="249" customFormat="1" x14ac:dyDescent="0.2">
      <c r="A259" s="249" t="s">
        <v>353</v>
      </c>
      <c r="B259" s="284">
        <v>1</v>
      </c>
      <c r="C259" s="247"/>
    </row>
    <row r="260" spans="1:3" s="249" customFormat="1" x14ac:dyDescent="0.2">
      <c r="A260" s="262" t="s">
        <v>56</v>
      </c>
      <c r="B260" s="284">
        <v>1</v>
      </c>
      <c r="C260" s="247"/>
    </row>
    <row r="261" spans="1:3" s="249" customFormat="1" x14ac:dyDescent="0.2">
      <c r="A261" s="262" t="s">
        <v>52</v>
      </c>
      <c r="B261" s="284">
        <v>0.4</v>
      </c>
      <c r="C261" s="247"/>
    </row>
    <row r="262" spans="1:3" s="249" customFormat="1" x14ac:dyDescent="0.2">
      <c r="A262" s="262" t="s">
        <v>62</v>
      </c>
      <c r="B262" s="284">
        <v>1</v>
      </c>
      <c r="C262" s="247"/>
    </row>
    <row r="263" spans="1:3" s="249" customFormat="1" x14ac:dyDescent="0.2">
      <c r="A263" s="262" t="s">
        <v>471</v>
      </c>
      <c r="B263" s="283">
        <v>5</v>
      </c>
      <c r="C263" s="249" t="s">
        <v>224</v>
      </c>
    </row>
    <row r="264" spans="1:3" s="249" customFormat="1" x14ac:dyDescent="0.2">
      <c r="A264" s="262" t="s">
        <v>472</v>
      </c>
      <c r="B264" s="283">
        <v>0</v>
      </c>
      <c r="C264" s="249" t="s">
        <v>224</v>
      </c>
    </row>
    <row r="265" spans="1:3" s="249" customFormat="1" x14ac:dyDescent="0.2">
      <c r="A265" s="262" t="s">
        <v>103</v>
      </c>
      <c r="B265" s="283">
        <v>0.4</v>
      </c>
      <c r="C265" s="247"/>
    </row>
    <row r="266" spans="1:3" s="249" customFormat="1" x14ac:dyDescent="0.2">
      <c r="A266" s="262" t="s">
        <v>220</v>
      </c>
      <c r="B266" s="283">
        <v>5</v>
      </c>
      <c r="C266" s="249" t="s">
        <v>129</v>
      </c>
    </row>
    <row r="267" spans="1:3" s="249" customFormat="1" x14ac:dyDescent="0.2">
      <c r="A267" s="262" t="s">
        <v>219</v>
      </c>
      <c r="B267" s="283">
        <v>11</v>
      </c>
      <c r="C267" s="249" t="s">
        <v>130</v>
      </c>
    </row>
    <row r="268" spans="1:3" s="249" customFormat="1" x14ac:dyDescent="0.2">
      <c r="A268" s="558" t="s">
        <v>437</v>
      </c>
      <c r="B268" s="558"/>
      <c r="C268" s="558"/>
    </row>
    <row r="269" spans="1:3" s="249" customFormat="1" x14ac:dyDescent="0.2">
      <c r="A269" s="249" t="s">
        <v>435</v>
      </c>
      <c r="B269" s="283">
        <v>55</v>
      </c>
      <c r="C269" s="263" t="s">
        <v>359</v>
      </c>
    </row>
    <row r="270" spans="1:3" s="249" customFormat="1" x14ac:dyDescent="0.2">
      <c r="A270" s="262" t="s">
        <v>221</v>
      </c>
      <c r="B270" s="283">
        <v>55</v>
      </c>
      <c r="C270" s="249" t="s">
        <v>26</v>
      </c>
    </row>
    <row r="271" spans="1:3" s="249" customFormat="1" x14ac:dyDescent="0.2">
      <c r="A271" s="262" t="s">
        <v>186</v>
      </c>
      <c r="B271" s="284">
        <v>5</v>
      </c>
      <c r="C271" s="249" t="s">
        <v>69</v>
      </c>
    </row>
    <row r="272" spans="1:3" s="249" customFormat="1" x14ac:dyDescent="0.2">
      <c r="A272" s="262" t="s">
        <v>436</v>
      </c>
      <c r="B272" s="283">
        <v>55</v>
      </c>
      <c r="C272" s="263" t="s">
        <v>54</v>
      </c>
    </row>
    <row r="273" spans="1:3" s="249" customFormat="1" x14ac:dyDescent="0.2">
      <c r="A273" s="262" t="s">
        <v>56</v>
      </c>
      <c r="B273" s="284">
        <v>1</v>
      </c>
      <c r="C273" s="247"/>
    </row>
    <row r="274" spans="1:3" s="249" customFormat="1" x14ac:dyDescent="0.2">
      <c r="A274" s="262" t="s">
        <v>52</v>
      </c>
      <c r="B274" s="284">
        <v>0.4</v>
      </c>
      <c r="C274" s="247"/>
    </row>
    <row r="275" spans="1:3" s="249" customFormat="1" x14ac:dyDescent="0.2">
      <c r="A275" s="262" t="s">
        <v>62</v>
      </c>
      <c r="B275" s="284">
        <v>1</v>
      </c>
      <c r="C275" s="247"/>
    </row>
    <row r="276" spans="1:3" s="249" customFormat="1" x14ac:dyDescent="0.2">
      <c r="A276" s="262" t="s">
        <v>471</v>
      </c>
      <c r="B276" s="283">
        <v>5</v>
      </c>
      <c r="C276" s="249" t="s">
        <v>224</v>
      </c>
    </row>
    <row r="277" spans="1:3" s="249" customFormat="1" x14ac:dyDescent="0.2">
      <c r="A277" s="262" t="s">
        <v>472</v>
      </c>
      <c r="B277" s="283">
        <v>0</v>
      </c>
      <c r="C277" s="249" t="s">
        <v>224</v>
      </c>
    </row>
    <row r="278" spans="1:3" s="249" customFormat="1" x14ac:dyDescent="0.2">
      <c r="A278" s="262" t="s">
        <v>103</v>
      </c>
      <c r="B278" s="283">
        <v>0.4</v>
      </c>
      <c r="C278" s="247"/>
    </row>
    <row r="279" spans="1:3" s="249" customFormat="1" x14ac:dyDescent="0.2">
      <c r="A279" s="262" t="s">
        <v>220</v>
      </c>
      <c r="B279" s="283">
        <v>5</v>
      </c>
      <c r="C279" s="249" t="s">
        <v>129</v>
      </c>
    </row>
    <row r="280" spans="1:3" s="249" customFormat="1" x14ac:dyDescent="0.2">
      <c r="A280" s="262" t="s">
        <v>219</v>
      </c>
      <c r="B280" s="283">
        <v>11</v>
      </c>
      <c r="C280" s="249" t="s">
        <v>130</v>
      </c>
    </row>
    <row r="281" spans="1:3" s="249" customFormat="1" x14ac:dyDescent="0.2">
      <c r="A281" s="663" t="s">
        <v>576</v>
      </c>
      <c r="B281" s="663"/>
      <c r="C281" s="663"/>
    </row>
    <row r="282" spans="1:3" s="249" customFormat="1" x14ac:dyDescent="0.2">
      <c r="A282" s="263" t="s">
        <v>577</v>
      </c>
      <c r="B282" s="283">
        <v>2</v>
      </c>
    </row>
    <row r="283" spans="1:3" s="249" customFormat="1" x14ac:dyDescent="0.2">
      <c r="A283" s="249" t="s">
        <v>100</v>
      </c>
      <c r="B283" s="283">
        <v>0.6</v>
      </c>
    </row>
    <row r="284" spans="1:3" s="249" customFormat="1" x14ac:dyDescent="0.2">
      <c r="A284" s="249" t="s">
        <v>107</v>
      </c>
      <c r="B284" s="283">
        <v>20</v>
      </c>
      <c r="C284" s="249" t="s">
        <v>69</v>
      </c>
    </row>
    <row r="285" spans="1:3" s="249" customFormat="1" x14ac:dyDescent="0.2">
      <c r="A285" s="263" t="s">
        <v>39</v>
      </c>
      <c r="B285" s="283">
        <v>50</v>
      </c>
      <c r="C285" s="249" t="s">
        <v>69</v>
      </c>
    </row>
    <row r="286" spans="1:3" s="249" customFormat="1" x14ac:dyDescent="0.2">
      <c r="A286" s="263" t="s">
        <v>83</v>
      </c>
      <c r="B286" s="283">
        <v>2</v>
      </c>
      <c r="C286" s="249" t="s">
        <v>582</v>
      </c>
    </row>
    <row r="287" spans="1:3" s="249" customFormat="1" x14ac:dyDescent="0.2">
      <c r="A287" s="249" t="s">
        <v>109</v>
      </c>
      <c r="B287" s="283">
        <v>2</v>
      </c>
      <c r="C287" s="249" t="s">
        <v>110</v>
      </c>
    </row>
    <row r="288" spans="1:3" s="249" customFormat="1" x14ac:dyDescent="0.2">
      <c r="A288" s="249" t="s">
        <v>114</v>
      </c>
      <c r="B288" s="283">
        <v>0.36</v>
      </c>
      <c r="C288" s="249" t="s">
        <v>582</v>
      </c>
    </row>
    <row r="289" spans="1:3" s="249" customFormat="1" x14ac:dyDescent="0.2">
      <c r="A289" s="249" t="s">
        <v>116</v>
      </c>
      <c r="B289" s="283">
        <v>2</v>
      </c>
      <c r="C289" s="249" t="s">
        <v>113</v>
      </c>
    </row>
    <row r="290" spans="1:3" s="249" customFormat="1" x14ac:dyDescent="0.2">
      <c r="A290" s="249" t="s">
        <v>118</v>
      </c>
      <c r="B290" s="283">
        <v>2</v>
      </c>
      <c r="C290" s="249" t="s">
        <v>113</v>
      </c>
    </row>
    <row r="291" spans="1:3" s="249" customFormat="1" x14ac:dyDescent="0.2">
      <c r="A291" s="249" t="s">
        <v>119</v>
      </c>
      <c r="B291" s="283">
        <v>2</v>
      </c>
      <c r="C291" s="249" t="s">
        <v>113</v>
      </c>
    </row>
  </sheetData>
  <mergeCells count="335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B18:CD18"/>
    <mergeCell ref="CE18:CG18"/>
    <mergeCell ref="CK18:CM18"/>
    <mergeCell ref="CN18:CP18"/>
    <mergeCell ref="CO19:CO21"/>
    <mergeCell ref="CP19:CP21"/>
    <mergeCell ref="CQ18:CS18"/>
    <mergeCell ref="GY2:GY4"/>
    <mergeCell ref="GZ2:GZ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C2:BC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T2:T4"/>
    <mergeCell ref="U2:U4"/>
    <mergeCell ref="AC2:AC4"/>
    <mergeCell ref="AN2:AN4"/>
    <mergeCell ref="AO2:AO4"/>
    <mergeCell ref="AP2:AP4"/>
    <mergeCell ref="AQ2:AQ4"/>
    <mergeCell ref="AR2:AR4"/>
    <mergeCell ref="AI2:AI4"/>
    <mergeCell ref="AJ2:AJ4"/>
    <mergeCell ref="AK2:AK4"/>
    <mergeCell ref="AL2:AL4"/>
    <mergeCell ref="AM2:AM4"/>
    <mergeCell ref="GU1:GW1"/>
    <mergeCell ref="GX1:GZ1"/>
    <mergeCell ref="HA1:HC1"/>
    <mergeCell ref="HD1:HF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D2:AD4"/>
    <mergeCell ref="AE2:AE4"/>
    <mergeCell ref="AF2:AF4"/>
    <mergeCell ref="AG2:AG4"/>
    <mergeCell ref="AH2:AH4"/>
    <mergeCell ref="R2:R4"/>
    <mergeCell ref="S2:S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1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10.285156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85546875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9.85546875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9.28515625" style="289" bestFit="1" customWidth="1"/>
    <col min="115" max="115" width="6.28515625" style="249" bestFit="1" customWidth="1"/>
    <col min="116" max="116" width="12.42578125" style="249" bestFit="1" customWidth="1"/>
    <col min="117" max="117" width="9.2851562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.28515625" style="249" bestFit="1" customWidth="1"/>
    <col min="128" max="128" width="12" style="249" bestFit="1" customWidth="1"/>
    <col min="129" max="129" width="9.28515625" style="289" bestFit="1" customWidth="1"/>
    <col min="130" max="130" width="6.285156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.28515625" style="249" bestFit="1" customWidth="1"/>
    <col min="143" max="143" width="12" style="249" bestFit="1" customWidth="1"/>
    <col min="144" max="144" width="9.28515625" style="289" bestFit="1" customWidth="1"/>
    <col min="145" max="145" width="6.28515625" style="249" bestFit="1" customWidth="1"/>
    <col min="146" max="146" width="12" style="249" bestFit="1" customWidth="1"/>
    <col min="147" max="147" width="9.2851562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6.285156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7.71093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6.285156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285156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6.285156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6.285156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customHeight="1" thickTop="1" thickBot="1" x14ac:dyDescent="0.25">
      <c r="A1" s="694" t="s">
        <v>280</v>
      </c>
      <c r="B1" s="695"/>
      <c r="C1" s="696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1/((1/H12)+(1/H11))</f>
        <v>16.528925571605519</v>
      </c>
      <c r="I2" s="625" t="s">
        <v>14</v>
      </c>
      <c r="J2" s="619" t="s">
        <v>507</v>
      </c>
      <c r="K2" s="623">
        <f>1/((1/K15)+1/K16)</f>
        <v>12303114.967776982</v>
      </c>
      <c r="L2" s="621" t="s">
        <v>13</v>
      </c>
      <c r="M2" s="617" t="s">
        <v>516</v>
      </c>
      <c r="N2" s="647">
        <f>(N5*N6*N7)/((1-EXP(-N7*N6))*N10*N15*(N9/365)*N13*(((N14/24)*N12)+((N16/24)*N11)))</f>
        <v>9726045.0899773072</v>
      </c>
      <c r="O2" s="615" t="s">
        <v>13</v>
      </c>
      <c r="P2" s="639" t="s">
        <v>516</v>
      </c>
      <c r="Q2" s="647">
        <f>(Q5*Q6*Q7)/((1-EXP(-Q7*Q6))*Q10*Q15*(Q9/365)*Q13*(((Q14/24)*Q12)+((Q16/24)*Q11)))</f>
        <v>7248304.0219946289</v>
      </c>
      <c r="R2" s="637" t="s">
        <v>13</v>
      </c>
      <c r="S2" s="641" t="s">
        <v>516</v>
      </c>
      <c r="T2" s="647">
        <f>(T5*T6*T7)/((1-EXP(-T7*T6))*T10*T15*(T9/365)*T13*(((T14/24)*T12)+((T16/24)*T11)))</f>
        <v>1678900.6405317974</v>
      </c>
      <c r="U2" s="643" t="s">
        <v>13</v>
      </c>
      <c r="V2" s="55"/>
      <c r="W2" s="357"/>
      <c r="X2" s="56"/>
      <c r="Y2" s="57"/>
      <c r="Z2" s="357"/>
      <c r="AA2" s="58"/>
      <c r="AB2" s="650"/>
      <c r="AC2" s="660">
        <f>1/((1/AC33)+(1/AC34))</f>
        <v>12441387.242459128</v>
      </c>
      <c r="AD2" s="660">
        <f>1/((1/AD33)+(1/AD34))</f>
        <v>31082654.959323656</v>
      </c>
      <c r="AE2" s="660">
        <f>1/((1/AE33)+(1/AE34))</f>
        <v>12441387.242459128</v>
      </c>
      <c r="AF2" s="660">
        <f>1/((1/AF33)+(1/AF34))</f>
        <v>22972064.820900355</v>
      </c>
      <c r="AG2" s="660">
        <f>1/((1/AG33)+(1/AG34))</f>
        <v>200979537.79482535</v>
      </c>
      <c r="AH2" s="652" t="s">
        <v>13</v>
      </c>
      <c r="AI2" s="381" t="s">
        <v>516</v>
      </c>
      <c r="AJ2" s="387">
        <f>(AJ5*AJ6*AJ7)/((1-EXP(-AJ7*AJ6))*AJ15*(AJ9/365)*AJ10*(AJ16/24)*AJ11*AJ13)</f>
        <v>31117359.029410478</v>
      </c>
      <c r="AK2" s="629" t="s">
        <v>13</v>
      </c>
      <c r="AL2" s="383" t="s">
        <v>516</v>
      </c>
      <c r="AM2" s="387">
        <f>(AM5*AM6*AM7)/((1-EXP(-AM7*AM6))*AM15*(AM9/365)*AM10*(AM16/24)*AM11*AM13)</f>
        <v>147573442.39018211</v>
      </c>
      <c r="AN2" s="629" t="s">
        <v>13</v>
      </c>
      <c r="AO2" s="383" t="s">
        <v>516</v>
      </c>
      <c r="AP2" s="387">
        <f>(AP5*AP6*AP7)/((1-EXP(-AP7*AP6))*AP15*(AP9/365)*AP10*(AP16/24)*AP11*AP13)</f>
        <v>34181947.418670595</v>
      </c>
      <c r="AQ2" s="635" t="s">
        <v>13</v>
      </c>
      <c r="AR2" s="381" t="s">
        <v>516</v>
      </c>
      <c r="AS2" s="387">
        <f>(AS5*AS6*AS7)/((1-EXP(-AS7*AS6))*AS15*(AS9/365)*AS10*(AS14/24)*AS12*AS13)</f>
        <v>12446943.611764191</v>
      </c>
      <c r="AT2" s="391" t="s">
        <v>13</v>
      </c>
      <c r="AU2" s="383" t="s">
        <v>516</v>
      </c>
      <c r="AV2" s="387">
        <f>(AV5*AV6*AV7)/((1-EXP(-AV7*AV6))*AV15*(AV9/365)*AV10*(AV14/24)*AV12*AV13)</f>
        <v>59029376.956072852</v>
      </c>
      <c r="AW2" s="391" t="s">
        <v>13</v>
      </c>
      <c r="AX2" s="383" t="s">
        <v>516</v>
      </c>
      <c r="AY2" s="387">
        <f>(AY5*AY6*AY7)/((1-EXP(-AY7*AY6))*AY15*(AY9/365)*AY10*(AY14/24)*AY12*AY13)</f>
        <v>13672778.967468239</v>
      </c>
      <c r="AZ2" s="385" t="s">
        <v>13</v>
      </c>
      <c r="BA2" s="381" t="s">
        <v>516</v>
      </c>
      <c r="BB2" s="387">
        <f>(BB5*BB6*BB7)/((1-EXP(-BB7*BB6))*BB15*(BB9/365)*BB10*((BB14+BB16)/24)*BB12*BB13)</f>
        <v>12446943.611764191</v>
      </c>
      <c r="BC2" s="391" t="s">
        <v>13</v>
      </c>
      <c r="BD2" s="383" t="s">
        <v>516</v>
      </c>
      <c r="BE2" s="387">
        <f>(BE5*BE6*BE7)/((1-EXP(-BE7*BE6))*BE15*(BE9/365)*BE10*((BE14+BE16)/24)*BE12*BE13)</f>
        <v>59029376.956072852</v>
      </c>
      <c r="BF2" s="391" t="s">
        <v>13</v>
      </c>
      <c r="BG2" s="383" t="s">
        <v>516</v>
      </c>
      <c r="BH2" s="387">
        <f>(BH5*BH6*BH7)/((1-EXP(-BH7*BH6))*BH15*(BH9/365)*BH10*((BH14+BH16)/24)*BH12*BH13)</f>
        <v>13672778.967468239</v>
      </c>
      <c r="BI2" s="385" t="s">
        <v>13</v>
      </c>
      <c r="BJ2" s="381" t="s">
        <v>558</v>
      </c>
      <c r="BK2" s="389">
        <f>(BK5*BK6*BK7)/((1-EXP(-BK7*BK6))*BK12*BK16*(BK9/365)*BK14*(BK15/24)*BK13)</f>
        <v>242120751.86282662</v>
      </c>
      <c r="BL2" s="391" t="s">
        <v>13</v>
      </c>
      <c r="BM2" s="383" t="s">
        <v>559</v>
      </c>
      <c r="BN2" s="389">
        <f>(BN5*BN6*BN7)/((1-EXP(-BN7*BN6))*BN12*BN16*(BN9/365)*BN14*(BN15/24)*BN13)</f>
        <v>2447828196.395308</v>
      </c>
      <c r="BO2" s="391" t="s">
        <v>13</v>
      </c>
      <c r="BP2" s="383" t="s">
        <v>560</v>
      </c>
      <c r="BQ2" s="389">
        <f>(BQ5*BQ6*BQ7)/((1-EXP(-BQ7*BQ6))*BQ12*BQ16*(BQ9/365)*BQ14*(BQ15/24)*BQ13)</f>
        <v>333984204.74342531</v>
      </c>
      <c r="BR2" s="385" t="s">
        <v>13</v>
      </c>
      <c r="BS2" s="59"/>
      <c r="BT2" s="110"/>
      <c r="BU2" s="250"/>
      <c r="BV2" s="402" t="s">
        <v>563</v>
      </c>
      <c r="BW2" s="400" t="e">
        <f>1/((1/BW10)+(1/BW11))</f>
        <v>#DIV/0!</v>
      </c>
      <c r="BX2" s="404" t="s">
        <v>14</v>
      </c>
      <c r="BY2" s="402" t="s">
        <v>563</v>
      </c>
      <c r="BZ2" s="400" t="e">
        <f>1/((1/BZ13)+(1/BZ14)+(1/BZ15))</f>
        <v>#DIV/0!</v>
      </c>
      <c r="CA2" s="398" t="s">
        <v>13</v>
      </c>
      <c r="CB2" s="410" t="s">
        <v>558</v>
      </c>
      <c r="CC2" s="400">
        <f>(CC5*CC6*CC7)/((1-EXP(-CC7*CC6))*CC10*CC14*(CC9/365)*CC12*(CC13/24)*CC11)</f>
        <v>887776090.1636976</v>
      </c>
      <c r="CD2" s="404" t="s">
        <v>13</v>
      </c>
      <c r="CE2" s="402" t="s">
        <v>559</v>
      </c>
      <c r="CF2" s="400">
        <f>(CF5*CF6*CF7)/((1-EXP(-CF7*CF6))*CF10*CF14*(CF9/365)*CF12*(CF13/24)*CF11)</f>
        <v>8975370053.449461</v>
      </c>
      <c r="CG2" s="404" t="s">
        <v>13</v>
      </c>
      <c r="CH2" s="402" t="s">
        <v>560</v>
      </c>
      <c r="CI2" s="400">
        <f>(CI5*CI6*CI7)/((1-EXP(-CI7*CI6))*CI10*CI14*(CI9/365)*CI12*(CI13/24)*CI11)</f>
        <v>1224608750.7258928</v>
      </c>
      <c r="CJ2" s="398" t="s">
        <v>13</v>
      </c>
      <c r="CK2" s="410" t="s">
        <v>510</v>
      </c>
      <c r="CL2" s="400" t="e">
        <f>CL5/(CL6*CL7*CL8*CL9)</f>
        <v>#DIV/0!</v>
      </c>
      <c r="CM2" s="404" t="s">
        <v>13</v>
      </c>
      <c r="CN2" s="402" t="s">
        <v>7</v>
      </c>
      <c r="CO2" s="400" t="e">
        <f>CL2/(CO5*((CO10*CO12*CO13*(CO6+CO7))+(CO11*CO12)))</f>
        <v>#DIV/0!</v>
      </c>
      <c r="CP2" s="412" t="s">
        <v>13</v>
      </c>
      <c r="CQ2" s="402" t="s">
        <v>6</v>
      </c>
      <c r="CR2" s="400" t="e">
        <f>CL2/(CR5*CR6*(1/CR7))</f>
        <v>#DIV/0!</v>
      </c>
      <c r="CS2" s="415" t="s">
        <v>14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 t="e">
        <f>(DD5)/(DD6*(DD7+DD10)*DD20)</f>
        <v>#DIV/0!</v>
      </c>
      <c r="DE2" s="672" t="s">
        <v>13</v>
      </c>
      <c r="DF2" s="670" t="s">
        <v>510</v>
      </c>
      <c r="DG2" s="668" t="e">
        <f>(DD2/((1/DG24)*(DG5+DG6+DG7)))</f>
        <v>#DIV/0!</v>
      </c>
      <c r="DH2" s="666" t="s">
        <v>14</v>
      </c>
      <c r="DI2" s="680" t="s">
        <v>510</v>
      </c>
      <c r="DJ2" s="668" t="e">
        <f>(DD2/(DJ5+DJ6))*CU11</f>
        <v>#DIV/0!</v>
      </c>
      <c r="DK2" s="666" t="s">
        <v>14</v>
      </c>
      <c r="DL2" s="680" t="s">
        <v>554</v>
      </c>
      <c r="DM2" s="668" t="e">
        <f>(DD2/(DM5+DM6))*((DM9*DD21)/(1-EXP(-DD21*DM9)))</f>
        <v>#DIV/0!</v>
      </c>
      <c r="DN2" s="666" t="s">
        <v>14</v>
      </c>
      <c r="DO2" s="680" t="s">
        <v>553</v>
      </c>
      <c r="DP2" s="668">
        <f>-(DP5+DP6+DP7)/(DP23+DP24)</f>
        <v>-3.186299176558379</v>
      </c>
      <c r="DQ2" s="678" t="s">
        <v>14</v>
      </c>
      <c r="DR2" s="556" t="s">
        <v>510</v>
      </c>
      <c r="DS2" s="460" t="e">
        <f>DS5/(DS6*DS7*DS16)</f>
        <v>#DIV/0!</v>
      </c>
      <c r="DT2" s="466" t="s">
        <v>13</v>
      </c>
      <c r="DU2" s="464" t="s">
        <v>510</v>
      </c>
      <c r="DV2" s="462" t="e">
        <f>DS2/(DV5*(1/DV8)*DV6*(1/DV7))</f>
        <v>#DIV/0!</v>
      </c>
      <c r="DW2" s="480" t="s">
        <v>14</v>
      </c>
      <c r="DX2" s="478" t="s">
        <v>510</v>
      </c>
      <c r="DY2" s="462" t="e">
        <f>(DS2/(DY9*(1/DY14)*((DY10*DY12*DY13*(DY5+DY6))+(DY11*DY12))))*CU11</f>
        <v>#DIV/0!</v>
      </c>
      <c r="DZ2" s="480" t="s">
        <v>14</v>
      </c>
      <c r="EA2" s="478" t="s">
        <v>554</v>
      </c>
      <c r="EB2" s="462" t="e">
        <f>(DS2/(EB9*(1/EB14)*((EB10*EB12*EB13*(EB5+EB6))+(EB11*EB12))))*((EB15*DS18)/(1-EXP(-DS18*EB15)))</f>
        <v>#DIV/0!</v>
      </c>
      <c r="EC2" s="480" t="s">
        <v>14</v>
      </c>
      <c r="ED2" s="478" t="s">
        <v>553</v>
      </c>
      <c r="EE2" s="462">
        <f>-EE15/((EE10*EE12*EE13*(EE5+EE6))+(EE11*EE12))</f>
        <v>-16.803652968036527</v>
      </c>
      <c r="EF2" s="476" t="s">
        <v>14</v>
      </c>
      <c r="EG2" s="474" t="s">
        <v>510</v>
      </c>
      <c r="EH2" s="472" t="e">
        <f>EH5/(EH6*EH7*EH16)</f>
        <v>#DIV/0!</v>
      </c>
      <c r="EI2" s="470" t="s">
        <v>13</v>
      </c>
      <c r="EJ2" s="468" t="s">
        <v>510</v>
      </c>
      <c r="EK2" s="502" t="e">
        <f>EH2/(EK5*EK6*(1/EK7))</f>
        <v>#DIV/0!</v>
      </c>
      <c r="EL2" s="500" t="s">
        <v>14</v>
      </c>
      <c r="EM2" s="504" t="s">
        <v>510</v>
      </c>
      <c r="EN2" s="502" t="e">
        <f>(EH2/(EN9*((EN10*EN12*EN13*(EN5+EN6))+(EN11*EN12))))*CU11</f>
        <v>#DIV/0!</v>
      </c>
      <c r="EO2" s="500" t="s">
        <v>13</v>
      </c>
      <c r="EP2" s="504" t="s">
        <v>554</v>
      </c>
      <c r="EQ2" s="502" t="e">
        <f>(EH2/(EQ9*((EQ10*EQ12*EQ13*(EQ5+EQ6))+(EQ11*EQ12))))*((EQ14*EH18)/(1-EXP(-EH18*EQ14)))</f>
        <v>#DIV/0!</v>
      </c>
      <c r="ER2" s="500" t="s">
        <v>14</v>
      </c>
      <c r="ES2" s="504" t="s">
        <v>553</v>
      </c>
      <c r="ET2" s="502">
        <f>-ET15/((ET10*ET12*ET13*(ET5+ET6))+(ET11*ET12))</f>
        <v>-15.395787944807553</v>
      </c>
      <c r="EU2" s="514" t="s">
        <v>19</v>
      </c>
      <c r="EV2" s="512" t="s">
        <v>510</v>
      </c>
      <c r="EW2" s="510" t="e">
        <f>EW5/(EW6*EW7*EW16)</f>
        <v>#DIV/0!</v>
      </c>
      <c r="EX2" s="508" t="s">
        <v>13</v>
      </c>
      <c r="EY2" s="506" t="s">
        <v>510</v>
      </c>
      <c r="EZ2" s="494" t="e">
        <f>EW2/(EZ5*EZ6*(1/EZ7))</f>
        <v>#DIV/0!</v>
      </c>
      <c r="FA2" s="498" t="s">
        <v>14</v>
      </c>
      <c r="FB2" s="496" t="s">
        <v>510</v>
      </c>
      <c r="FC2" s="494" t="e">
        <f>(EW2/(FC9*((FC10*FC12*FC13*(FC5+FC6))+(FC11*FC12))))*CU11</f>
        <v>#DIV/0!</v>
      </c>
      <c r="FD2" s="498" t="s">
        <v>13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14</v>
      </c>
      <c r="FH2" s="496" t="s">
        <v>553</v>
      </c>
      <c r="FI2" s="494">
        <f>-FI15/((FI10*FI12*FI13*(FI5+FI6))+(FI11*FI12))</f>
        <v>-5.5555555555555554</v>
      </c>
      <c r="FJ2" s="492" t="s">
        <v>19</v>
      </c>
      <c r="FK2" s="490" t="s">
        <v>510</v>
      </c>
      <c r="FL2" s="488" t="e">
        <f>FL5/(FL6*FL7*FL16)</f>
        <v>#DIV/0!</v>
      </c>
      <c r="FM2" s="486" t="s">
        <v>13</v>
      </c>
      <c r="FN2" s="484" t="s">
        <v>510</v>
      </c>
      <c r="FO2" s="430" t="e">
        <f>FL2/(FO5*(1/FO6))</f>
        <v>#DIV/0!</v>
      </c>
      <c r="FP2" s="428" t="s">
        <v>14</v>
      </c>
      <c r="FQ2" s="482" t="s">
        <v>510</v>
      </c>
      <c r="FR2" s="430" t="e">
        <f>((FL2*FR6)/FR5)*CU11</f>
        <v>#DIV/0!</v>
      </c>
      <c r="FS2" s="428" t="s">
        <v>13</v>
      </c>
      <c r="FT2" s="426" t="s">
        <v>554</v>
      </c>
      <c r="FU2" s="430" t="e">
        <f>((FL2*FU6)/FU5)*((FU7*FL18)/(1-EXP(-FL18*FU7)))</f>
        <v>#DIV/0!</v>
      </c>
      <c r="FV2" s="428" t="s">
        <v>14</v>
      </c>
      <c r="FW2" s="426" t="s">
        <v>553</v>
      </c>
      <c r="FX2" s="430">
        <f>-FX5/FX6</f>
        <v>0</v>
      </c>
      <c r="FY2" s="438" t="s">
        <v>19</v>
      </c>
      <c r="FZ2" s="436" t="s">
        <v>510</v>
      </c>
      <c r="GA2" s="434" t="e">
        <f>GA5/(GA6*GA7*GA16)</f>
        <v>#DIV/0!</v>
      </c>
      <c r="GB2" s="432" t="s">
        <v>13</v>
      </c>
      <c r="GC2" s="458" t="s">
        <v>510</v>
      </c>
      <c r="GD2" s="417" t="e">
        <f>(GA2/(GD5*GD6*(1/GD7)))</f>
        <v>#DIV/0!</v>
      </c>
      <c r="GE2" s="421" t="s">
        <v>14</v>
      </c>
      <c r="GF2" s="419" t="s">
        <v>510</v>
      </c>
      <c r="GG2" s="417" t="e">
        <f>(GA2/((GG9)*((GG10*GG12*GG13*(GG5+GG6))+(GG11*GG12))))*CU11</f>
        <v>#DIV/0!</v>
      </c>
      <c r="GH2" s="421" t="s">
        <v>13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14</v>
      </c>
      <c r="GL2" s="419" t="s">
        <v>553</v>
      </c>
      <c r="GM2" s="417">
        <f>-GM15/((GM10*GM12*GM13*(GM5+GM6))+(GM11*GM12))</f>
        <v>-5.5555555555555554</v>
      </c>
      <c r="GN2" s="456" t="s">
        <v>19</v>
      </c>
      <c r="GO2" s="454" t="s">
        <v>510</v>
      </c>
      <c r="GP2" s="452" t="e">
        <f>GP5/(GP6*GP7*GP15)</f>
        <v>#DIV/0!</v>
      </c>
      <c r="GQ2" s="450" t="s">
        <v>13</v>
      </c>
      <c r="GR2" s="448" t="s">
        <v>510</v>
      </c>
      <c r="GS2" s="442" t="e">
        <f>GP2/(GS5*GS6*(1/GS7))</f>
        <v>#DIV/0!</v>
      </c>
      <c r="GT2" s="446" t="s">
        <v>14</v>
      </c>
      <c r="GU2" s="444" t="s">
        <v>510</v>
      </c>
      <c r="GV2" s="442" t="e">
        <f>(GP2/((GV9)*((GV10*GV12*GV13*(GV5+GV6))+(GV11*GV12))))*CU11</f>
        <v>#DIV/0!</v>
      </c>
      <c r="GW2" s="446" t="s">
        <v>13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14</v>
      </c>
      <c r="HA2" s="444" t="s">
        <v>553</v>
      </c>
      <c r="HB2" s="442">
        <f>-HB15/((HB10*HB12*HB13*(HB5+HB6))+(HB11*HB12))</f>
        <v>-7.3786407766990294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362">
        <v>6.8000000000000005E-2</v>
      </c>
      <c r="C3" s="240"/>
      <c r="D3" s="317" t="s">
        <v>15</v>
      </c>
      <c r="E3" s="285">
        <f>1/((1/E20)+(1/E21))</f>
        <v>5.165276206258528</v>
      </c>
      <c r="F3" s="253" t="s">
        <v>10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32804.225298596895</v>
      </c>
      <c r="X3" s="254" t="s">
        <v>10</v>
      </c>
      <c r="Y3" s="321" t="s">
        <v>16</v>
      </c>
      <c r="Z3" s="358">
        <f>1/((1/Z18)+(1/Z19))</f>
        <v>32804.225298596895</v>
      </c>
      <c r="AA3" s="255" t="s">
        <v>10</v>
      </c>
      <c r="AB3" s="650"/>
      <c r="AC3" s="661"/>
      <c r="AD3" s="661"/>
      <c r="AE3" s="661"/>
      <c r="AF3" s="661"/>
      <c r="AG3" s="661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69.929893253961609</v>
      </c>
      <c r="BU3" s="250" t="s">
        <v>10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1/((1/CU15)+(1/CU16))</f>
        <v>17021979.732503492</v>
      </c>
      <c r="CV3" s="71" t="s">
        <v>13</v>
      </c>
      <c r="CW3" s="326" t="s">
        <v>15</v>
      </c>
      <c r="CX3" s="117">
        <f>1/((1/CX20)+(1/CX21))</f>
        <v>5.5095973297312355</v>
      </c>
      <c r="CY3" s="256" t="s">
        <v>10</v>
      </c>
      <c r="CZ3" s="338" t="s">
        <v>285</v>
      </c>
      <c r="DA3" s="336" t="e">
        <f>1/((1/DA13)+(1/DA15)+(1/DA16)+(1/DA17)+(1/DA18)+(1/DA19)+(1/DA20)+(1/DA21)+(1/DA22))</f>
        <v>#DIV/0!</v>
      </c>
      <c r="DB3" s="72" t="s">
        <v>13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0</v>
      </c>
      <c r="HF3" s="252" t="s">
        <v>13</v>
      </c>
    </row>
    <row r="4" spans="1:214" ht="13.5" customHeight="1" thickBot="1" x14ac:dyDescent="0.25">
      <c r="A4" s="279" t="s">
        <v>457</v>
      </c>
      <c r="B4" s="363">
        <v>0.75600000000000001</v>
      </c>
      <c r="C4" s="241"/>
      <c r="D4" s="318" t="s">
        <v>16</v>
      </c>
      <c r="E4" s="286">
        <f>1/((1/E22)+(1/E23))</f>
        <v>6834.2136038743529</v>
      </c>
      <c r="F4" s="257" t="s">
        <v>10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99.173303160163726</v>
      </c>
      <c r="X4" s="258" t="s">
        <v>10</v>
      </c>
      <c r="Y4" s="322" t="s">
        <v>15</v>
      </c>
      <c r="Z4" s="359">
        <f>1/((1/Z16)+(1/Z17))</f>
        <v>99.173303160163726</v>
      </c>
      <c r="AA4" s="259" t="s">
        <v>10</v>
      </c>
      <c r="AB4" s="651"/>
      <c r="AC4" s="662"/>
      <c r="AD4" s="662"/>
      <c r="AE4" s="662"/>
      <c r="AF4" s="662"/>
      <c r="AG4" s="662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120282.15942818862</v>
      </c>
      <c r="BU4" s="260" t="s">
        <v>10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1/((1/CU15)+(1/CU16))</f>
        <v>17021979.732503492</v>
      </c>
      <c r="CV4" s="73" t="s">
        <v>13</v>
      </c>
      <c r="CW4" s="327" t="s">
        <v>16</v>
      </c>
      <c r="CX4" s="106">
        <f>1/((1/CX22)+(1/CX23))</f>
        <v>10934.680988723027</v>
      </c>
      <c r="CY4" s="261" t="s">
        <v>10</v>
      </c>
      <c r="CZ4" s="339" t="s">
        <v>11</v>
      </c>
      <c r="DA4" s="337" t="e">
        <f>1/((1/DA15)+(1/DA16)+(1/DA13))</f>
        <v>#DIV/0!</v>
      </c>
      <c r="DB4" s="74" t="s">
        <v>13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6.5608616163849289</v>
      </c>
      <c r="HF4" s="75" t="s">
        <v>13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1.0000000000000001E-5</v>
      </c>
      <c r="G5" s="262" t="s">
        <v>17</v>
      </c>
      <c r="H5" s="287">
        <f>B18</f>
        <v>1.0000000000000001E-5</v>
      </c>
      <c r="J5" s="262" t="s">
        <v>17</v>
      </c>
      <c r="K5" s="287">
        <f>B18</f>
        <v>1.0000000000000001E-5</v>
      </c>
      <c r="M5" s="249" t="s">
        <v>17</v>
      </c>
      <c r="N5" s="287">
        <f>B18</f>
        <v>1.0000000000000001E-5</v>
      </c>
      <c r="P5" s="249" t="s">
        <v>17</v>
      </c>
      <c r="Q5" s="287">
        <f>B18</f>
        <v>1.0000000000000001E-5</v>
      </c>
      <c r="S5" s="249" t="s">
        <v>17</v>
      </c>
      <c r="T5" s="287">
        <f>B18</f>
        <v>1.0000000000000001E-5</v>
      </c>
      <c r="V5" s="249" t="s">
        <v>17</v>
      </c>
      <c r="W5" s="287">
        <f>B18</f>
        <v>1.0000000000000001E-5</v>
      </c>
      <c r="Y5" s="249" t="s">
        <v>17</v>
      </c>
      <c r="Z5" s="287">
        <f>B18</f>
        <v>1.0000000000000001E-5</v>
      </c>
      <c r="AB5" s="262" t="s">
        <v>17</v>
      </c>
      <c r="AC5" s="287">
        <f>B18</f>
        <v>1.0000000000000001E-5</v>
      </c>
      <c r="AD5" s="287">
        <f>B18</f>
        <v>1.0000000000000001E-5</v>
      </c>
      <c r="AE5" s="287">
        <f>B18</f>
        <v>1.0000000000000001E-5</v>
      </c>
      <c r="AF5" s="287">
        <f>B18</f>
        <v>1.0000000000000001E-5</v>
      </c>
      <c r="AG5" s="287">
        <f>B18</f>
        <v>1.0000000000000001E-5</v>
      </c>
      <c r="AI5" s="249" t="s">
        <v>17</v>
      </c>
      <c r="AJ5" s="287">
        <f>B18</f>
        <v>1.0000000000000001E-5</v>
      </c>
      <c r="AL5" s="249" t="s">
        <v>17</v>
      </c>
      <c r="AM5" s="287">
        <f>B18</f>
        <v>1.0000000000000001E-5</v>
      </c>
      <c r="AO5" s="249" t="s">
        <v>17</v>
      </c>
      <c r="AP5" s="287">
        <f>B18</f>
        <v>1.0000000000000001E-5</v>
      </c>
      <c r="AR5" s="249" t="s">
        <v>17</v>
      </c>
      <c r="AS5" s="287">
        <f>B18</f>
        <v>1.0000000000000001E-5</v>
      </c>
      <c r="AU5" s="249" t="s">
        <v>17</v>
      </c>
      <c r="AV5" s="287">
        <f>B18</f>
        <v>1.0000000000000001E-5</v>
      </c>
      <c r="AX5" s="249" t="s">
        <v>17</v>
      </c>
      <c r="AY5" s="287">
        <f>B18</f>
        <v>1.0000000000000001E-5</v>
      </c>
      <c r="BA5" s="249" t="s">
        <v>17</v>
      </c>
      <c r="BB5" s="287">
        <f>B18</f>
        <v>1.0000000000000001E-5</v>
      </c>
      <c r="BD5" s="249" t="s">
        <v>17</v>
      </c>
      <c r="BE5" s="287">
        <f>B18</f>
        <v>1.0000000000000001E-5</v>
      </c>
      <c r="BG5" s="249" t="s">
        <v>17</v>
      </c>
      <c r="BH5" s="287">
        <f>B18</f>
        <v>1.0000000000000001E-5</v>
      </c>
      <c r="BJ5" s="249" t="s">
        <v>17</v>
      </c>
      <c r="BK5" s="287">
        <f>B18</f>
        <v>1.0000000000000001E-5</v>
      </c>
      <c r="BM5" s="249" t="s">
        <v>17</v>
      </c>
      <c r="BN5" s="287">
        <f>B18</f>
        <v>1.0000000000000001E-5</v>
      </c>
      <c r="BP5" s="249" t="s">
        <v>17</v>
      </c>
      <c r="BQ5" s="287">
        <f>B18</f>
        <v>1.0000000000000001E-5</v>
      </c>
      <c r="BS5" s="249" t="s">
        <v>17</v>
      </c>
      <c r="BT5" s="287">
        <f>B18</f>
        <v>1.0000000000000001E-5</v>
      </c>
      <c r="BV5" s="262" t="s">
        <v>17</v>
      </c>
      <c r="BW5" s="287">
        <f>B18</f>
        <v>1.0000000000000001E-5</v>
      </c>
      <c r="BY5" s="262" t="s">
        <v>17</v>
      </c>
      <c r="BZ5" s="287">
        <f>B18</f>
        <v>1.0000000000000001E-5</v>
      </c>
      <c r="CB5" s="249" t="s">
        <v>17</v>
      </c>
      <c r="CC5" s="287">
        <f>B18</f>
        <v>1.0000000000000001E-5</v>
      </c>
      <c r="CE5" s="249" t="s">
        <v>17</v>
      </c>
      <c r="CF5" s="287">
        <f>B18</f>
        <v>1.0000000000000001E-5</v>
      </c>
      <c r="CH5" s="249" t="s">
        <v>17</v>
      </c>
      <c r="CI5" s="287">
        <f>B18</f>
        <v>1.0000000000000001E-5</v>
      </c>
      <c r="CK5" s="249" t="s">
        <v>17</v>
      </c>
      <c r="CL5" s="287">
        <f>B18</f>
        <v>1.0000000000000001E-5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1.0000000000000001E-5</v>
      </c>
      <c r="CW5" s="249" t="s">
        <v>17</v>
      </c>
      <c r="CX5" s="287">
        <f>B18</f>
        <v>1.0000000000000001E-5</v>
      </c>
      <c r="CZ5" s="262" t="s">
        <v>17</v>
      </c>
      <c r="DA5" s="287">
        <f>B18</f>
        <v>1.0000000000000001E-5</v>
      </c>
      <c r="DC5" s="262" t="s">
        <v>17</v>
      </c>
      <c r="DD5" s="287">
        <f>B18</f>
        <v>1.0000000000000001E-5</v>
      </c>
      <c r="DF5" s="249" t="s">
        <v>18</v>
      </c>
      <c r="DG5" s="118">
        <f>(DG8*DG9*DG10*((1-EXP(-DG11*DG12))))/(DG13*DG11)</f>
        <v>0</v>
      </c>
      <c r="DH5" s="249" t="s">
        <v>19</v>
      </c>
      <c r="DI5" s="262" t="s">
        <v>20</v>
      </c>
      <c r="DJ5" s="305">
        <f>DJ7</f>
        <v>0</v>
      </c>
      <c r="DK5" s="262"/>
      <c r="DL5" s="262" t="s">
        <v>20</v>
      </c>
      <c r="DM5" s="305">
        <f>DM7</f>
        <v>0</v>
      </c>
      <c r="DO5" s="249" t="s">
        <v>18</v>
      </c>
      <c r="DP5" s="118">
        <f>(DP8*DP9*DP10*((1-EXP(-DP11*DP12))))/(DP13*DP11)</f>
        <v>0</v>
      </c>
      <c r="DQ5" s="249" t="s">
        <v>19</v>
      </c>
      <c r="DR5" s="262" t="s">
        <v>17</v>
      </c>
      <c r="DS5" s="287">
        <f>B18</f>
        <v>1.0000000000000001E-5</v>
      </c>
      <c r="DU5" s="262" t="s">
        <v>278</v>
      </c>
      <c r="DV5" s="310">
        <f>B37</f>
        <v>0</v>
      </c>
      <c r="DW5" s="262"/>
      <c r="DX5" s="262" t="s">
        <v>21</v>
      </c>
      <c r="DY5" s="305">
        <f>DY7</f>
        <v>0</v>
      </c>
      <c r="DZ5" s="262"/>
      <c r="EA5" s="262" t="s">
        <v>21</v>
      </c>
      <c r="EB5" s="305">
        <f>EB7</f>
        <v>0</v>
      </c>
      <c r="EC5" s="263"/>
      <c r="ED5" s="262" t="s">
        <v>21</v>
      </c>
      <c r="EE5" s="305">
        <f>EE7</f>
        <v>0</v>
      </c>
      <c r="EF5" s="263"/>
      <c r="EG5" s="262" t="s">
        <v>17</v>
      </c>
      <c r="EH5" s="287">
        <f>B18</f>
        <v>1.0000000000000001E-5</v>
      </c>
      <c r="EJ5" s="262" t="s">
        <v>275</v>
      </c>
      <c r="EK5" s="310">
        <f>B38</f>
        <v>0</v>
      </c>
      <c r="EL5" s="262"/>
      <c r="EM5" s="262" t="s">
        <v>21</v>
      </c>
      <c r="EN5" s="305">
        <f>EN7</f>
        <v>0</v>
      </c>
      <c r="EO5" s="262"/>
      <c r="EP5" s="262" t="s">
        <v>21</v>
      </c>
      <c r="EQ5" s="305">
        <f>EQ7</f>
        <v>0</v>
      </c>
      <c r="ER5" s="263"/>
      <c r="ES5" s="262" t="s">
        <v>21</v>
      </c>
      <c r="ET5" s="305">
        <f>ET7</f>
        <v>0</v>
      </c>
      <c r="EU5" s="263"/>
      <c r="EV5" s="262" t="s">
        <v>17</v>
      </c>
      <c r="EW5" s="287">
        <f>B18</f>
        <v>1.0000000000000001E-5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0</v>
      </c>
      <c r="FD5" s="262"/>
      <c r="FE5" s="262" t="s">
        <v>21</v>
      </c>
      <c r="FF5" s="305">
        <f>FF7</f>
        <v>0</v>
      </c>
      <c r="FG5" s="263"/>
      <c r="FH5" s="263" t="s">
        <v>21</v>
      </c>
      <c r="FI5" s="290">
        <f>FI7</f>
        <v>0</v>
      </c>
      <c r="FJ5" s="263"/>
      <c r="FK5" s="262" t="s">
        <v>17</v>
      </c>
      <c r="FL5" s="287">
        <f>B18</f>
        <v>1.0000000000000001E-5</v>
      </c>
      <c r="FN5" s="263" t="s">
        <v>122</v>
      </c>
      <c r="FO5" s="308">
        <f>B36</f>
        <v>0</v>
      </c>
      <c r="FP5" s="263"/>
      <c r="FQ5" s="263" t="s">
        <v>122</v>
      </c>
      <c r="FR5" s="298">
        <f>B36</f>
        <v>0</v>
      </c>
      <c r="FS5" s="263"/>
      <c r="FT5" s="263" t="s">
        <v>122</v>
      </c>
      <c r="FU5" s="298">
        <f>B36</f>
        <v>0</v>
      </c>
      <c r="FV5" s="263"/>
      <c r="FW5" s="262" t="s">
        <v>181</v>
      </c>
      <c r="FX5" s="305">
        <f>B46</f>
        <v>0</v>
      </c>
      <c r="FY5" s="249" t="s">
        <v>19</v>
      </c>
      <c r="FZ5" s="262" t="s">
        <v>17</v>
      </c>
      <c r="GA5" s="287">
        <f>B18</f>
        <v>1.0000000000000001E-5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0</v>
      </c>
      <c r="GH5" s="262"/>
      <c r="GI5" s="262" t="s">
        <v>21</v>
      </c>
      <c r="GJ5" s="305">
        <f>GJ7</f>
        <v>0</v>
      </c>
      <c r="GK5" s="262"/>
      <c r="GL5" s="262" t="s">
        <v>21</v>
      </c>
      <c r="GM5" s="305">
        <f>GM7</f>
        <v>0</v>
      </c>
      <c r="GN5" s="263"/>
      <c r="GO5" s="262" t="s">
        <v>17</v>
      </c>
      <c r="GP5" s="287">
        <f>B18</f>
        <v>1.0000000000000001E-5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0</v>
      </c>
      <c r="GW5" s="262"/>
      <c r="GX5" s="262" t="s">
        <v>21</v>
      </c>
      <c r="GY5" s="305">
        <f>GY7</f>
        <v>0</v>
      </c>
      <c r="GZ5" s="262"/>
      <c r="HA5" s="262" t="s">
        <v>21</v>
      </c>
      <c r="HB5" s="305">
        <f>HB7</f>
        <v>0</v>
      </c>
      <c r="HC5" s="263"/>
      <c r="HD5" s="265" t="s">
        <v>22</v>
      </c>
      <c r="HE5" s="293">
        <f>B47</f>
        <v>0</v>
      </c>
      <c r="HF5" s="262" t="s">
        <v>14</v>
      </c>
    </row>
    <row r="6" spans="1:214" ht="13.5" thickTop="1" x14ac:dyDescent="0.2">
      <c r="A6" s="278" t="s">
        <v>454</v>
      </c>
      <c r="B6" s="362">
        <v>3.7100000000000001E-2</v>
      </c>
      <c r="C6" s="240"/>
      <c r="D6" s="262" t="s">
        <v>23</v>
      </c>
      <c r="E6" s="288">
        <f>0.693/E7</f>
        <v>66.155354824913829</v>
      </c>
      <c r="G6" s="262" t="s">
        <v>439</v>
      </c>
      <c r="H6" s="287">
        <f>B20</f>
        <v>0</v>
      </c>
      <c r="I6" s="262" t="s">
        <v>35</v>
      </c>
      <c r="J6" s="262" t="s">
        <v>316</v>
      </c>
      <c r="K6" s="287">
        <f>B21</f>
        <v>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66.155354824913829</v>
      </c>
      <c r="Y6" s="262" t="s">
        <v>23</v>
      </c>
      <c r="Z6" s="288">
        <f>0.693/Z7</f>
        <v>66.155354824913829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BK12</f>
        <v>5</v>
      </c>
      <c r="BR6" s="249" t="s">
        <v>69</v>
      </c>
      <c r="BS6" s="262" t="s">
        <v>23</v>
      </c>
      <c r="BT6" s="288">
        <f>0.693/BT7</f>
        <v>66.155354824913829</v>
      </c>
      <c r="BV6" s="262" t="s">
        <v>163</v>
      </c>
      <c r="BW6" s="287">
        <f>B20</f>
        <v>0</v>
      </c>
      <c r="BX6" s="262" t="s">
        <v>35</v>
      </c>
      <c r="BY6" s="262" t="s">
        <v>45</v>
      </c>
      <c r="BZ6" s="287">
        <f>B21</f>
        <v>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0</v>
      </c>
      <c r="CM6" s="266" t="s">
        <v>13</v>
      </c>
      <c r="CN6" s="263" t="s">
        <v>21</v>
      </c>
      <c r="CO6" s="290">
        <f>CO8</f>
        <v>0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0</v>
      </c>
      <c r="CV6" s="262" t="s">
        <v>35</v>
      </c>
      <c r="CW6" s="262" t="s">
        <v>23</v>
      </c>
      <c r="CX6" s="288">
        <f>0.693/CX7</f>
        <v>66.155354824913829</v>
      </c>
      <c r="CZ6" s="262" t="s">
        <v>163</v>
      </c>
      <c r="DA6" s="287">
        <f>B20</f>
        <v>0</v>
      </c>
      <c r="DB6" s="262" t="s">
        <v>35</v>
      </c>
      <c r="DC6" s="262" t="s">
        <v>438</v>
      </c>
      <c r="DD6" s="287">
        <f>B30</f>
        <v>0</v>
      </c>
      <c r="DE6" s="267" t="s">
        <v>35</v>
      </c>
      <c r="DF6" s="249" t="s">
        <v>27</v>
      </c>
      <c r="DG6" s="118">
        <f>(DG8*DG9*DG14*((1-EXP(-DG11*DG12))))/(DG13*DG11)</f>
        <v>5.4035127681958941E-3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5.4035127681958941E-3</v>
      </c>
      <c r="DQ6" s="249" t="s">
        <v>19</v>
      </c>
      <c r="DR6" s="262" t="s">
        <v>438</v>
      </c>
      <c r="DS6" s="287">
        <f>B30</f>
        <v>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0</v>
      </c>
      <c r="FS6" s="249" t="s">
        <v>19</v>
      </c>
      <c r="FT6" s="262" t="s">
        <v>181</v>
      </c>
      <c r="FU6" s="305">
        <f>B46</f>
        <v>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16.528925571605519</v>
      </c>
      <c r="HF6" s="262" t="s">
        <v>14</v>
      </c>
    </row>
    <row r="7" spans="1:214" x14ac:dyDescent="0.2">
      <c r="A7" s="279" t="s">
        <v>455</v>
      </c>
      <c r="B7" s="363">
        <v>0.65</v>
      </c>
      <c r="C7" s="241"/>
      <c r="D7" s="266" t="s">
        <v>270</v>
      </c>
      <c r="E7" s="287">
        <f>B31</f>
        <v>1.04753425E-2</v>
      </c>
      <c r="F7" s="249" t="s">
        <v>69</v>
      </c>
      <c r="G7" s="262" t="s">
        <v>43</v>
      </c>
      <c r="H7" s="290">
        <f>B19</f>
        <v>3.1999999999999999E-11</v>
      </c>
      <c r="I7" s="263" t="s">
        <v>35</v>
      </c>
      <c r="J7" s="262" t="s">
        <v>43</v>
      </c>
      <c r="K7" s="290">
        <f>B19</f>
        <v>3.1999999999999999E-11</v>
      </c>
      <c r="L7" s="263" t="s">
        <v>35</v>
      </c>
      <c r="M7" s="262" t="s">
        <v>23</v>
      </c>
      <c r="N7" s="288">
        <f>0.693/N8</f>
        <v>66.155354824913829</v>
      </c>
      <c r="P7" s="262" t="s">
        <v>23</v>
      </c>
      <c r="Q7" s="288">
        <f>0.693/Q8</f>
        <v>66.155354824913829</v>
      </c>
      <c r="S7" s="262" t="s">
        <v>23</v>
      </c>
      <c r="T7" s="288">
        <f>0.693/T8</f>
        <v>66.155354824913829</v>
      </c>
      <c r="V7" s="266" t="s">
        <v>270</v>
      </c>
      <c r="W7" s="287">
        <f>B31</f>
        <v>1.04753425E-2</v>
      </c>
      <c r="X7" s="249" t="s">
        <v>69</v>
      </c>
      <c r="Y7" s="266" t="s">
        <v>270</v>
      </c>
      <c r="Z7" s="287">
        <f>B31</f>
        <v>1.04753425E-2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66.155354824913829</v>
      </c>
      <c r="AL7" s="262" t="s">
        <v>23</v>
      </c>
      <c r="AM7" s="288">
        <f>0.693/AM8</f>
        <v>66.155354824913829</v>
      </c>
      <c r="AO7" s="262" t="s">
        <v>23</v>
      </c>
      <c r="AP7" s="288">
        <f>0.693/AP8</f>
        <v>66.155354824913829</v>
      </c>
      <c r="AR7" s="262" t="s">
        <v>23</v>
      </c>
      <c r="AS7" s="288">
        <f>0.693/AS8</f>
        <v>66.155354824913829</v>
      </c>
      <c r="AU7" s="262" t="s">
        <v>23</v>
      </c>
      <c r="AV7" s="288">
        <f>0.693/AV8</f>
        <v>66.155354824913829</v>
      </c>
      <c r="AX7" s="262" t="s">
        <v>23</v>
      </c>
      <c r="AY7" s="288">
        <f>0.693/AY8</f>
        <v>66.155354824913829</v>
      </c>
      <c r="BA7" s="262" t="s">
        <v>23</v>
      </c>
      <c r="BB7" s="288">
        <f>0.693/BB8</f>
        <v>66.155354824913829</v>
      </c>
      <c r="BD7" s="262" t="s">
        <v>23</v>
      </c>
      <c r="BE7" s="288">
        <f>0.693/BE8</f>
        <v>66.155354824913829</v>
      </c>
      <c r="BG7" s="262" t="s">
        <v>23</v>
      </c>
      <c r="BH7" s="288">
        <f>0.693/BH8</f>
        <v>66.155354824913829</v>
      </c>
      <c r="BJ7" s="262" t="s">
        <v>23</v>
      </c>
      <c r="BK7" s="288">
        <f>0.693/BK8</f>
        <v>66.155354824913829</v>
      </c>
      <c r="BM7" s="262" t="s">
        <v>23</v>
      </c>
      <c r="BN7" s="288">
        <f>0.693/BN8</f>
        <v>66.155354824913829</v>
      </c>
      <c r="BP7" s="262" t="s">
        <v>23</v>
      </c>
      <c r="BQ7" s="288">
        <f>0.693/BQ8</f>
        <v>66.155354824913829</v>
      </c>
      <c r="BS7" s="266" t="s">
        <v>270</v>
      </c>
      <c r="BT7" s="287">
        <f>B31</f>
        <v>1.04753425E-2</v>
      </c>
      <c r="BU7" s="249" t="s">
        <v>69</v>
      </c>
      <c r="BV7" s="262" t="s">
        <v>43</v>
      </c>
      <c r="BW7" s="290">
        <f>E10</f>
        <v>3.1999999999999999E-11</v>
      </c>
      <c r="BX7" s="263" t="s">
        <v>35</v>
      </c>
      <c r="BY7" s="262" t="s">
        <v>43</v>
      </c>
      <c r="BZ7" s="290">
        <f>B19</f>
        <v>3.1999999999999999E-11</v>
      </c>
      <c r="CA7" s="263" t="s">
        <v>35</v>
      </c>
      <c r="CB7" s="262" t="s">
        <v>23</v>
      </c>
      <c r="CC7" s="288">
        <f>0.693/CC8</f>
        <v>66.155354824913829</v>
      </c>
      <c r="CE7" s="262" t="s">
        <v>23</v>
      </c>
      <c r="CF7" s="288">
        <f>0.693/CF8</f>
        <v>66.155354824913829</v>
      </c>
      <c r="CH7" s="262" t="s">
        <v>23</v>
      </c>
      <c r="CI7" s="288">
        <f>0.693/CI8</f>
        <v>66.155354824913829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3.1999999999999999E-11</v>
      </c>
      <c r="CV7" s="263" t="s">
        <v>35</v>
      </c>
      <c r="CW7" s="266" t="s">
        <v>270</v>
      </c>
      <c r="CX7" s="287">
        <f>B31</f>
        <v>1.04753425E-2</v>
      </c>
      <c r="CY7" s="249" t="s">
        <v>69</v>
      </c>
      <c r="CZ7" s="263" t="s">
        <v>43</v>
      </c>
      <c r="DA7" s="290">
        <f>B19</f>
        <v>3.1999999999999999E-11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0.82303427313698274</v>
      </c>
      <c r="DH7" s="249" t="s">
        <v>19</v>
      </c>
      <c r="DI7" s="262" t="s">
        <v>37</v>
      </c>
      <c r="DJ7" s="287">
        <f>B44</f>
        <v>0</v>
      </c>
      <c r="DL7" s="262" t="s">
        <v>37</v>
      </c>
      <c r="DM7" s="287">
        <f>B44</f>
        <v>0</v>
      </c>
      <c r="DO7" s="249" t="s">
        <v>36</v>
      </c>
      <c r="DP7" s="118">
        <f>(DP8*DP9*DP15*DP21*((1-EXP(-DP16*DP17))))/(DP18*DP16)</f>
        <v>0.82303427313698274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0</v>
      </c>
      <c r="EA7" s="262" t="s">
        <v>38</v>
      </c>
      <c r="EB7" s="287">
        <f>B45</f>
        <v>0</v>
      </c>
      <c r="EC7" s="263"/>
      <c r="ED7" s="262" t="s">
        <v>38</v>
      </c>
      <c r="EE7" s="287">
        <f>B45</f>
        <v>0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0</v>
      </c>
      <c r="EP7" s="262" t="s">
        <v>38</v>
      </c>
      <c r="EQ7" s="287">
        <f>B45</f>
        <v>0</v>
      </c>
      <c r="ER7" s="263"/>
      <c r="ES7" s="262" t="s">
        <v>38</v>
      </c>
      <c r="ET7" s="287">
        <f>B45</f>
        <v>0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0</v>
      </c>
      <c r="FD7" s="262"/>
      <c r="FE7" s="262" t="s">
        <v>38</v>
      </c>
      <c r="FF7" s="305">
        <f>B45</f>
        <v>0</v>
      </c>
      <c r="FG7" s="263"/>
      <c r="FH7" s="263" t="s">
        <v>38</v>
      </c>
      <c r="FI7" s="290">
        <f>B45</f>
        <v>0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0</v>
      </c>
      <c r="GH7" s="262"/>
      <c r="GI7" s="262" t="s">
        <v>38</v>
      </c>
      <c r="GJ7" s="305">
        <f>B45</f>
        <v>0</v>
      </c>
      <c r="GK7" s="262"/>
      <c r="GL7" s="262" t="s">
        <v>38</v>
      </c>
      <c r="GM7" s="305">
        <f>B45</f>
        <v>0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0</v>
      </c>
      <c r="GW7" s="262"/>
      <c r="GX7" s="262" t="s">
        <v>38</v>
      </c>
      <c r="GY7" s="305">
        <f>B45</f>
        <v>0</v>
      </c>
      <c r="GZ7" s="262"/>
      <c r="HA7" s="262" t="s">
        <v>38</v>
      </c>
      <c r="HB7" s="305">
        <f>B45</f>
        <v>0</v>
      </c>
      <c r="HC7" s="263"/>
      <c r="HD7" s="262" t="s">
        <v>23</v>
      </c>
      <c r="HE7" s="288">
        <f>0.693/HE8</f>
        <v>66.155354824913829</v>
      </c>
    </row>
    <row r="8" spans="1:214" x14ac:dyDescent="0.2">
      <c r="A8" s="279" t="s">
        <v>458</v>
      </c>
      <c r="B8" s="363">
        <v>4.2700000000000002E-2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3.5145699120000001E-15</v>
      </c>
      <c r="I8" s="263" t="s">
        <v>35</v>
      </c>
      <c r="J8" s="262" t="s">
        <v>71</v>
      </c>
      <c r="K8" s="287">
        <f>B23</f>
        <v>1.6930652399999999E-9</v>
      </c>
      <c r="L8" s="262" t="s">
        <v>445</v>
      </c>
      <c r="M8" s="266" t="s">
        <v>270</v>
      </c>
      <c r="N8" s="287">
        <f>B31</f>
        <v>1.04753425E-2</v>
      </c>
      <c r="O8" s="249" t="s">
        <v>69</v>
      </c>
      <c r="P8" s="266" t="s">
        <v>270</v>
      </c>
      <c r="Q8" s="287">
        <f>B31</f>
        <v>1.04753425E-2</v>
      </c>
      <c r="R8" s="249" t="s">
        <v>69</v>
      </c>
      <c r="S8" s="266" t="s">
        <v>270</v>
      </c>
      <c r="T8" s="287">
        <f>B31</f>
        <v>1.04753425E-2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1.04753425E-2</v>
      </c>
      <c r="AK8" s="249" t="s">
        <v>69</v>
      </c>
      <c r="AL8" s="266" t="s">
        <v>270</v>
      </c>
      <c r="AM8" s="287">
        <f>B31</f>
        <v>1.04753425E-2</v>
      </c>
      <c r="AN8" s="249" t="s">
        <v>69</v>
      </c>
      <c r="AO8" s="266" t="s">
        <v>270</v>
      </c>
      <c r="AP8" s="287">
        <f>B31</f>
        <v>1.04753425E-2</v>
      </c>
      <c r="AQ8" s="249" t="s">
        <v>69</v>
      </c>
      <c r="AR8" s="266" t="s">
        <v>270</v>
      </c>
      <c r="AS8" s="287">
        <f>B31</f>
        <v>1.04753425E-2</v>
      </c>
      <c r="AT8" s="249" t="s">
        <v>69</v>
      </c>
      <c r="AU8" s="266" t="s">
        <v>270</v>
      </c>
      <c r="AV8" s="287">
        <f>B31</f>
        <v>1.04753425E-2</v>
      </c>
      <c r="AW8" s="249" t="s">
        <v>69</v>
      </c>
      <c r="AX8" s="266" t="s">
        <v>270</v>
      </c>
      <c r="AY8" s="287">
        <f>B31</f>
        <v>1.04753425E-2</v>
      </c>
      <c r="AZ8" s="249" t="s">
        <v>69</v>
      </c>
      <c r="BA8" s="266" t="s">
        <v>270</v>
      </c>
      <c r="BB8" s="287">
        <f>B31</f>
        <v>1.04753425E-2</v>
      </c>
      <c r="BC8" s="249" t="s">
        <v>69</v>
      </c>
      <c r="BD8" s="266" t="s">
        <v>270</v>
      </c>
      <c r="BE8" s="287">
        <f>B31</f>
        <v>1.04753425E-2</v>
      </c>
      <c r="BF8" s="249" t="s">
        <v>69</v>
      </c>
      <c r="BG8" s="266" t="s">
        <v>270</v>
      </c>
      <c r="BH8" s="287">
        <f>B31</f>
        <v>1.04753425E-2</v>
      </c>
      <c r="BI8" s="249" t="s">
        <v>69</v>
      </c>
      <c r="BJ8" s="266" t="s">
        <v>270</v>
      </c>
      <c r="BK8" s="287">
        <f>B31</f>
        <v>1.04753425E-2</v>
      </c>
      <c r="BL8" s="249" t="s">
        <v>69</v>
      </c>
      <c r="BM8" s="266" t="s">
        <v>270</v>
      </c>
      <c r="BN8" s="287">
        <f>B31</f>
        <v>1.04753425E-2</v>
      </c>
      <c r="BO8" s="249" t="s">
        <v>69</v>
      </c>
      <c r="BP8" s="266" t="s">
        <v>270</v>
      </c>
      <c r="BQ8" s="287">
        <f>B31</f>
        <v>1.04753425E-2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3.5145699120000001E-15</v>
      </c>
      <c r="BX8" s="263" t="s">
        <v>35</v>
      </c>
      <c r="BY8" s="262" t="s">
        <v>71</v>
      </c>
      <c r="BZ8" s="287">
        <f>B23</f>
        <v>1.6930652399999999E-9</v>
      </c>
      <c r="CA8" s="262" t="s">
        <v>95</v>
      </c>
      <c r="CB8" s="266" t="s">
        <v>270</v>
      </c>
      <c r="CC8" s="287">
        <f>B31</f>
        <v>1.04753425E-2</v>
      </c>
      <c r="CD8" s="249" t="s">
        <v>69</v>
      </c>
      <c r="CE8" s="266" t="s">
        <v>270</v>
      </c>
      <c r="CF8" s="287">
        <f>B31</f>
        <v>1.04753425E-2</v>
      </c>
      <c r="CG8" s="249" t="s">
        <v>69</v>
      </c>
      <c r="CH8" s="266" t="s">
        <v>270</v>
      </c>
      <c r="CI8" s="287">
        <f>B31</f>
        <v>1.04753425E-2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0</v>
      </c>
      <c r="CT8" s="262" t="s">
        <v>71</v>
      </c>
      <c r="CU8" s="287">
        <f>B23</f>
        <v>1.6930652399999999E-9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3.5145699120000001E-15</v>
      </c>
      <c r="DB8" s="262" t="s">
        <v>35</v>
      </c>
      <c r="DC8" s="262" t="s">
        <v>380</v>
      </c>
      <c r="DD8" s="311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1.04753425E-2</v>
      </c>
      <c r="HF8" s="249" t="s">
        <v>69</v>
      </c>
    </row>
    <row r="9" spans="1:214" x14ac:dyDescent="0.2">
      <c r="A9" s="279" t="s">
        <v>459</v>
      </c>
      <c r="B9" s="363">
        <v>0.72299999999999998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0</v>
      </c>
      <c r="I9" s="267" t="s">
        <v>35</v>
      </c>
      <c r="J9" s="262" t="s">
        <v>438</v>
      </c>
      <c r="K9" s="287">
        <f>B30</f>
        <v>0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0</v>
      </c>
      <c r="AD9" s="287">
        <f>B22</f>
        <v>0</v>
      </c>
      <c r="AE9" s="287">
        <f>B22</f>
        <v>0</v>
      </c>
      <c r="AF9" s="287">
        <f>B22</f>
        <v>0</v>
      </c>
      <c r="AG9" s="287">
        <f>B22</f>
        <v>0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0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0</v>
      </c>
      <c r="DB9" s="263" t="s">
        <v>35</v>
      </c>
      <c r="DC9" s="262" t="s">
        <v>381</v>
      </c>
      <c r="DD9" s="311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0</v>
      </c>
      <c r="EA9" s="262" t="s">
        <v>278</v>
      </c>
      <c r="EB9" s="287">
        <f>B37</f>
        <v>0</v>
      </c>
      <c r="EC9" s="263"/>
      <c r="ED9" s="262" t="s">
        <v>278</v>
      </c>
      <c r="EE9" s="287">
        <f>B37</f>
        <v>0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0</v>
      </c>
      <c r="EP9" s="262" t="s">
        <v>275</v>
      </c>
      <c r="EQ9" s="310">
        <f>B38</f>
        <v>0</v>
      </c>
      <c r="ER9" s="263"/>
      <c r="ES9" s="262" t="s">
        <v>275</v>
      </c>
      <c r="ET9" s="310">
        <f>B38</f>
        <v>0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5.8400000000000001E-2</v>
      </c>
      <c r="C10" s="241"/>
      <c r="D10" s="88" t="s">
        <v>43</v>
      </c>
      <c r="E10" s="187">
        <f>B19</f>
        <v>3.1999999999999999E-11</v>
      </c>
      <c r="F10" s="188" t="s">
        <v>35</v>
      </c>
      <c r="G10" s="266" t="s">
        <v>80</v>
      </c>
      <c r="H10" s="294" t="e">
        <f>H5/(H6*H15)</f>
        <v>#DIV/0!</v>
      </c>
      <c r="I10" s="271" t="s">
        <v>14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3.1999999999999999E-11</v>
      </c>
      <c r="X10" s="263" t="s">
        <v>44</v>
      </c>
      <c r="Y10" s="249" t="s">
        <v>43</v>
      </c>
      <c r="Z10" s="290">
        <f>B19</f>
        <v>3.1999999999999999E-11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3.1999999999999999E-11</v>
      </c>
      <c r="BU10" s="263" t="s">
        <v>35</v>
      </c>
      <c r="BV10" s="266" t="s">
        <v>80</v>
      </c>
      <c r="BW10" s="294" t="e">
        <f>BW5/(BW6*BW12)</f>
        <v>#DIV/0!</v>
      </c>
      <c r="BX10" s="271" t="s">
        <v>12</v>
      </c>
      <c r="BY10" s="188" t="s">
        <v>16</v>
      </c>
      <c r="BZ10" s="191">
        <f>(BZ33*BZ11)/(1-EXP(-BZ11*BZ33))</f>
        <v>1720.0392254477595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3.1999999999999999E-11</v>
      </c>
      <c r="CY10" s="263" t="s">
        <v>35</v>
      </c>
      <c r="CZ10" s="263" t="s">
        <v>16</v>
      </c>
      <c r="DA10" s="288">
        <f>(DA38*DA11)/(1-EXP(-DA11*DA38))</f>
        <v>1984.6606447474148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0</v>
      </c>
      <c r="DL10" s="267"/>
      <c r="DO10" s="267" t="s">
        <v>37</v>
      </c>
      <c r="DP10" s="287">
        <f>B44</f>
        <v>0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0.70099999999999996</v>
      </c>
      <c r="C11" s="241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H5/(H7*H16*H28)</f>
        <v>16.528925619834713</v>
      </c>
      <c r="I11" s="271" t="s">
        <v>14</v>
      </c>
      <c r="J11" s="188" t="s">
        <v>16</v>
      </c>
      <c r="K11" s="109">
        <f>(K46*K12)/(1-EXP(-K12*K46))</f>
        <v>1323.1070964982766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BW5/(BW8*(1/BW31)*BW15)</f>
        <v>12781955700.950338</v>
      </c>
      <c r="BX11" s="271" t="s">
        <v>12</v>
      </c>
      <c r="BY11" s="266" t="s">
        <v>23</v>
      </c>
      <c r="BZ11" s="109">
        <f>0.693/BZ12</f>
        <v>66.155354824913829</v>
      </c>
      <c r="CA11" s="88"/>
      <c r="CB11" s="249" t="s">
        <v>456</v>
      </c>
      <c r="CC11" s="287">
        <f>B3</f>
        <v>6.8000000000000005E-2</v>
      </c>
      <c r="CE11" s="249" t="s">
        <v>454</v>
      </c>
      <c r="CF11" s="287">
        <f>B6</f>
        <v>3.7100000000000001E-2</v>
      </c>
      <c r="CH11" s="249" t="s">
        <v>460</v>
      </c>
      <c r="CI11" s="287">
        <f>B10</f>
        <v>5.8400000000000001E-2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1984.6606447474148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66.155354824913829</v>
      </c>
      <c r="DC11" s="262" t="s">
        <v>382</v>
      </c>
      <c r="DD11" s="311">
        <f>B141</f>
        <v>55</v>
      </c>
      <c r="DE11" s="267" t="s">
        <v>254</v>
      </c>
      <c r="DF11" s="267" t="s">
        <v>55</v>
      </c>
      <c r="DG11" s="288">
        <f>DG19+DG20</f>
        <v>0.18144061256544503</v>
      </c>
      <c r="DL11" s="267"/>
      <c r="DO11" s="267" t="s">
        <v>55</v>
      </c>
      <c r="DP11" s="288">
        <f>DP19+DP20</f>
        <v>0.18144061256544503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2.2499999999999999E-2</v>
      </c>
      <c r="C12" s="241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H5/(H8*(1/H45)*H21)</f>
        <v>5664730367.4666271</v>
      </c>
      <c r="I12" s="271" t="s">
        <v>14</v>
      </c>
      <c r="J12" s="266" t="s">
        <v>23</v>
      </c>
      <c r="K12" s="109">
        <f>0.693/K13</f>
        <v>66.155354824913829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1.04753425E-2</v>
      </c>
      <c r="CA12" s="88" t="s">
        <v>69</v>
      </c>
      <c r="CB12" s="249" t="s">
        <v>457</v>
      </c>
      <c r="CC12" s="287">
        <f>B4</f>
        <v>0.75600000000000001</v>
      </c>
      <c r="CE12" s="249" t="s">
        <v>455</v>
      </c>
      <c r="CF12" s="287">
        <f>B7</f>
        <v>0.65</v>
      </c>
      <c r="CH12" s="249" t="s">
        <v>461</v>
      </c>
      <c r="CI12" s="287">
        <f>B11</f>
        <v>0.70099999999999996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66.155354824913829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1.04753425E-2</v>
      </c>
      <c r="DB12" s="249" t="s">
        <v>69</v>
      </c>
      <c r="DC12" s="262" t="s">
        <v>383</v>
      </c>
      <c r="DD12" s="311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0.46300000000000002</v>
      </c>
      <c r="C13" s="242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 t="e">
        <f>H14/((1/H42)*(H50+H51+H52))</f>
        <v>#DIV/0!</v>
      </c>
      <c r="I13" s="271" t="s">
        <v>14</v>
      </c>
      <c r="J13" s="266" t="s">
        <v>270</v>
      </c>
      <c r="K13" s="189">
        <f>B31</f>
        <v>1.04753425E-2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6.8000000000000005E-2</v>
      </c>
      <c r="BM13" s="249" t="s">
        <v>454</v>
      </c>
      <c r="BN13" s="287">
        <f>B6</f>
        <v>3.7100000000000001E-2</v>
      </c>
      <c r="BP13" s="249" t="s">
        <v>460</v>
      </c>
      <c r="BQ13" s="287">
        <f>B10</f>
        <v>5.8400000000000001E-2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 t="e">
        <f>(BZ5/(BZ6*BZ16*(1/BZ36)))*BZ10</f>
        <v>#DIV/0!</v>
      </c>
      <c r="CA13" s="271" t="s">
        <v>13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1.04753425E-2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 t="e">
        <f>DA5/(DA6*DA23)</f>
        <v>#DIV/0!</v>
      </c>
      <c r="DB13" s="266" t="s">
        <v>14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thickTop="1" x14ac:dyDescent="0.2">
      <c r="A14" s="583" t="s">
        <v>272</v>
      </c>
      <c r="B14" s="584"/>
      <c r="C14" s="685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 t="e">
        <f>H5/(H9*(H22+H25)*H43)</f>
        <v>#DIV/0!</v>
      </c>
      <c r="I14" s="271" t="s">
        <v>13</v>
      </c>
      <c r="J14" s="266" t="s">
        <v>80</v>
      </c>
      <c r="K14" s="294" t="e">
        <f>(K5/(K6*K19*(1/K49)))*K11</f>
        <v>#DIV/0!</v>
      </c>
      <c r="L14" s="271" t="s">
        <v>13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1.6230073680000001E-12</v>
      </c>
      <c r="X14" s="262" t="s">
        <v>64</v>
      </c>
      <c r="Y14" s="262" t="s">
        <v>63</v>
      </c>
      <c r="Z14" s="287">
        <f>B28</f>
        <v>1.6230073680000001E-12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0.75600000000000001</v>
      </c>
      <c r="BM14" s="249" t="s">
        <v>455</v>
      </c>
      <c r="BN14" s="287">
        <f>B7</f>
        <v>0.65</v>
      </c>
      <c r="BP14" s="249" t="s">
        <v>461</v>
      </c>
      <c r="BQ14" s="287">
        <f>B11</f>
        <v>0.70099999999999996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(BZ5/(BZ7*BZ17*(1/BZ9)*BZ35))*BZ10</f>
        <v>163505301780.11902</v>
      </c>
      <c r="CA14" s="271" t="s">
        <v>13</v>
      </c>
      <c r="CB14" s="249" t="s">
        <v>71</v>
      </c>
      <c r="CC14" s="290">
        <f>B23</f>
        <v>1.6930652399999999E-9</v>
      </c>
      <c r="CD14" s="263" t="s">
        <v>72</v>
      </c>
      <c r="CE14" s="249" t="s">
        <v>71</v>
      </c>
      <c r="CF14" s="290">
        <f>B25</f>
        <v>3.5700000000000001E-10</v>
      </c>
      <c r="CG14" s="263" t="s">
        <v>72</v>
      </c>
      <c r="CH14" s="249" t="s">
        <v>71</v>
      </c>
      <c r="CI14" s="290">
        <f>B27</f>
        <v>1.5412731840000001E-9</v>
      </c>
      <c r="CJ14" s="263" t="s">
        <v>72</v>
      </c>
      <c r="CK14" s="263"/>
      <c r="CL14" s="307"/>
      <c r="CM14" s="263"/>
      <c r="CO14" s="308"/>
      <c r="CQ14" s="263"/>
      <c r="CR14" s="307"/>
      <c r="CS14" s="263"/>
      <c r="CT14" s="266" t="s">
        <v>80</v>
      </c>
      <c r="CU14" s="294" t="e">
        <f>(CU5/(CU6*CU24*(1/CU47)))*CU11</f>
        <v>#DIV/0!</v>
      </c>
      <c r="CV14" s="271" t="s">
        <v>13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DA5/(DA7*DA24*DA46)</f>
        <v>11.019283746556475</v>
      </c>
      <c r="DB14" s="266" t="s">
        <v>14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(K5/(K7*K20*(1/K10)*K48))*K11</f>
        <v>14864118343.647184</v>
      </c>
      <c r="L15" s="271" t="s">
        <v>13</v>
      </c>
      <c r="M15" s="249" t="s">
        <v>448</v>
      </c>
      <c r="N15" s="290">
        <f>B23</f>
        <v>1.6930652399999999E-9</v>
      </c>
      <c r="O15" s="263" t="s">
        <v>446</v>
      </c>
      <c r="P15" s="249" t="s">
        <v>449</v>
      </c>
      <c r="Q15" s="290">
        <f>B25</f>
        <v>3.5700000000000001E-10</v>
      </c>
      <c r="R15" s="263" t="s">
        <v>446</v>
      </c>
      <c r="S15" s="249" t="s">
        <v>453</v>
      </c>
      <c r="T15" s="290">
        <f>B27</f>
        <v>1.5412731840000001E-9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1.6930652399999999E-9</v>
      </c>
      <c r="AK15" s="263" t="s">
        <v>72</v>
      </c>
      <c r="AL15" s="262" t="s">
        <v>449</v>
      </c>
      <c r="AM15" s="290">
        <f>B25</f>
        <v>3.5700000000000001E-10</v>
      </c>
      <c r="AN15" s="263" t="s">
        <v>72</v>
      </c>
      <c r="AO15" s="262" t="s">
        <v>452</v>
      </c>
      <c r="AP15" s="290">
        <f>B27</f>
        <v>1.5412731840000001E-9</v>
      </c>
      <c r="AQ15" s="263" t="s">
        <v>72</v>
      </c>
      <c r="AR15" s="249" t="s">
        <v>448</v>
      </c>
      <c r="AS15" s="290">
        <f>B23</f>
        <v>1.6930652399999999E-9</v>
      </c>
      <c r="AT15" s="263" t="s">
        <v>72</v>
      </c>
      <c r="AU15" s="262" t="s">
        <v>449</v>
      </c>
      <c r="AV15" s="290">
        <f>B25</f>
        <v>3.5700000000000001E-10</v>
      </c>
      <c r="AW15" s="263" t="s">
        <v>72</v>
      </c>
      <c r="AX15" s="262" t="s">
        <v>452</v>
      </c>
      <c r="AY15" s="290">
        <f>B27</f>
        <v>1.5412731840000001E-9</v>
      </c>
      <c r="AZ15" s="263" t="s">
        <v>72</v>
      </c>
      <c r="BA15" s="249" t="s">
        <v>448</v>
      </c>
      <c r="BB15" s="290">
        <f>B23</f>
        <v>1.6930652399999999E-9</v>
      </c>
      <c r="BC15" s="263" t="s">
        <v>72</v>
      </c>
      <c r="BD15" s="262" t="s">
        <v>449</v>
      </c>
      <c r="BE15" s="290">
        <f>B25</f>
        <v>3.5700000000000001E-10</v>
      </c>
      <c r="BF15" s="263" t="s">
        <v>72</v>
      </c>
      <c r="BG15" s="262" t="s">
        <v>452</v>
      </c>
      <c r="BH15" s="290">
        <f>B27</f>
        <v>1.5412731840000001E-9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((BZ5)/(BZ8*BZ22*(1/BZ34)*BZ25*BZ28*(1/24)*BZ31*BZ32))*BZ10</f>
        <v>887776090.1636976</v>
      </c>
      <c r="CA15" s="271" t="s">
        <v>13</v>
      </c>
      <c r="CT15" s="266" t="s">
        <v>74</v>
      </c>
      <c r="CU15" s="295">
        <f>(CU5/(CU7*CU25*(1/CU10)*CU46))*CU11</f>
        <v>14864118343.647184</v>
      </c>
      <c r="CV15" s="271" t="s">
        <v>13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DA5/(DA8*DA25*(DA47/DA48))</f>
        <v>3776486911.6444178</v>
      </c>
      <c r="DB15" s="266" t="s">
        <v>14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s="262" customFormat="1" x14ac:dyDescent="0.2">
      <c r="A16" s="585"/>
      <c r="B16" s="586"/>
      <c r="C16" s="6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(K5/(K8*K45*((K40*K44*(1/24))+(K41*K43*(1/24)))*K32*(1/K47)*K34))*K11</f>
        <v>12313306.761546277</v>
      </c>
      <c r="L16" s="271" t="s">
        <v>13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(W5)/((W11/W12)*W8*W9*W10*W13)</f>
        <v>99.173553719008268</v>
      </c>
      <c r="X16" s="88" t="s">
        <v>15</v>
      </c>
      <c r="Y16" s="88" t="s">
        <v>74</v>
      </c>
      <c r="Z16" s="294">
        <f>(Z5)/((Z11/Z12)*Z8*Z9*Z10*Z13)</f>
        <v>99.173553719008268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6.8000000000000005E-2</v>
      </c>
      <c r="AG16" s="305">
        <f>B3</f>
        <v>6.8000000000000005E-2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1.6930652399999999E-9</v>
      </c>
      <c r="BL16" s="263" t="s">
        <v>72</v>
      </c>
      <c r="BM16" s="262" t="s">
        <v>449</v>
      </c>
      <c r="BN16" s="290">
        <f>B25</f>
        <v>3.5700000000000001E-10</v>
      </c>
      <c r="BO16" s="263" t="s">
        <v>72</v>
      </c>
      <c r="BP16" s="262" t="s">
        <v>452</v>
      </c>
      <c r="BQ16" s="290">
        <f>B27</f>
        <v>1.5412731840000001E-9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C16" s="293"/>
      <c r="CF16" s="293"/>
      <c r="CH16" s="249"/>
      <c r="CI16" s="289"/>
      <c r="CJ16" s="249"/>
      <c r="CL16" s="293"/>
      <c r="CO16" s="293"/>
      <c r="CR16" s="293"/>
      <c r="CT16" s="266" t="s">
        <v>117</v>
      </c>
      <c r="CU16" s="295">
        <f>(CU5*CU44*CU12)/((1-EXP(-CU12*CU44))*CU8*CU31*(1/365)*CU32*((CU38*(1/24)*CU42)+(CU39*(1/24)*CU41))*CU43)</f>
        <v>17041495.184340794</v>
      </c>
      <c r="CV16" s="271" t="s">
        <v>13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 t="e">
        <f>DG2</f>
        <v>#DIV/0!</v>
      </c>
      <c r="DB16" s="266" t="s">
        <v>14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0.23091361256544501</v>
      </c>
      <c r="DH16" s="262" t="s">
        <v>82</v>
      </c>
      <c r="DJ16" s="293"/>
      <c r="DL16" s="267"/>
      <c r="DM16" s="293"/>
      <c r="DO16" s="267" t="s">
        <v>81</v>
      </c>
      <c r="DP16" s="299">
        <f>DP20+(0.693/DP22)</f>
        <v>0.23091361256544501</v>
      </c>
      <c r="DQ16" s="262" t="s">
        <v>82</v>
      </c>
      <c r="DR16" s="267" t="s">
        <v>400</v>
      </c>
      <c r="DS16" s="297">
        <f>B175</f>
        <v>2</v>
      </c>
      <c r="DT16" s="249"/>
      <c r="DU16" s="267"/>
      <c r="DV16" s="293"/>
      <c r="DY16" s="293"/>
      <c r="EA16" s="267"/>
      <c r="EB16" s="293"/>
      <c r="ED16" s="267" t="s">
        <v>81</v>
      </c>
      <c r="EE16" s="299">
        <f>EE20+(0.693/EE22)</f>
        <v>0.23091361256544501</v>
      </c>
      <c r="EF16" s="262" t="s">
        <v>82</v>
      </c>
      <c r="EG16" s="267" t="s">
        <v>401</v>
      </c>
      <c r="EH16" s="297">
        <f>B176</f>
        <v>2</v>
      </c>
      <c r="EI16" s="249"/>
      <c r="EJ16" s="267"/>
      <c r="EK16" s="293"/>
      <c r="EN16" s="293"/>
      <c r="EP16" s="267"/>
      <c r="EQ16" s="293"/>
      <c r="ES16" s="267" t="s">
        <v>81</v>
      </c>
      <c r="ET16" s="299">
        <f>ET20+(0.693/ET22)</f>
        <v>0.23091361256544501</v>
      </c>
      <c r="EU16" s="262" t="s">
        <v>82</v>
      </c>
      <c r="EV16" s="267" t="s">
        <v>402</v>
      </c>
      <c r="EW16" s="297">
        <f>B177</f>
        <v>2</v>
      </c>
      <c r="EX16" s="249"/>
      <c r="EZ16" s="293"/>
      <c r="FC16" s="293"/>
      <c r="FF16" s="293"/>
      <c r="FH16" s="262" t="s">
        <v>81</v>
      </c>
      <c r="FI16" s="299">
        <f>FI20+(0.693/FI22)</f>
        <v>0.23091361256544501</v>
      </c>
      <c r="FJ16" s="262" t="s">
        <v>82</v>
      </c>
      <c r="FK16" s="267" t="s">
        <v>403</v>
      </c>
      <c r="FL16" s="297">
        <f>B178</f>
        <v>2</v>
      </c>
      <c r="FM16" s="249"/>
      <c r="FO16" s="293"/>
      <c r="FR16" s="293"/>
      <c r="FU16" s="293"/>
      <c r="FX16" s="293"/>
      <c r="FZ16" s="267" t="s">
        <v>404</v>
      </c>
      <c r="GA16" s="297">
        <f>B179</f>
        <v>2</v>
      </c>
      <c r="GB16" s="249"/>
      <c r="GD16" s="293"/>
      <c r="GG16" s="293"/>
      <c r="GJ16" s="293"/>
      <c r="GL16" s="262" t="s">
        <v>81</v>
      </c>
      <c r="GM16" s="299">
        <f>GM20+(0.693/GM22)</f>
        <v>0.23091361256544501</v>
      </c>
      <c r="GN16" s="262" t="s">
        <v>82</v>
      </c>
      <c r="GP16" s="297">
        <v>365</v>
      </c>
      <c r="GQ16" s="249" t="s">
        <v>26</v>
      </c>
      <c r="GS16" s="293"/>
      <c r="GV16" s="293"/>
      <c r="GY16" s="293"/>
      <c r="HA16" s="262" t="s">
        <v>81</v>
      </c>
      <c r="HB16" s="299">
        <f>HB20+(0.693/HB22)</f>
        <v>0.23091361256544501</v>
      </c>
      <c r="HC16" s="262" t="s">
        <v>82</v>
      </c>
      <c r="HE16" s="293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 t="e">
        <f>(K18/(K50+K51))*K11</f>
        <v>#DIV/0!</v>
      </c>
      <c r="L17" s="271" t="s">
        <v>13</v>
      </c>
      <c r="M17" s="262"/>
      <c r="N17" s="293"/>
      <c r="O17" s="262"/>
      <c r="P17" s="262"/>
      <c r="Q17" s="293"/>
      <c r="R17" s="262"/>
      <c r="S17" s="262"/>
      <c r="T17" s="293"/>
      <c r="U17" s="262"/>
      <c r="V17" s="88" t="s">
        <v>78</v>
      </c>
      <c r="W17" s="296">
        <f>(W5)/((W11/W12)*W8*W9*W14*(1/365))</f>
        <v>39253728.704632044</v>
      </c>
      <c r="X17" s="88" t="s">
        <v>15</v>
      </c>
      <c r="Y17" s="88" t="s">
        <v>78</v>
      </c>
      <c r="Z17" s="296">
        <f>(Z5)/((Z11/Z12)*Z8*Z9*Z14*(1/365))</f>
        <v>39253728.704632044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262"/>
      <c r="AJ17" s="293"/>
      <c r="AK17" s="262"/>
      <c r="AL17" s="262"/>
      <c r="AM17" s="293"/>
      <c r="AN17" s="262"/>
      <c r="AO17" s="262"/>
      <c r="AP17" s="293"/>
      <c r="AQ17" s="262"/>
      <c r="AR17" s="262"/>
      <c r="AS17" s="293"/>
      <c r="AT17" s="262"/>
      <c r="AU17" s="262"/>
      <c r="AV17" s="293"/>
      <c r="AW17" s="262"/>
      <c r="AX17" s="262"/>
      <c r="AY17" s="293"/>
      <c r="AZ17" s="262"/>
      <c r="BA17" s="262"/>
      <c r="BB17" s="293"/>
      <c r="BC17" s="262"/>
      <c r="BD17" s="262"/>
      <c r="BE17" s="293"/>
      <c r="BF17" s="262"/>
      <c r="BG17" s="262"/>
      <c r="BH17" s="293"/>
      <c r="BI17" s="262"/>
      <c r="BJ17" s="262"/>
      <c r="BK17" s="293"/>
      <c r="BL17" s="262"/>
      <c r="BM17" s="262"/>
      <c r="BN17" s="293"/>
      <c r="BO17" s="262"/>
      <c r="BP17" s="262"/>
      <c r="BQ17" s="293"/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 t="e">
        <f>DJ2</f>
        <v>#DIV/0!</v>
      </c>
      <c r="CV17" s="271" t="s">
        <v>13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66.155354824913829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1.0000000000000001E-5</v>
      </c>
      <c r="D18" s="266" t="s">
        <v>63</v>
      </c>
      <c r="E18" s="189">
        <f>B28</f>
        <v>1.6230073680000001E-12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 t="e">
        <f>K5/(K9*(K25+K28)*K39)</f>
        <v>#DIV/0!</v>
      </c>
      <c r="L18" s="271" t="s">
        <v>13</v>
      </c>
      <c r="V18" s="88" t="s">
        <v>74</v>
      </c>
      <c r="W18" s="294">
        <f>(W5*W6*W9)/((W11/W12)*(1-EXP(-W6*W9))*W10*W13*W8*W9)</f>
        <v>32804.308177643223</v>
      </c>
      <c r="X18" s="88" t="s">
        <v>16</v>
      </c>
      <c r="Y18" s="88" t="s">
        <v>74</v>
      </c>
      <c r="Z18" s="294">
        <f>(Z5*Z6*Z9)/((Z11/Z12)*(1-EXP(-Z6*Z9))*Z10*Z13*Z8*Z9)</f>
        <v>32804.308177643223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13</v>
      </c>
      <c r="CW18" s="266" t="s">
        <v>63</v>
      </c>
      <c r="CX18" s="189">
        <f>B28</f>
        <v>1.6230073680000001E-12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66.155354824913829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66.155354824913829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66.155354824913829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66.155354824913829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66.155354824913829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1.04753425E-2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3.1999999999999999E-11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(W5*W6*W9)/((W11/W12)*(1-EXP(-W6*W9))*W14*W8*W9*(1/365))</f>
        <v>12984221753.27919</v>
      </c>
      <c r="X19" s="88" t="s">
        <v>16</v>
      </c>
      <c r="Y19" s="88" t="s">
        <v>78</v>
      </c>
      <c r="Z19" s="296">
        <f>(Z5*Z6*Z9)/((Z11/Z12)*(1-EXP(-Z6*Z9))*Z14*Z8*Z9*(1/365))</f>
        <v>12984221753.27919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0.75600000000000001</v>
      </c>
      <c r="AG19" s="305">
        <f>B4</f>
        <v>0.75600000000000001</v>
      </c>
      <c r="AH19" s="267"/>
      <c r="BS19" s="262" t="s">
        <v>63</v>
      </c>
      <c r="BT19" s="287">
        <f>E18</f>
        <v>1.6230073680000001E-12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(CC22*CC23*CC24)/((1-EXP(-CC24*CC23))*CC27*CC31*(CC26/365)*CC29*(CC30/24)*CC28)</f>
        <v>21174706088.327751</v>
      </c>
      <c r="CD19" s="404" t="s">
        <v>94</v>
      </c>
      <c r="CE19" s="402" t="s">
        <v>562</v>
      </c>
      <c r="CF19" s="400">
        <f>(CF22*CF23*CF24)/((1-EXP(-CF24*CF23))*CF27*CF31*(CF26/365)*CF29*(CF30/24)*CF28)</f>
        <v>2485577074.4814014</v>
      </c>
      <c r="CG19" s="398" t="s">
        <v>13</v>
      </c>
      <c r="CK19" s="410" t="s">
        <v>510</v>
      </c>
      <c r="CL19" s="400" t="e">
        <f>CL22/(CL23*CL24*CL25*CL26)</f>
        <v>#DIV/0!</v>
      </c>
      <c r="CM19" s="404" t="s">
        <v>13</v>
      </c>
      <c r="CN19" s="402" t="s">
        <v>7</v>
      </c>
      <c r="CO19" s="400" t="e">
        <f>CL19/(CO22*((CO27*CO29*CO30*(CO23+CO24))+(CO28*CO29)))</f>
        <v>#DIV/0!</v>
      </c>
      <c r="CP19" s="412" t="s">
        <v>13</v>
      </c>
      <c r="CQ19" s="402" t="s">
        <v>6</v>
      </c>
      <c r="CR19" s="400" t="e">
        <f>CL19/(CR22*CR23*(1/CR24))</f>
        <v>#DIV/0!</v>
      </c>
      <c r="CS19" s="415" t="s">
        <v>14</v>
      </c>
      <c r="CT19" s="266" t="s">
        <v>258</v>
      </c>
      <c r="CU19" s="295" t="e">
        <f>GV2</f>
        <v>#DIV/0!</v>
      </c>
      <c r="CV19" s="271" t="s">
        <v>13</v>
      </c>
      <c r="CW19" s="266" t="s">
        <v>255</v>
      </c>
      <c r="CX19" s="304">
        <f>B173</f>
        <v>2</v>
      </c>
      <c r="CY19" s="88"/>
      <c r="CZ19" s="266" t="s">
        <v>184</v>
      </c>
      <c r="DA19" s="295" t="e">
        <f>EK2</f>
        <v>#DIV/0!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1.04753425E-2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1.04753425E-2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1.04753425E-2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1.04753425E-2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1.04753425E-2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267"/>
      <c r="GP19" s="292"/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0</v>
      </c>
      <c r="C20" s="263" t="s">
        <v>35</v>
      </c>
      <c r="D20" s="88" t="s">
        <v>74</v>
      </c>
      <c r="E20" s="294">
        <f>(E5)/(E10*E11)</f>
        <v>5.1652892561983483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AB20" s="262" t="s">
        <v>71</v>
      </c>
      <c r="AC20" s="287">
        <f>B23</f>
        <v>1.6930652399999999E-9</v>
      </c>
      <c r="AD20" s="287">
        <f>B23</f>
        <v>1.6930652399999999E-9</v>
      </c>
      <c r="AE20" s="287">
        <f>B23</f>
        <v>1.6930652399999999E-9</v>
      </c>
      <c r="AF20" s="287">
        <f>B23</f>
        <v>1.6930652399999999E-9</v>
      </c>
      <c r="AG20" s="287">
        <f>B23</f>
        <v>1.6930652399999999E-9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 t="e">
        <f>EN2</f>
        <v>#DIV/0!</v>
      </c>
      <c r="CV20" s="271" t="s">
        <v>13</v>
      </c>
      <c r="CW20" s="88" t="s">
        <v>74</v>
      </c>
      <c r="CX20" s="294">
        <f>(CX5)/((CX14/CX15)*CX10*CX11)</f>
        <v>5.5096418732782375</v>
      </c>
      <c r="CY20" s="88" t="s">
        <v>15</v>
      </c>
      <c r="CZ20" s="266" t="s">
        <v>493</v>
      </c>
      <c r="DA20" s="295" t="e">
        <f>DV2</f>
        <v>#DIV/0!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0.18141361256544503</v>
      </c>
      <c r="DH20" s="249" t="s">
        <v>82</v>
      </c>
      <c r="DL20" s="267"/>
      <c r="DO20" s="267" t="s">
        <v>90</v>
      </c>
      <c r="DP20" s="288">
        <f>0.693/B35</f>
        <v>0.18141361256544503</v>
      </c>
      <c r="DQ20" s="249" t="s">
        <v>82</v>
      </c>
      <c r="DU20" s="267"/>
      <c r="EA20" s="267"/>
      <c r="EB20" s="307"/>
      <c r="EC20" s="263"/>
      <c r="ED20" s="267" t="s">
        <v>90</v>
      </c>
      <c r="EE20" s="299">
        <f>0.693/B35</f>
        <v>0.18141361256544503</v>
      </c>
      <c r="EF20" s="263" t="s">
        <v>82</v>
      </c>
      <c r="EJ20" s="267"/>
      <c r="EP20" s="267"/>
      <c r="EQ20" s="307"/>
      <c r="ER20" s="263"/>
      <c r="ES20" s="267" t="s">
        <v>90</v>
      </c>
      <c r="ET20" s="299">
        <f>0.693/B35</f>
        <v>0.18141361256544503</v>
      </c>
      <c r="EU20" s="263" t="s">
        <v>82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0.18141361256544503</v>
      </c>
      <c r="FJ20" s="263" t="s">
        <v>82</v>
      </c>
      <c r="FK20" s="267"/>
      <c r="FL20" s="292"/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267"/>
      <c r="GA20" s="292"/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0.18141361256544503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0.18141361256544503</v>
      </c>
      <c r="HC20" s="263" t="s">
        <v>82</v>
      </c>
    </row>
    <row r="21" spans="1:214" ht="15" thickTop="1" thickBot="1" x14ac:dyDescent="0.25">
      <c r="A21" s="262" t="s">
        <v>316</v>
      </c>
      <c r="B21" s="315">
        <v>0</v>
      </c>
      <c r="C21" s="262" t="s">
        <v>35</v>
      </c>
      <c r="D21" s="88" t="s">
        <v>78</v>
      </c>
      <c r="E21" s="295">
        <f>(E5)/((E14/E15)*E8*E9*E18*(1/365)*E19)</f>
        <v>2044465.0366995858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(N24*N25*N26)/((1-EXP(-N26*N25))*N29*N34*(N28/365)*N32*(((N33/24)*N31)+((N35/24)*N30)))</f>
        <v>47009217.934890322</v>
      </c>
      <c r="O21" s="637" t="s">
        <v>94</v>
      </c>
      <c r="P21" s="639" t="s">
        <v>516</v>
      </c>
      <c r="Q21" s="647">
        <f>(Q24*Q25*Q26)/((1-EXP(-Q26*Q25))*Q29*Q34*(Q28/365)*Q32*(((Q33/24)*Q31)+((Q35/24)*Q30)))</f>
        <v>16352928.316868151</v>
      </c>
      <c r="R21" s="643" t="s">
        <v>13</v>
      </c>
      <c r="AB21" s="262" t="s">
        <v>43</v>
      </c>
      <c r="AC21" s="290">
        <f>B19</f>
        <v>3.1999999999999999E-11</v>
      </c>
      <c r="AD21" s="290">
        <f>B19</f>
        <v>3.1999999999999999E-11</v>
      </c>
      <c r="AE21" s="290">
        <f>B19</f>
        <v>3.1999999999999999E-11</v>
      </c>
      <c r="AF21" s="290">
        <f>B19</f>
        <v>3.1999999999999999E-11</v>
      </c>
      <c r="AG21" s="290">
        <f>B19</f>
        <v>3.1999999999999999E-11</v>
      </c>
      <c r="AH21" s="263" t="s">
        <v>35</v>
      </c>
      <c r="AI21" s="381" t="s">
        <v>516</v>
      </c>
      <c r="AJ21" s="387">
        <f>(AJ24*AJ25*AJ26)/((1-EXP(-AJ26*AJ25))*AJ34*(AJ28/365)*AJ29*(AJ35/24)*AJ30*AJ32)</f>
        <v>150400568.64215064</v>
      </c>
      <c r="AK21" s="629" t="s">
        <v>94</v>
      </c>
      <c r="AL21" s="383" t="s">
        <v>516</v>
      </c>
      <c r="AM21" s="387">
        <f>(AM24*AM25*AM26)/((1-EXP(-AM26*AM25))*AM34*(AM28/365)*AM29*(AM35/24)*AM30*AM32)</f>
        <v>52319307.273475401</v>
      </c>
      <c r="AN21" s="635" t="s">
        <v>13</v>
      </c>
      <c r="AR21" s="381" t="s">
        <v>516</v>
      </c>
      <c r="AS21" s="387">
        <f>(AS24*AS25*AS26)/((1-EXP(-AS26*AS25))*AS34*(AS28/365)*AS29*(AS33/24)*AS31*AS32)</f>
        <v>60160227.456860252</v>
      </c>
      <c r="AT21" s="391" t="s">
        <v>94</v>
      </c>
      <c r="AU21" s="383" t="s">
        <v>516</v>
      </c>
      <c r="AV21" s="387">
        <f>(AV24*AV25*AV26)/((1-EXP(-AV26*AV25))*AV34*(AV28/365)*AV29*(AV33/24)*AV31*AV32)</f>
        <v>20927722.909390163</v>
      </c>
      <c r="AW21" s="385" t="s">
        <v>13</v>
      </c>
      <c r="BA21" s="381" t="s">
        <v>516</v>
      </c>
      <c r="BB21" s="387">
        <f>(BB24*BB25*BB26)/((1-EXP(-BB26*BB25))*BB34*(BB28/365)*BB29*((BB33+BB35)/24)*BB31*BB32)</f>
        <v>60160227.456860252</v>
      </c>
      <c r="BC21" s="391" t="s">
        <v>94</v>
      </c>
      <c r="BD21" s="383" t="s">
        <v>516</v>
      </c>
      <c r="BE21" s="387">
        <f>(BE24*BE25*BE26)/((1-EXP(-BE26*BE25))*BE34*(BE28/365)*BE29*((BE33+BE35)/24)*BE31*BE32)</f>
        <v>20927722.909390163</v>
      </c>
      <c r="BF21" s="385" t="s">
        <v>13</v>
      </c>
      <c r="BJ21" s="381" t="s">
        <v>561</v>
      </c>
      <c r="BK21" s="389">
        <f>(BK24*BK25*BK26)/((1-EXP(-BK26*BK25))*BK31*BK35*(BK28/365)*BK33*(BK34/24)*BK32)</f>
        <v>5774919842.2712021</v>
      </c>
      <c r="BL21" s="391" t="s">
        <v>94</v>
      </c>
      <c r="BM21" s="383" t="s">
        <v>562</v>
      </c>
      <c r="BN21" s="389">
        <f>(BN24*BN25*BN26)/((1-EXP(-BN26*BN25))*BN31*BN35*(BN28/365)*BN33*(BN34/24)*BN32)</f>
        <v>677884656.67674553</v>
      </c>
      <c r="BO21" s="385" t="s">
        <v>13</v>
      </c>
      <c r="BS21" s="88" t="s">
        <v>74</v>
      </c>
      <c r="BT21" s="294">
        <f>(BT5)/(BT10*BT11)</f>
        <v>69.930069930069934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 t="e">
        <f>DY2</f>
        <v>#DIV/0!</v>
      </c>
      <c r="CV21" s="271" t="s">
        <v>13</v>
      </c>
      <c r="CW21" s="88" t="s">
        <v>78</v>
      </c>
      <c r="CX21" s="296">
        <f>(CX5)/((CX14/CX15)*CX8*CX9*CX18*(1/365)*CX19)</f>
        <v>681488.34556652873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66.155354824913829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/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0</v>
      </c>
      <c r="C22" s="262" t="s">
        <v>35</v>
      </c>
      <c r="D22" s="88" t="s">
        <v>74</v>
      </c>
      <c r="E22" s="295">
        <f>(E5*E9*E6)/((1-EXP(-E6*E9))*E10*E11)</f>
        <v>6834.2308703423387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(BT5)/((BT14/24)*(BT8/365)*BT9*BT19*BT20)</f>
        <v>27678911.266086701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1.0000000000000001E-5</v>
      </c>
      <c r="CE22" s="249" t="s">
        <v>17</v>
      </c>
      <c r="CF22" s="287">
        <f>B18</f>
        <v>1.0000000000000001E-5</v>
      </c>
      <c r="CK22" s="249" t="s">
        <v>17</v>
      </c>
      <c r="CL22" s="287">
        <f>B18</f>
        <v>1.0000000000000001E-5</v>
      </c>
      <c r="CM22" s="76"/>
      <c r="CN22" s="249" t="s">
        <v>265</v>
      </c>
      <c r="CO22" s="287">
        <f>B42</f>
        <v>0</v>
      </c>
      <c r="CQ22" s="262" t="s">
        <v>265</v>
      </c>
      <c r="CR22" s="287">
        <f>CO22</f>
        <v>0</v>
      </c>
      <c r="CT22" s="266" t="s">
        <v>492</v>
      </c>
      <c r="CU22" s="295" t="e">
        <f>GG2</f>
        <v>#DIV/0!</v>
      </c>
      <c r="CV22" s="271" t="s">
        <v>13</v>
      </c>
      <c r="CW22" s="88" t="s">
        <v>74</v>
      </c>
      <c r="CX22" s="294">
        <f>(CX5*CX9*CX6)/((CX14/CX15)*(1-EXP(-CX6*CX9))*CX10*CX11)</f>
        <v>10934.769392547742</v>
      </c>
      <c r="CY22" s="88" t="s">
        <v>16</v>
      </c>
      <c r="CZ22" s="266" t="s">
        <v>183</v>
      </c>
      <c r="DA22" s="296" t="e">
        <f>FO2</f>
        <v>#DIV/0!</v>
      </c>
      <c r="DB22" s="88"/>
      <c r="DC22" s="266" t="s">
        <v>270</v>
      </c>
      <c r="DD22" s="287">
        <f>B31</f>
        <v>1.04753425E-2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1.6930652399999999E-9</v>
      </c>
      <c r="C23" s="262" t="s">
        <v>95</v>
      </c>
      <c r="D23" s="88" t="s">
        <v>78</v>
      </c>
      <c r="E23" s="296">
        <f>(E5*E9*E6)/((E14/E15)*E8*E9*(1-EXP(-E6*E9))*E18*(1/365)*E19)</f>
        <v>2705046198.5998316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(BT5*BT28*BT6)/((1-EXP(-BT6*BT28))*BT10*BT11)</f>
        <v>120282.46331802515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0</v>
      </c>
      <c r="CM23" s="266" t="s">
        <v>13</v>
      </c>
      <c r="CN23" s="249" t="s">
        <v>21</v>
      </c>
      <c r="CO23" s="290">
        <f>CO25</f>
        <v>0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 t="e">
        <f>FR2</f>
        <v>#DIV/0!</v>
      </c>
      <c r="CV23" s="271" t="s">
        <v>13</v>
      </c>
      <c r="CW23" s="88" t="s">
        <v>78</v>
      </c>
      <c r="CX23" s="296">
        <f>(CX5*CX9*CX6)/((CX14/CX15)*CX8*CX9*(1-EXP(-CX6*CX9))*CX18*(1/365)*CX19)</f>
        <v>1352523099.299916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F23" s="262" t="s">
        <v>17</v>
      </c>
      <c r="DG23" s="287">
        <f>B35</f>
        <v>3.82</v>
      </c>
      <c r="DH23" s="249" t="s">
        <v>257</v>
      </c>
      <c r="DO23" s="262" t="s">
        <v>20</v>
      </c>
      <c r="DP23" s="305">
        <f>DP25</f>
        <v>0</v>
      </c>
      <c r="EA23" s="262"/>
      <c r="EB23" s="293"/>
      <c r="EC23" s="263"/>
      <c r="ED23" s="262" t="s">
        <v>20</v>
      </c>
      <c r="EE23" s="305">
        <f>EE25</f>
        <v>0</v>
      </c>
      <c r="EF23" s="263"/>
      <c r="EP23" s="262"/>
      <c r="EQ23" s="293"/>
      <c r="ER23" s="263"/>
      <c r="ES23" s="262" t="s">
        <v>20</v>
      </c>
      <c r="ET23" s="305">
        <f>ET25</f>
        <v>0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0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0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0</v>
      </c>
      <c r="HC23" s="263"/>
      <c r="HD23" s="219" t="s">
        <v>574</v>
      </c>
      <c r="HE23" s="348">
        <f>(HE25*HE33*HE38*HE32*10^-3*HE31*HE27)/(HE30*HE41*(1-EXP(-HE27*HE31)))</f>
        <v>0</v>
      </c>
      <c r="HF23" s="252" t="s">
        <v>13</v>
      </c>
    </row>
    <row r="24" spans="1:214" ht="14.25" thickTop="1" thickBot="1" x14ac:dyDescent="0.25">
      <c r="A24" s="262" t="s">
        <v>450</v>
      </c>
      <c r="B24" s="315">
        <v>3.5028935999999998E-10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1.0000000000000001E-5</v>
      </c>
      <c r="P24" s="249" t="s">
        <v>17</v>
      </c>
      <c r="Q24" s="287">
        <f>B18</f>
        <v>1.0000000000000001E-5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1.0000000000000001E-5</v>
      </c>
      <c r="AL24" s="249" t="s">
        <v>17</v>
      </c>
      <c r="AM24" s="287">
        <f>B18</f>
        <v>1.0000000000000001E-5</v>
      </c>
      <c r="AR24" s="249" t="s">
        <v>17</v>
      </c>
      <c r="AS24" s="287">
        <f>B18</f>
        <v>1.0000000000000001E-5</v>
      </c>
      <c r="AU24" s="249" t="s">
        <v>17</v>
      </c>
      <c r="AV24" s="287">
        <f>B18</f>
        <v>1.0000000000000001E-5</v>
      </c>
      <c r="BA24" s="249" t="s">
        <v>17</v>
      </c>
      <c r="BB24" s="287">
        <f>B18</f>
        <v>1.0000000000000001E-5</v>
      </c>
      <c r="BD24" s="249" t="s">
        <v>17</v>
      </c>
      <c r="BE24" s="287">
        <f>B18</f>
        <v>1.0000000000000001E-5</v>
      </c>
      <c r="BJ24" s="249" t="s">
        <v>17</v>
      </c>
      <c r="BK24" s="287">
        <f>B18</f>
        <v>1.0000000000000001E-5</v>
      </c>
      <c r="BM24" s="249" t="s">
        <v>17</v>
      </c>
      <c r="BN24" s="287">
        <f>B18</f>
        <v>1.0000000000000001E-5</v>
      </c>
      <c r="BS24" s="88" t="s">
        <v>78</v>
      </c>
      <c r="BT24" s="296">
        <f>(BT5*BT28*BT6)/((BT14/24)*(BT8/365)*BT9*(1-EXP(-BT6*BT28))*BT19*BT20)</f>
        <v>47608813095.357033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66.155354824913829</v>
      </c>
      <c r="CE24" s="262" t="s">
        <v>23</v>
      </c>
      <c r="CF24" s="288">
        <f>0.693/CF25</f>
        <v>66.155354824913829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308.24990955448988</v>
      </c>
      <c r="HF24" s="75" t="s">
        <v>13</v>
      </c>
    </row>
    <row r="25" spans="1:214" ht="13.5" thickTop="1" x14ac:dyDescent="0.2">
      <c r="A25" s="262" t="s">
        <v>449</v>
      </c>
      <c r="B25" s="315">
        <v>3.5700000000000001E-10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32804.225298596895</v>
      </c>
      <c r="X25" s="254" t="s">
        <v>10</v>
      </c>
      <c r="Y25" s="321" t="s">
        <v>16</v>
      </c>
      <c r="Z25" s="358">
        <f>1/((1/Z38)+(1/Z39))</f>
        <v>6560.8450597193796</v>
      </c>
      <c r="AA25" s="255" t="s">
        <v>10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1.04753425E-2</v>
      </c>
      <c r="CD25" s="249" t="s">
        <v>69</v>
      </c>
      <c r="CE25" s="266" t="s">
        <v>270</v>
      </c>
      <c r="CF25" s="287">
        <f>B31</f>
        <v>1.04753425E-2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0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0</v>
      </c>
      <c r="EA25" s="262"/>
      <c r="EC25" s="263"/>
      <c r="ED25" s="262" t="s">
        <v>38</v>
      </c>
      <c r="EE25" s="287">
        <f>B45</f>
        <v>0</v>
      </c>
      <c r="EF25" s="263"/>
      <c r="EP25" s="262"/>
      <c r="ER25" s="263"/>
      <c r="ES25" s="263" t="s">
        <v>37</v>
      </c>
      <c r="ET25" s="287">
        <f>B45</f>
        <v>0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0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0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0</v>
      </c>
      <c r="HC25" s="263"/>
      <c r="HD25" s="265" t="s">
        <v>22</v>
      </c>
      <c r="HE25" s="305">
        <f>B47</f>
        <v>0</v>
      </c>
      <c r="HF25" s="262" t="s">
        <v>14</v>
      </c>
    </row>
    <row r="26" spans="1:214" ht="13.5" thickBot="1" x14ac:dyDescent="0.25">
      <c r="A26" s="262" t="s">
        <v>451</v>
      </c>
      <c r="B26" s="315">
        <v>1.00696514688E-9</v>
      </c>
      <c r="C26" s="262" t="s">
        <v>95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66.155354824913829</v>
      </c>
      <c r="P26" s="262" t="s">
        <v>23</v>
      </c>
      <c r="Q26" s="288">
        <f>0.693/Q27</f>
        <v>66.155354824913829</v>
      </c>
      <c r="V26" s="320" t="s">
        <v>15</v>
      </c>
      <c r="W26" s="359">
        <f>1/((1/W38)+(1/W39))</f>
        <v>99.173303160163726</v>
      </c>
      <c r="X26" s="258" t="s">
        <v>10</v>
      </c>
      <c r="Y26" s="322" t="s">
        <v>15</v>
      </c>
      <c r="Z26" s="360">
        <f>1/((1/Z40)+(1/Z41))</f>
        <v>99.173303160163741</v>
      </c>
      <c r="AA26" s="259" t="s">
        <v>10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66.155354824913829</v>
      </c>
      <c r="AL26" s="262" t="s">
        <v>23</v>
      </c>
      <c r="AM26" s="288">
        <f>0.693/AM27</f>
        <v>66.155354824913829</v>
      </c>
      <c r="AR26" s="262" t="s">
        <v>23</v>
      </c>
      <c r="AS26" s="288">
        <f>0.693/AS27</f>
        <v>66.155354824913829</v>
      </c>
      <c r="AU26" s="262" t="s">
        <v>23</v>
      </c>
      <c r="AV26" s="288">
        <f>0.693/AV27</f>
        <v>66.155354824913829</v>
      </c>
      <c r="BA26" s="262" t="s">
        <v>23</v>
      </c>
      <c r="BB26" s="288">
        <f>0.693/BB27</f>
        <v>66.155354824913829</v>
      </c>
      <c r="BD26" s="262" t="s">
        <v>23</v>
      </c>
      <c r="BE26" s="288">
        <f>0.693/BE27</f>
        <v>66.155354824913829</v>
      </c>
      <c r="BJ26" s="262" t="s">
        <v>23</v>
      </c>
      <c r="BK26" s="288">
        <f>0.693/BK27</f>
        <v>66.155354824913829</v>
      </c>
      <c r="BM26" s="262" t="s">
        <v>23</v>
      </c>
      <c r="BN26" s="288">
        <f>0.693/BN27</f>
        <v>66.155354824913829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88"/>
      <c r="CX26" s="192"/>
      <c r="CY26" s="88"/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0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16.528925571605519</v>
      </c>
      <c r="HF26" s="262" t="s">
        <v>14</v>
      </c>
    </row>
    <row r="27" spans="1:214" ht="15" thickTop="1" x14ac:dyDescent="0.2">
      <c r="A27" s="262" t="s">
        <v>452</v>
      </c>
      <c r="B27" s="315">
        <v>1.5412731840000001E-9</v>
      </c>
      <c r="C27" s="262" t="s">
        <v>95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1.04753425E-2</v>
      </c>
      <c r="O27" s="249" t="s">
        <v>69</v>
      </c>
      <c r="P27" s="266" t="s">
        <v>270</v>
      </c>
      <c r="Q27" s="287">
        <f>B31</f>
        <v>1.04753425E-2</v>
      </c>
      <c r="R27" s="249" t="s">
        <v>69</v>
      </c>
      <c r="V27" s="249" t="s">
        <v>17</v>
      </c>
      <c r="W27" s="287">
        <f>B18</f>
        <v>1.0000000000000001E-5</v>
      </c>
      <c r="Y27" s="249" t="s">
        <v>17</v>
      </c>
      <c r="Z27" s="287">
        <f>B18</f>
        <v>1.0000000000000001E-5</v>
      </c>
      <c r="AB27" s="269" t="s">
        <v>23</v>
      </c>
      <c r="AC27" s="288">
        <f>0.693/AC28</f>
        <v>66.155354824913829</v>
      </c>
      <c r="AD27" s="288">
        <f>0.693/AD28</f>
        <v>66.155354824913829</v>
      </c>
      <c r="AE27" s="288">
        <f>0.693/AE28</f>
        <v>66.155354824913829</v>
      </c>
      <c r="AF27" s="288">
        <f>0.693/AF28</f>
        <v>66.155354824913829</v>
      </c>
      <c r="AG27" s="288">
        <f>0.693/AG28</f>
        <v>66.155354824913829</v>
      </c>
      <c r="AI27" s="266" t="s">
        <v>270</v>
      </c>
      <c r="AJ27" s="287">
        <f>B31</f>
        <v>1.04753425E-2</v>
      </c>
      <c r="AK27" s="249" t="s">
        <v>69</v>
      </c>
      <c r="AL27" s="266" t="s">
        <v>270</v>
      </c>
      <c r="AM27" s="287">
        <f>B31</f>
        <v>1.04753425E-2</v>
      </c>
      <c r="AN27" s="249" t="s">
        <v>69</v>
      </c>
      <c r="AR27" s="266" t="s">
        <v>270</v>
      </c>
      <c r="AS27" s="287">
        <f>B31</f>
        <v>1.04753425E-2</v>
      </c>
      <c r="AT27" s="249" t="s">
        <v>69</v>
      </c>
      <c r="AU27" s="266" t="s">
        <v>270</v>
      </c>
      <c r="AV27" s="287">
        <f>B31</f>
        <v>1.04753425E-2</v>
      </c>
      <c r="AW27" s="249" t="s">
        <v>69</v>
      </c>
      <c r="BA27" s="266" t="s">
        <v>270</v>
      </c>
      <c r="BB27" s="287">
        <f>B31</f>
        <v>1.04753425E-2</v>
      </c>
      <c r="BC27" s="249" t="s">
        <v>69</v>
      </c>
      <c r="BD27" s="266" t="s">
        <v>270</v>
      </c>
      <c r="BE27" s="287">
        <f>B31</f>
        <v>1.04753425E-2</v>
      </c>
      <c r="BF27" s="249" t="s">
        <v>69</v>
      </c>
      <c r="BJ27" s="266" t="s">
        <v>270</v>
      </c>
      <c r="BK27" s="287">
        <f>B31</f>
        <v>1.04753425E-2</v>
      </c>
      <c r="BL27" s="249" t="s">
        <v>69</v>
      </c>
      <c r="BM27" s="266" t="s">
        <v>270</v>
      </c>
      <c r="BN27" s="287">
        <f>B31</f>
        <v>1.04753425E-2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0</v>
      </c>
      <c r="EP27" s="262"/>
      <c r="EQ27" s="310"/>
      <c r="ES27" s="262" t="s">
        <v>275</v>
      </c>
      <c r="ET27" s="310">
        <f>B38</f>
        <v>0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66.155354824913829</v>
      </c>
    </row>
    <row r="28" spans="1:214" ht="15.75" thickBot="1" x14ac:dyDescent="0.25">
      <c r="A28" s="262" t="s">
        <v>63</v>
      </c>
      <c r="B28" s="315">
        <v>1.6230073680000001E-12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66.155354824913829</v>
      </c>
      <c r="Y28" s="262" t="s">
        <v>23</v>
      </c>
      <c r="Z28" s="288">
        <f>0.693/Z29</f>
        <v>66.155354824913829</v>
      </c>
      <c r="AB28" s="266" t="s">
        <v>270</v>
      </c>
      <c r="AC28" s="287">
        <f>B31</f>
        <v>1.04753425E-2</v>
      </c>
      <c r="AD28" s="287">
        <f>B31</f>
        <v>1.04753425E-2</v>
      </c>
      <c r="AE28" s="287">
        <f>B31</f>
        <v>1.04753425E-2</v>
      </c>
      <c r="AF28" s="287">
        <f>B31</f>
        <v>1.04753425E-2</v>
      </c>
      <c r="AG28" s="287">
        <f>B31</f>
        <v>1.04753425E-2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2.2499999999999999E-2</v>
      </c>
      <c r="CE28" s="249" t="s">
        <v>458</v>
      </c>
      <c r="CF28" s="287">
        <f>B8</f>
        <v>4.2700000000000002E-2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1.04753425E-2</v>
      </c>
      <c r="HF28" s="249" t="s">
        <v>69</v>
      </c>
    </row>
    <row r="29" spans="1:214" ht="18.75" thickTop="1" x14ac:dyDescent="0.2">
      <c r="A29" s="266" t="s">
        <v>161</v>
      </c>
      <c r="B29" s="315">
        <v>3.5145699120000001E-15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1.04753425E-2</v>
      </c>
      <c r="X29" s="249" t="s">
        <v>69</v>
      </c>
      <c r="Y29" s="266" t="s">
        <v>270</v>
      </c>
      <c r="Z29" s="287">
        <f>B31</f>
        <v>1.04753425E-2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266"/>
      <c r="BT29" s="115"/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0.46300000000000002</v>
      </c>
      <c r="CE29" s="249" t="s">
        <v>459</v>
      </c>
      <c r="CF29" s="287">
        <f>B9</f>
        <v>0.72299999999999998</v>
      </c>
      <c r="CM29" s="262"/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0</v>
      </c>
      <c r="C30" s="267" t="s">
        <v>35</v>
      </c>
      <c r="D30" s="203" t="s">
        <v>510</v>
      </c>
      <c r="E30" s="204" t="e">
        <f>E37</f>
        <v>#DIV/0!</v>
      </c>
      <c r="F30" s="184" t="s">
        <v>13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288">
        <f>(AC26*AC27)/(1-EXP(-AC27*AC26))</f>
        <v>330.77677412456916</v>
      </c>
      <c r="AD30" s="288">
        <f>(AD26*AD27)/(1-EXP(-AD27*AD26))</f>
        <v>330.77677412456916</v>
      </c>
      <c r="AE30" s="288">
        <f>(AE26*AE27)/(1-EXP(-AE27*AE26))</f>
        <v>330.77677412456916</v>
      </c>
      <c r="AF30" s="288">
        <f>(AF26*AF27)/(1-EXP(-AF27*AF26))</f>
        <v>330.77677412456916</v>
      </c>
      <c r="AG30" s="288">
        <f>(AG26*AG27)/(1-EXP(-AG27*AG26))</f>
        <v>330.77677412456916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M30" s="262"/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315">
        <v>1.04753425E-2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6.8000000000000005E-2</v>
      </c>
      <c r="CB31" s="249" t="s">
        <v>71</v>
      </c>
      <c r="CC31" s="290">
        <f>B24</f>
        <v>3.5028935999999998E-10</v>
      </c>
      <c r="CD31" s="262" t="s">
        <v>282</v>
      </c>
      <c r="CE31" s="249" t="s">
        <v>71</v>
      </c>
      <c r="CF31" s="290">
        <f>B26</f>
        <v>1.00696514688E-9</v>
      </c>
      <c r="CG31" s="263" t="s">
        <v>72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2.75" customHeight="1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1.0000000000000001E-5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3.1999999999999999E-11</v>
      </c>
      <c r="X32" s="263" t="s">
        <v>44</v>
      </c>
      <c r="Y32" s="249" t="s">
        <v>43</v>
      </c>
      <c r="Z32" s="290">
        <f>B19</f>
        <v>3.1999999999999999E-11</v>
      </c>
      <c r="AA32" s="263" t="s">
        <v>44</v>
      </c>
      <c r="AB32" s="266" t="s">
        <v>80</v>
      </c>
      <c r="AC32" s="294" t="e">
        <f>(AC5/(AC9*AC14*AC8*AC11*(1/AC6)))*AC30</f>
        <v>#DIV/0!</v>
      </c>
      <c r="AD32" s="294" t="e">
        <f>(AD5/(AD9*AD14*AD8*AD11*(1/AD6)))*AD30</f>
        <v>#DIV/0!</v>
      </c>
      <c r="AE32" s="294" t="e">
        <f>(AE5/(AE9*AE14*AE8*AE11*(1/AE6)))*AE30</f>
        <v>#DIV/0!</v>
      </c>
      <c r="AF32" s="294" t="e">
        <f>(AF5/(AF9*AF14*AF8*AF11*(1/AF6)))*AF30</f>
        <v>#DIV/0!</v>
      </c>
      <c r="AG32" s="294" t="e">
        <f>(AG5/(AG9*AG14*AG8*AG11*(1/AG6)))*AG30</f>
        <v>#DIV/0!</v>
      </c>
      <c r="AH32" s="266" t="s">
        <v>13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2.2499999999999999E-2</v>
      </c>
      <c r="BM32" s="249" t="s">
        <v>458</v>
      </c>
      <c r="BN32" s="287">
        <f>B8</f>
        <v>4.2700000000000002E-2</v>
      </c>
      <c r="BY32" s="262" t="s">
        <v>62</v>
      </c>
      <c r="BZ32" s="305">
        <f>B4</f>
        <v>0.75600000000000001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(AC5/(AC21*AC17*AC8*AC11*(1/AC35)*((8/1)/(24/1))*AC31))*AC30</f>
        <v>27870221894.338478</v>
      </c>
      <c r="AD33" s="295">
        <f>(AD5/(AD21*AD17*AD8*((8/1)/(24/1))*AD11*(1/AD35)*AD31))*AD30</f>
        <v>27870221894.338467</v>
      </c>
      <c r="AE33" s="295">
        <f>(AE5/(AE21*AE17*AE8*((8/1)/(24/1))*AE11*(1/AE35)*AE31))*AE30</f>
        <v>27870221894.338467</v>
      </c>
      <c r="AF33" s="295">
        <f>(AF5/(AF21*AF17*AF8*AF11*(1/AF36)*(AF23/24)*AF31))*AF30</f>
        <v>25380090.938960955</v>
      </c>
      <c r="AG33" s="295">
        <f>(AG5/(AG21*AG17*AG8*AG11*(1/AG37)*(AG23/24)*AG31))*AG30</f>
        <v>1182787574.5109367</v>
      </c>
      <c r="AH33" s="88" t="s">
        <v>13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0.46300000000000002</v>
      </c>
      <c r="BM33" s="249" t="s">
        <v>459</v>
      </c>
      <c r="BN33" s="287">
        <f>B9</f>
        <v>0.72299999999999998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0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3.5028935999999998E-10</v>
      </c>
      <c r="O34" s="263" t="s">
        <v>447</v>
      </c>
      <c r="P34" s="249" t="s">
        <v>451</v>
      </c>
      <c r="Q34" s="290">
        <f>B26</f>
        <v>1.00696514688E-9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(AC5/(AC20*(AC8/365)*AC11*((AC23+AC24)/24)*AC16*AC19))*AC30</f>
        <v>12446943.611764191</v>
      </c>
      <c r="AD34" s="296">
        <f>(AD5/(AD20*(AD8/365)*AD11*(AD24/24)*AD18*AD19))*AD30</f>
        <v>31117359.029410478</v>
      </c>
      <c r="AE34" s="296">
        <f>(AE5/(AE20*(AE8/365)*AE11*(AE23/24)*AE16*AE19))*AE30</f>
        <v>12446943.611764191</v>
      </c>
      <c r="AF34" s="296">
        <f>(AF5/(AF20*(AF8/365)*AF11*(AF23/24)*AF16*AF19))*AF30</f>
        <v>242120751.86282665</v>
      </c>
      <c r="AG34" s="296">
        <f>(AG5/(AG20*(AG8/365)*AG11*(AG23/24)*AG16*AG19))*AG30</f>
        <v>242120751.86282665</v>
      </c>
      <c r="AH34" s="266" t="s">
        <v>13</v>
      </c>
      <c r="AI34" s="262" t="s">
        <v>450</v>
      </c>
      <c r="AJ34" s="290">
        <f>B24</f>
        <v>3.5028935999999998E-10</v>
      </c>
      <c r="AK34" s="262" t="s">
        <v>282</v>
      </c>
      <c r="AL34" s="262" t="s">
        <v>451</v>
      </c>
      <c r="AM34" s="290">
        <f>B26</f>
        <v>1.00696514688E-9</v>
      </c>
      <c r="AN34" s="263" t="s">
        <v>72</v>
      </c>
      <c r="AR34" s="262" t="s">
        <v>450</v>
      </c>
      <c r="AS34" s="290">
        <f>B24</f>
        <v>3.5028935999999998E-10</v>
      </c>
      <c r="AT34" s="262" t="s">
        <v>282</v>
      </c>
      <c r="AU34" s="262" t="s">
        <v>451</v>
      </c>
      <c r="AV34" s="290">
        <f>B26</f>
        <v>1.00696514688E-9</v>
      </c>
      <c r="AW34" s="263" t="s">
        <v>72</v>
      </c>
      <c r="BA34" s="262" t="s">
        <v>450</v>
      </c>
      <c r="BB34" s="290">
        <f>B24</f>
        <v>3.5028935999999998E-10</v>
      </c>
      <c r="BC34" s="262" t="s">
        <v>282</v>
      </c>
      <c r="BD34" s="262" t="s">
        <v>451</v>
      </c>
      <c r="BE34" s="290">
        <f>B26</f>
        <v>1.00696514688E-9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0</v>
      </c>
      <c r="HF34" s="249" t="s">
        <v>19</v>
      </c>
    </row>
    <row r="35" spans="1:214" x14ac:dyDescent="0.2">
      <c r="A35" s="266" t="s">
        <v>270</v>
      </c>
      <c r="B35" s="315">
        <v>3.82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3.5028935999999998E-10</v>
      </c>
      <c r="BL35" s="262" t="s">
        <v>282</v>
      </c>
      <c r="BM35" s="262" t="s">
        <v>451</v>
      </c>
      <c r="BN35" s="290">
        <f>B26</f>
        <v>1.00696514688E-9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ht="13.5" customHeight="1" x14ac:dyDescent="0.2">
      <c r="A36" s="262" t="s">
        <v>122</v>
      </c>
      <c r="B36" s="314">
        <v>0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281"/>
      <c r="N36" s="361"/>
      <c r="O36" s="281"/>
      <c r="P36" s="281"/>
      <c r="Q36" s="361"/>
      <c r="R36" s="281"/>
      <c r="V36" s="262" t="s">
        <v>63</v>
      </c>
      <c r="W36" s="287">
        <f>B28</f>
        <v>1.6230073680000001E-12</v>
      </c>
      <c r="X36" s="262" t="s">
        <v>64</v>
      </c>
      <c r="Y36" s="262" t="s">
        <v>63</v>
      </c>
      <c r="Z36" s="287">
        <f>B28</f>
        <v>1.6230073680000001E-12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x14ac:dyDescent="0.2">
      <c r="A37" s="262" t="s">
        <v>278</v>
      </c>
      <c r="B37" s="315">
        <v>0</v>
      </c>
      <c r="C37" s="263" t="s">
        <v>298</v>
      </c>
      <c r="D37" s="262" t="s">
        <v>80</v>
      </c>
      <c r="E37" s="300" t="e">
        <f>E32/(E34*E33*E35*E36)</f>
        <v>#DIV/0!</v>
      </c>
      <c r="F37" s="263" t="s">
        <v>13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0</v>
      </c>
      <c r="C38" s="263" t="s">
        <v>298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W27/((W33/W34)*W30*W31*W32*W35)</f>
        <v>99.173553719008268</v>
      </c>
      <c r="X38" s="88" t="s">
        <v>15</v>
      </c>
      <c r="Y38" s="88" t="s">
        <v>74</v>
      </c>
      <c r="Z38" s="294">
        <f>(Z27*Z31*Z28)/((1-EXP(-Z28))*Z31*Z32*Z30*Z44*(Z33/Z34)*Z35)</f>
        <v>6560.8616355286449</v>
      </c>
      <c r="AA38" s="88" t="s">
        <v>16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ht="13.5" customHeight="1" x14ac:dyDescent="0.2">
      <c r="A39" s="262" t="s">
        <v>276</v>
      </c>
      <c r="B39" s="315">
        <v>0</v>
      </c>
      <c r="C39" s="263" t="s">
        <v>298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(W27)/((W33/W34)*W30*W31*W36*(1/365))</f>
        <v>39253728.704632044</v>
      </c>
      <c r="X39" s="88" t="s">
        <v>15</v>
      </c>
      <c r="Y39" s="88" t="s">
        <v>78</v>
      </c>
      <c r="Z39" s="296">
        <f>(Z27*Z31*Z28)/((1-EXP(-Z28*Z31))*Z36*Z30*Z44*(Z33/Z34)*Z37*(Z44/Z45))</f>
        <v>2596844350.6558385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(W27*W28*W31)/((W33/W34)*(1-EXP(-W28*W31))*W32*W35*W30*W31)</f>
        <v>32804.308177643223</v>
      </c>
      <c r="X40" s="88" t="s">
        <v>16</v>
      </c>
      <c r="Y40" s="88" t="s">
        <v>74</v>
      </c>
      <c r="Z40" s="294">
        <f>Z27/((Z32*Z30*Z44*(Z33/Z34)*Z35))</f>
        <v>99.173553719008282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(W27*W28*W31)/((W33/W34)*(1-EXP(-W28*W31))*W36*W30*W31*(1/365))</f>
        <v>12984221753.27919</v>
      </c>
      <c r="X41" s="88" t="s">
        <v>16</v>
      </c>
      <c r="Y41" s="88" t="s">
        <v>78</v>
      </c>
      <c r="Z41" s="296">
        <f>Z27/(Z36*Z30*(1/Z45)*Z44*(Z33/Z34)*Z37)</f>
        <v>39253728.704632044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x14ac:dyDescent="0.2">
      <c r="A42" s="249" t="s">
        <v>265</v>
      </c>
      <c r="B42" s="315">
        <f>B38</f>
        <v>0</v>
      </c>
      <c r="C42" s="263" t="s">
        <v>298</v>
      </c>
      <c r="D42" s="203" t="s">
        <v>510</v>
      </c>
      <c r="E42" s="204" t="e">
        <f>E52</f>
        <v>#DIV/0!</v>
      </c>
      <c r="F42" s="184" t="s">
        <v>14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6.8000000000000005E-2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2.75" customHeight="1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0.75600000000000001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0</v>
      </c>
      <c r="C44" s="249" t="s">
        <v>19</v>
      </c>
      <c r="D44" s="262" t="s">
        <v>17</v>
      </c>
      <c r="E44" s="287">
        <f>B18</f>
        <v>1.0000000000000001E-5</v>
      </c>
      <c r="G44" s="262"/>
      <c r="H44" s="297">
        <v>365</v>
      </c>
      <c r="I44" s="263" t="s">
        <v>26</v>
      </c>
      <c r="J44" s="262" t="s">
        <v>159</v>
      </c>
      <c r="K44" s="292">
        <f>B80</f>
        <v>6.8000000000000005E-2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0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0.75600000000000001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x14ac:dyDescent="0.2">
      <c r="A46" s="249" t="s">
        <v>284</v>
      </c>
      <c r="B46" s="315">
        <v>0</v>
      </c>
      <c r="C46" s="249" t="s">
        <v>19</v>
      </c>
      <c r="D46" s="262" t="s">
        <v>438</v>
      </c>
      <c r="E46" s="287">
        <f>B30</f>
        <v>0</v>
      </c>
      <c r="F46" s="262" t="s">
        <v>289</v>
      </c>
      <c r="G46" s="249" t="s">
        <v>20</v>
      </c>
      <c r="H46" s="287">
        <f>H48</f>
        <v>0</v>
      </c>
      <c r="I46" s="263"/>
      <c r="J46" s="269" t="s">
        <v>107</v>
      </c>
      <c r="K46" s="292">
        <f>K34</f>
        <v>20</v>
      </c>
      <c r="L46" s="269" t="s">
        <v>69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0</v>
      </c>
      <c r="C47" s="262" t="s">
        <v>14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0</v>
      </c>
      <c r="K48" s="289">
        <v>1000</v>
      </c>
      <c r="L48" s="249" t="s">
        <v>115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249" customFormat="1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262"/>
      <c r="BZ49" s="293"/>
      <c r="CC49" s="289"/>
      <c r="CF49" s="289"/>
      <c r="CI49" s="289"/>
      <c r="CL49" s="289"/>
      <c r="CO49" s="289"/>
      <c r="CR49" s="289"/>
      <c r="CU49" s="289"/>
      <c r="CX49" s="289"/>
      <c r="DA49" s="292">
        <v>1000</v>
      </c>
      <c r="DB49" s="267" t="s">
        <v>115</v>
      </c>
      <c r="DD49" s="289"/>
      <c r="DG49" s="289"/>
      <c r="DJ49" s="289"/>
      <c r="DM49" s="289"/>
      <c r="DP49" s="289"/>
      <c r="DS49" s="289"/>
      <c r="DV49" s="289"/>
      <c r="DW49" s="264"/>
      <c r="DX49" s="264"/>
      <c r="DY49" s="328"/>
      <c r="DZ49" s="264"/>
    </row>
    <row r="50" spans="1:130" s="249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0</v>
      </c>
      <c r="F50" s="263" t="s">
        <v>19</v>
      </c>
      <c r="G50" s="249" t="s">
        <v>18</v>
      </c>
      <c r="H50" s="288">
        <f>(H53*H54*H48*((1-EXP(-H55*H56))))/(H57*H55)</f>
        <v>0</v>
      </c>
      <c r="I50" s="249" t="s">
        <v>19</v>
      </c>
      <c r="J50" s="249" t="s">
        <v>20</v>
      </c>
      <c r="K50" s="287">
        <f>K52</f>
        <v>0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263"/>
      <c r="BZ50" s="307"/>
      <c r="CC50" s="289"/>
      <c r="CF50" s="289"/>
      <c r="CI50" s="289"/>
      <c r="CL50" s="289"/>
      <c r="CO50" s="289"/>
      <c r="CR50" s="289"/>
      <c r="CT50" s="263"/>
      <c r="CU50" s="307"/>
      <c r="CX50" s="289"/>
      <c r="DA50" s="289"/>
      <c r="DD50" s="289"/>
      <c r="DG50" s="289"/>
      <c r="DJ50" s="289"/>
      <c r="DM50" s="289"/>
      <c r="DP50" s="289"/>
      <c r="DS50" s="289"/>
      <c r="DV50" s="289"/>
      <c r="DW50" s="264"/>
      <c r="DX50" s="264"/>
      <c r="DY50" s="328"/>
      <c r="DZ50" s="264"/>
    </row>
    <row r="51" spans="1:130" s="249" customFormat="1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5.4035127681958941E-3</v>
      </c>
      <c r="I51" s="249" t="s">
        <v>19</v>
      </c>
      <c r="J51" s="262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262"/>
      <c r="BZ51" s="293"/>
      <c r="CC51" s="289"/>
      <c r="CF51" s="289"/>
      <c r="CI51" s="289"/>
      <c r="CL51" s="289"/>
      <c r="CO51" s="289"/>
      <c r="CR51" s="289"/>
      <c r="CT51" s="262"/>
      <c r="CU51" s="293"/>
      <c r="CX51" s="289"/>
      <c r="CZ51" s="267"/>
      <c r="DA51" s="289"/>
      <c r="DD51" s="289"/>
      <c r="DG51" s="289"/>
      <c r="DJ51" s="289"/>
      <c r="DM51" s="289"/>
      <c r="DP51" s="289"/>
      <c r="DS51" s="289"/>
      <c r="DV51" s="289"/>
      <c r="DW51" s="264"/>
      <c r="DX51" s="264"/>
      <c r="DY51" s="328"/>
      <c r="DZ51" s="264"/>
    </row>
    <row r="52" spans="1:130" s="249" customFormat="1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 t="e">
        <f>E44/(E46*E45*E47*E48*E50*E51*(1/E49))</f>
        <v>#DIV/0!</v>
      </c>
      <c r="G52" s="249" t="s">
        <v>36</v>
      </c>
      <c r="H52" s="288">
        <f>(H53*H54*H58*H64*((1-EXP(-H59*H60))))/(H61*H59)</f>
        <v>0.82303427313698274</v>
      </c>
      <c r="I52" s="249" t="s">
        <v>19</v>
      </c>
      <c r="J52" s="263" t="s">
        <v>37</v>
      </c>
      <c r="K52" s="290">
        <f>B44</f>
        <v>0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267"/>
      <c r="DA52" s="289"/>
      <c r="DD52" s="289"/>
      <c r="DG52" s="289"/>
      <c r="DJ52" s="289"/>
      <c r="DM52" s="289"/>
      <c r="DP52" s="289"/>
      <c r="DS52" s="289"/>
      <c r="DV52" s="289"/>
      <c r="DW52" s="264"/>
      <c r="DX52" s="264"/>
      <c r="DY52" s="328"/>
      <c r="DZ52" s="264"/>
    </row>
    <row r="53" spans="1:130" s="249" customFormat="1" x14ac:dyDescent="0.2">
      <c r="A53" s="262" t="s">
        <v>320</v>
      </c>
      <c r="B53" s="283">
        <v>55</v>
      </c>
      <c r="C53" s="263" t="s">
        <v>54</v>
      </c>
      <c r="E53" s="289"/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262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267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249" customFormat="1" x14ac:dyDescent="0.2">
      <c r="A54" s="262" t="s">
        <v>321</v>
      </c>
      <c r="B54" s="283">
        <v>55</v>
      </c>
      <c r="C54" s="263" t="s">
        <v>54</v>
      </c>
      <c r="E54" s="289"/>
      <c r="G54" s="262" t="s">
        <v>46</v>
      </c>
      <c r="H54" s="287">
        <f>B86</f>
        <v>0.25</v>
      </c>
      <c r="I54" s="249" t="s">
        <v>47</v>
      </c>
      <c r="K54" s="289"/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262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267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249" customFormat="1" x14ac:dyDescent="0.2">
      <c r="A55" s="262" t="s">
        <v>322</v>
      </c>
      <c r="B55" s="283">
        <v>5</v>
      </c>
      <c r="C55" s="262" t="s">
        <v>30</v>
      </c>
      <c r="E55" s="289"/>
      <c r="G55" s="267" t="s">
        <v>55</v>
      </c>
      <c r="H55" s="303">
        <f>H62+H63</f>
        <v>0.18144061256544503</v>
      </c>
      <c r="K55" s="289"/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267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267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249" customFormat="1" x14ac:dyDescent="0.2">
      <c r="A56" s="262" t="s">
        <v>323</v>
      </c>
      <c r="B56" s="283">
        <v>5</v>
      </c>
      <c r="C56" s="262" t="s">
        <v>30</v>
      </c>
      <c r="E56" s="289"/>
      <c r="G56" s="267" t="s">
        <v>60</v>
      </c>
      <c r="H56" s="289">
        <f>B87</f>
        <v>10950</v>
      </c>
      <c r="I56" s="249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267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267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249" customFormat="1" x14ac:dyDescent="0.2">
      <c r="A57" s="262" t="s">
        <v>337</v>
      </c>
      <c r="B57" s="283">
        <v>55</v>
      </c>
      <c r="C57" s="249" t="s">
        <v>54</v>
      </c>
      <c r="E57" s="289"/>
      <c r="G57" s="267" t="s">
        <v>65</v>
      </c>
      <c r="H57" s="289">
        <f>B88</f>
        <v>240</v>
      </c>
      <c r="I57" s="249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267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267"/>
      <c r="DA57" s="293"/>
      <c r="DB57" s="262"/>
      <c r="DD57" s="289"/>
      <c r="DG57" s="289"/>
      <c r="DJ57" s="289"/>
      <c r="DM57" s="289"/>
      <c r="DP57" s="289"/>
      <c r="DS57" s="289"/>
      <c r="DV57" s="289"/>
      <c r="DY57" s="289"/>
    </row>
    <row r="58" spans="1:130" s="249" customFormat="1" x14ac:dyDescent="0.2">
      <c r="A58" s="249" t="s">
        <v>357</v>
      </c>
      <c r="B58" s="283">
        <v>55</v>
      </c>
      <c r="C58" s="249" t="s">
        <v>54</v>
      </c>
      <c r="E58" s="289"/>
      <c r="G58" s="267" t="s">
        <v>76</v>
      </c>
      <c r="H58" s="289">
        <f>B89</f>
        <v>0.42</v>
      </c>
      <c r="I58" s="249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267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267"/>
      <c r="DA58" s="293"/>
      <c r="DB58" s="262"/>
      <c r="DD58" s="289"/>
      <c r="DG58" s="289"/>
      <c r="DJ58" s="289"/>
      <c r="DM58" s="289"/>
      <c r="DP58" s="289"/>
      <c r="DS58" s="289"/>
      <c r="DV58" s="289"/>
      <c r="DY58" s="289"/>
    </row>
    <row r="59" spans="1:130" s="249" customFormat="1" x14ac:dyDescent="0.2">
      <c r="A59" s="249" t="s">
        <v>336</v>
      </c>
      <c r="B59" s="283">
        <v>55</v>
      </c>
      <c r="C59" s="249" t="s">
        <v>54</v>
      </c>
      <c r="E59" s="289"/>
      <c r="G59" s="267" t="s">
        <v>81</v>
      </c>
      <c r="H59" s="299">
        <f>H63+(0.693/H65)</f>
        <v>0.23091361256544501</v>
      </c>
      <c r="I59" s="262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267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267"/>
      <c r="DA59" s="293"/>
      <c r="DB59" s="262"/>
      <c r="DD59" s="289"/>
      <c r="DG59" s="289"/>
      <c r="DJ59" s="289"/>
      <c r="DM59" s="289"/>
      <c r="DP59" s="289"/>
      <c r="DS59" s="289"/>
      <c r="DV59" s="289"/>
      <c r="DY59" s="289"/>
    </row>
    <row r="60" spans="1:130" s="249" customFormat="1" x14ac:dyDescent="0.2">
      <c r="A60" s="262" t="s">
        <v>332</v>
      </c>
      <c r="B60" s="283">
        <v>55</v>
      </c>
      <c r="C60" s="267" t="s">
        <v>254</v>
      </c>
      <c r="E60" s="289"/>
      <c r="G60" s="267" t="s">
        <v>85</v>
      </c>
      <c r="H60" s="293">
        <f>B90</f>
        <v>60</v>
      </c>
      <c r="I60" s="262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267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267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249" customFormat="1" x14ac:dyDescent="0.2">
      <c r="A61" s="262" t="s">
        <v>333</v>
      </c>
      <c r="B61" s="283">
        <v>55</v>
      </c>
      <c r="C61" s="267" t="s">
        <v>254</v>
      </c>
      <c r="E61" s="289"/>
      <c r="G61" s="267" t="s">
        <v>87</v>
      </c>
      <c r="H61" s="293">
        <f>B91</f>
        <v>2</v>
      </c>
      <c r="I61" s="262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267"/>
      <c r="BW61" s="293"/>
      <c r="BX61" s="262"/>
      <c r="BZ61" s="289"/>
      <c r="CC61" s="289"/>
      <c r="CF61" s="289"/>
      <c r="CI61" s="289"/>
      <c r="CL61" s="289"/>
      <c r="CO61" s="289"/>
      <c r="CR61" s="289"/>
      <c r="CU61" s="289"/>
      <c r="CX61" s="289"/>
      <c r="CZ61" s="267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249" customFormat="1" x14ac:dyDescent="0.2">
      <c r="A62" s="262" t="s">
        <v>334</v>
      </c>
      <c r="B62" s="283">
        <v>55</v>
      </c>
      <c r="C62" s="267" t="s">
        <v>254</v>
      </c>
      <c r="E62" s="289"/>
      <c r="G62" s="267" t="s">
        <v>89</v>
      </c>
      <c r="H62" s="289">
        <f>B92</f>
        <v>2.6999999999999999E-5</v>
      </c>
      <c r="I62" s="249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267"/>
      <c r="BW62" s="293"/>
      <c r="BX62" s="262"/>
      <c r="BZ62" s="289"/>
      <c r="CC62" s="289"/>
      <c r="CF62" s="289"/>
      <c r="CI62" s="289"/>
      <c r="CL62" s="289"/>
      <c r="CO62" s="289"/>
      <c r="CR62" s="289"/>
      <c r="CU62" s="289"/>
      <c r="CX62" s="289"/>
      <c r="CZ62" s="267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249" customFormat="1" x14ac:dyDescent="0.2">
      <c r="A63" s="262" t="s">
        <v>335</v>
      </c>
      <c r="B63" s="283">
        <v>55</v>
      </c>
      <c r="C63" s="267" t="s">
        <v>254</v>
      </c>
      <c r="E63" s="289"/>
      <c r="G63" s="267" t="s">
        <v>90</v>
      </c>
      <c r="H63" s="288">
        <f>0.693/H67</f>
        <v>0.18141361256544503</v>
      </c>
      <c r="I63" s="249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267"/>
      <c r="BW63" s="293"/>
      <c r="BX63" s="262"/>
      <c r="BZ63" s="289"/>
      <c r="CC63" s="289"/>
      <c r="CF63" s="289"/>
      <c r="CI63" s="289"/>
      <c r="CL63" s="289"/>
      <c r="CO63" s="289"/>
      <c r="CR63" s="289"/>
      <c r="CU63" s="289"/>
      <c r="CX63" s="289"/>
      <c r="CZ63" s="267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249" customFormat="1" x14ac:dyDescent="0.2">
      <c r="A64" s="262" t="s">
        <v>343</v>
      </c>
      <c r="B64" s="283">
        <v>5</v>
      </c>
      <c r="C64" s="264" t="s">
        <v>69</v>
      </c>
      <c r="E64" s="289"/>
      <c r="G64" s="267" t="s">
        <v>91</v>
      </c>
      <c r="H64" s="289">
        <f>B93</f>
        <v>1</v>
      </c>
      <c r="I64" s="249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275"/>
      <c r="AJ64" s="353"/>
      <c r="AK64" s="275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267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249" customFormat="1" x14ac:dyDescent="0.2">
      <c r="A65" s="262" t="s">
        <v>342</v>
      </c>
      <c r="B65" s="283">
        <v>15</v>
      </c>
      <c r="C65" s="264" t="s">
        <v>69</v>
      </c>
      <c r="E65" s="289"/>
      <c r="G65" s="267" t="s">
        <v>92</v>
      </c>
      <c r="H65" s="289">
        <f>B94</f>
        <v>14</v>
      </c>
      <c r="I65" s="249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275"/>
      <c r="AJ65" s="353"/>
      <c r="AK65" s="275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267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249" customFormat="1" x14ac:dyDescent="0.2">
      <c r="A66" s="262" t="s">
        <v>341</v>
      </c>
      <c r="B66" s="283">
        <v>20</v>
      </c>
      <c r="C66" s="264" t="s">
        <v>69</v>
      </c>
      <c r="E66" s="289"/>
      <c r="G66" s="249" t="s">
        <v>38</v>
      </c>
      <c r="H66" s="287">
        <f>B45</f>
        <v>0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275"/>
      <c r="AJ66" s="353"/>
      <c r="AK66" s="275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267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262"/>
      <c r="DA66" s="287"/>
    </row>
    <row r="67" spans="1:105" s="249" customFormat="1" x14ac:dyDescent="0.2">
      <c r="A67" s="262" t="s">
        <v>340</v>
      </c>
      <c r="B67" s="283">
        <v>55</v>
      </c>
      <c r="C67" s="264" t="s">
        <v>26</v>
      </c>
      <c r="E67" s="289"/>
      <c r="G67" s="262" t="s">
        <v>273</v>
      </c>
      <c r="H67" s="287">
        <f>B35</f>
        <v>3.82</v>
      </c>
      <c r="I67" s="249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275"/>
      <c r="AJ67" s="353"/>
      <c r="AK67" s="275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267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249" customFormat="1" x14ac:dyDescent="0.2">
      <c r="A68" s="262" t="s">
        <v>339</v>
      </c>
      <c r="B68" s="283">
        <v>55</v>
      </c>
      <c r="C68" s="264" t="s">
        <v>26</v>
      </c>
      <c r="E68" s="289"/>
      <c r="H68" s="289"/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275"/>
      <c r="AJ68" s="353"/>
      <c r="AK68" s="275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249" customFormat="1" x14ac:dyDescent="0.2">
      <c r="A69" s="262" t="s">
        <v>338</v>
      </c>
      <c r="B69" s="283">
        <v>55</v>
      </c>
      <c r="C69" s="264" t="s">
        <v>26</v>
      </c>
      <c r="E69" s="289"/>
      <c r="H69" s="289"/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275"/>
      <c r="AJ69" s="353"/>
      <c r="AK69" s="275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262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249" customFormat="1" x14ac:dyDescent="0.2">
      <c r="A70" s="249" t="s">
        <v>344</v>
      </c>
      <c r="B70" s="284">
        <v>2</v>
      </c>
      <c r="C70" s="92" t="s">
        <v>104</v>
      </c>
      <c r="E70" s="289"/>
      <c r="H70" s="289"/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275"/>
      <c r="AJ70" s="353"/>
      <c r="AK70" s="275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262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249" customFormat="1" x14ac:dyDescent="0.2">
      <c r="A71" s="249" t="s">
        <v>345</v>
      </c>
      <c r="B71" s="284">
        <v>2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275"/>
      <c r="AJ71" s="353"/>
      <c r="AK71" s="275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262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249" customFormat="1" x14ac:dyDescent="0.2">
      <c r="A72" s="262" t="s">
        <v>347</v>
      </c>
      <c r="B72" s="283">
        <v>15</v>
      </c>
      <c r="C72" s="264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275"/>
      <c r="AI72" s="275"/>
      <c r="AJ72" s="353"/>
      <c r="AK72" s="275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249" customFormat="1" x14ac:dyDescent="0.2">
      <c r="A73" s="262" t="s">
        <v>348</v>
      </c>
      <c r="B73" s="283">
        <v>15</v>
      </c>
      <c r="C73" s="264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275"/>
      <c r="AI73" s="275"/>
      <c r="AJ73" s="353"/>
      <c r="AK73" s="275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249" customFormat="1" x14ac:dyDescent="0.2">
      <c r="A74" s="262" t="s">
        <v>346</v>
      </c>
      <c r="B74" s="283">
        <v>15</v>
      </c>
      <c r="C74" s="264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275"/>
      <c r="AI74" s="275"/>
      <c r="AJ74" s="353"/>
      <c r="AK74" s="275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249" customFormat="1" x14ac:dyDescent="0.2">
      <c r="A75" s="249" t="s">
        <v>349</v>
      </c>
      <c r="B75" s="284">
        <v>2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275"/>
      <c r="AI75" s="275"/>
      <c r="AJ75" s="353"/>
      <c r="AK75" s="275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249" customFormat="1" x14ac:dyDescent="0.2">
      <c r="A76" s="249" t="s">
        <v>350</v>
      </c>
      <c r="B76" s="284">
        <v>2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275"/>
      <c r="AI76" s="275"/>
      <c r="AJ76" s="353"/>
      <c r="AK76" s="275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249" customFormat="1" x14ac:dyDescent="0.2">
      <c r="A77" s="262" t="s">
        <v>103</v>
      </c>
      <c r="B77" s="283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275"/>
      <c r="AI77" s="275"/>
      <c r="AJ77" s="353"/>
      <c r="AK77" s="275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249" customFormat="1" x14ac:dyDescent="0.2">
      <c r="A78" s="249" t="s">
        <v>353</v>
      </c>
      <c r="B78" s="284">
        <v>1</v>
      </c>
      <c r="C78" s="247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249" customFormat="1" x14ac:dyDescent="0.2">
      <c r="A79" s="249" t="s">
        <v>158</v>
      </c>
      <c r="B79" s="284">
        <v>0.4</v>
      </c>
      <c r="C79" s="247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275"/>
      <c r="AI79" s="275"/>
      <c r="AJ79" s="353"/>
      <c r="AK79" s="275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249" customFormat="1" x14ac:dyDescent="0.2">
      <c r="A80" s="249" t="s">
        <v>159</v>
      </c>
      <c r="B80" s="282">
        <f>B3</f>
        <v>6.8000000000000005E-2</v>
      </c>
      <c r="C80" s="247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275"/>
      <c r="AI80" s="275"/>
      <c r="AJ80" s="353"/>
      <c r="AK80" s="275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249" customFormat="1" x14ac:dyDescent="0.2">
      <c r="A81" s="249" t="s">
        <v>62</v>
      </c>
      <c r="B81" s="282">
        <f>B4</f>
        <v>0.75600000000000001</v>
      </c>
      <c r="C81" s="247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249" customFormat="1" x14ac:dyDescent="0.2">
      <c r="A82" s="262" t="s">
        <v>124</v>
      </c>
      <c r="B82" s="284">
        <v>1</v>
      </c>
      <c r="C82" s="263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249" customFormat="1" x14ac:dyDescent="0.2">
      <c r="A83" s="249" t="s">
        <v>83</v>
      </c>
      <c r="B83" s="284">
        <v>0.5</v>
      </c>
      <c r="C83" s="249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249" customFormat="1" x14ac:dyDescent="0.2">
      <c r="A84" s="249" t="s">
        <v>355</v>
      </c>
      <c r="B84" s="284">
        <v>0.25</v>
      </c>
      <c r="C84" s="24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249" customFormat="1" x14ac:dyDescent="0.2">
      <c r="A85" s="262" t="s">
        <v>41</v>
      </c>
      <c r="B85" s="284">
        <v>3.62</v>
      </c>
      <c r="C85" s="249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249" customFormat="1" x14ac:dyDescent="0.2">
      <c r="A86" s="262" t="s">
        <v>46</v>
      </c>
      <c r="B86" s="284">
        <v>0.25</v>
      </c>
      <c r="C86" s="249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249" customFormat="1" x14ac:dyDescent="0.2">
      <c r="A87" s="267" t="s">
        <v>60</v>
      </c>
      <c r="B87" s="284">
        <v>10950</v>
      </c>
      <c r="C87" s="249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249" customFormat="1" x14ac:dyDescent="0.2">
      <c r="A88" s="267" t="s">
        <v>65</v>
      </c>
      <c r="B88" s="284">
        <v>240</v>
      </c>
      <c r="C88" s="249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249" customFormat="1" x14ac:dyDescent="0.2">
      <c r="A89" s="267" t="s">
        <v>76</v>
      </c>
      <c r="B89" s="284">
        <v>0.42</v>
      </c>
      <c r="C89" s="24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249" customFormat="1" x14ac:dyDescent="0.2">
      <c r="A90" s="267" t="s">
        <v>85</v>
      </c>
      <c r="B90" s="284">
        <v>60</v>
      </c>
      <c r="C90" s="262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249" customFormat="1" x14ac:dyDescent="0.2">
      <c r="A91" s="267" t="s">
        <v>87</v>
      </c>
      <c r="B91" s="284">
        <v>2</v>
      </c>
      <c r="C91" s="262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249" customFormat="1" x14ac:dyDescent="0.2">
      <c r="A92" s="267" t="s">
        <v>89</v>
      </c>
      <c r="B92" s="284">
        <v>2.6999999999999999E-5</v>
      </c>
      <c r="C92" s="249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249" customFormat="1" x14ac:dyDescent="0.2">
      <c r="A93" s="267" t="s">
        <v>91</v>
      </c>
      <c r="B93" s="284">
        <v>1</v>
      </c>
      <c r="C93" s="249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249" customFormat="1" x14ac:dyDescent="0.2">
      <c r="A94" s="267" t="s">
        <v>92</v>
      </c>
      <c r="B94" s="284">
        <v>14</v>
      </c>
      <c r="C94" s="249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249" customFormat="1" x14ac:dyDescent="0.2">
      <c r="A95" s="262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249" customFormat="1" x14ac:dyDescent="0.2">
      <c r="A96" s="262" t="s">
        <v>351</v>
      </c>
      <c r="B96" s="283">
        <v>1.752</v>
      </c>
      <c r="C96" s="264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249" customFormat="1" x14ac:dyDescent="0.2">
      <c r="A97" s="262" t="s">
        <v>352</v>
      </c>
      <c r="B97" s="283">
        <v>16.416</v>
      </c>
      <c r="C97" s="264" t="s">
        <v>224</v>
      </c>
    </row>
    <row r="98" spans="1:3" s="249" customFormat="1" ht="15" x14ac:dyDescent="0.2">
      <c r="A98" s="517" t="s">
        <v>5</v>
      </c>
      <c r="B98" s="517"/>
      <c r="C98" s="517"/>
    </row>
    <row r="99" spans="1:3" s="249" customFormat="1" x14ac:dyDescent="0.2">
      <c r="A99" s="262" t="s">
        <v>358</v>
      </c>
      <c r="B99" s="284">
        <v>55</v>
      </c>
      <c r="C99" s="267" t="s">
        <v>359</v>
      </c>
    </row>
    <row r="100" spans="1:3" s="249" customFormat="1" x14ac:dyDescent="0.2">
      <c r="A100" s="262" t="s">
        <v>360</v>
      </c>
      <c r="B100" s="284">
        <v>55</v>
      </c>
      <c r="C100" s="267" t="s">
        <v>359</v>
      </c>
    </row>
    <row r="101" spans="1:3" s="249" customFormat="1" x14ac:dyDescent="0.2">
      <c r="A101" s="262" t="s">
        <v>305</v>
      </c>
      <c r="B101" s="283">
        <v>5</v>
      </c>
      <c r="C101" s="262" t="s">
        <v>361</v>
      </c>
    </row>
    <row r="102" spans="1:3" s="249" customFormat="1" x14ac:dyDescent="0.2">
      <c r="A102" s="262" t="s">
        <v>306</v>
      </c>
      <c r="B102" s="283">
        <v>5</v>
      </c>
      <c r="C102" s="262" t="s">
        <v>361</v>
      </c>
    </row>
    <row r="103" spans="1:3" s="249" customFormat="1" x14ac:dyDescent="0.2">
      <c r="A103" s="262" t="s">
        <v>362</v>
      </c>
      <c r="B103" s="284">
        <v>55</v>
      </c>
      <c r="C103" s="263" t="s">
        <v>54</v>
      </c>
    </row>
    <row r="104" spans="1:3" s="249" customFormat="1" x14ac:dyDescent="0.2">
      <c r="A104" s="262" t="s">
        <v>363</v>
      </c>
      <c r="B104" s="284">
        <v>55</v>
      </c>
      <c r="C104" s="263" t="s">
        <v>54</v>
      </c>
    </row>
    <row r="105" spans="1:3" s="249" customFormat="1" x14ac:dyDescent="0.2">
      <c r="A105" s="249" t="s">
        <v>187</v>
      </c>
      <c r="B105" s="284">
        <v>1</v>
      </c>
      <c r="C105" s="249" t="s">
        <v>254</v>
      </c>
    </row>
    <row r="106" spans="1:3" s="249" customFormat="1" x14ac:dyDescent="0.2">
      <c r="A106" s="249" t="s">
        <v>188</v>
      </c>
      <c r="B106" s="284">
        <v>1</v>
      </c>
      <c r="C106" s="249" t="s">
        <v>254</v>
      </c>
    </row>
    <row r="107" spans="1:3" s="249" customFormat="1" x14ac:dyDescent="0.2">
      <c r="A107" s="94" t="s">
        <v>373</v>
      </c>
      <c r="B107" s="283">
        <v>6</v>
      </c>
      <c r="C107" s="270" t="s">
        <v>69</v>
      </c>
    </row>
    <row r="108" spans="1:3" s="249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249" customFormat="1" x14ac:dyDescent="0.2">
      <c r="A109" s="94" t="s">
        <v>59</v>
      </c>
      <c r="B109" s="283">
        <v>26</v>
      </c>
      <c r="C109" s="270" t="s">
        <v>69</v>
      </c>
    </row>
    <row r="110" spans="1:3" s="249" customFormat="1" x14ac:dyDescent="0.2">
      <c r="A110" s="94" t="s">
        <v>371</v>
      </c>
      <c r="B110" s="107">
        <v>75</v>
      </c>
      <c r="C110" s="94" t="s">
        <v>26</v>
      </c>
    </row>
    <row r="111" spans="1:3" s="249" customFormat="1" x14ac:dyDescent="0.2">
      <c r="A111" s="94" t="s">
        <v>370</v>
      </c>
      <c r="B111" s="283">
        <v>75</v>
      </c>
      <c r="C111" s="94" t="s">
        <v>26</v>
      </c>
    </row>
    <row r="112" spans="1:3" s="249" customFormat="1" x14ac:dyDescent="0.2">
      <c r="A112" s="94" t="s">
        <v>157</v>
      </c>
      <c r="B112" s="283">
        <v>75</v>
      </c>
      <c r="C112" s="94" t="s">
        <v>26</v>
      </c>
    </row>
    <row r="113" spans="1:3" s="249" customFormat="1" x14ac:dyDescent="0.2">
      <c r="A113" s="94" t="s">
        <v>105</v>
      </c>
      <c r="B113" s="283">
        <v>1</v>
      </c>
      <c r="C113" s="92" t="s">
        <v>224</v>
      </c>
    </row>
    <row r="114" spans="1:3" s="249" customFormat="1" x14ac:dyDescent="0.2">
      <c r="A114" s="92" t="s">
        <v>368</v>
      </c>
      <c r="B114" s="284">
        <v>1</v>
      </c>
      <c r="C114" s="92" t="s">
        <v>224</v>
      </c>
    </row>
    <row r="115" spans="1:3" s="249" customFormat="1" x14ac:dyDescent="0.2">
      <c r="A115" s="92" t="s">
        <v>369</v>
      </c>
      <c r="B115" s="284">
        <v>1</v>
      </c>
      <c r="C115" s="92" t="s">
        <v>224</v>
      </c>
    </row>
    <row r="116" spans="1:3" s="249" customFormat="1" x14ac:dyDescent="0.2">
      <c r="A116" s="249" t="s">
        <v>366</v>
      </c>
      <c r="B116" s="284">
        <v>1</v>
      </c>
      <c r="C116" s="249" t="s">
        <v>104</v>
      </c>
    </row>
    <row r="117" spans="1:3" s="249" customFormat="1" x14ac:dyDescent="0.2">
      <c r="A117" s="249" t="s">
        <v>367</v>
      </c>
      <c r="B117" s="284">
        <v>1</v>
      </c>
      <c r="C117" s="249" t="s">
        <v>104</v>
      </c>
    </row>
    <row r="118" spans="1:3" s="249" customFormat="1" x14ac:dyDescent="0.2">
      <c r="A118" s="94" t="s">
        <v>364</v>
      </c>
      <c r="B118" s="284">
        <v>1</v>
      </c>
      <c r="C118" s="92" t="s">
        <v>98</v>
      </c>
    </row>
    <row r="119" spans="1:3" s="249" customFormat="1" x14ac:dyDescent="0.2">
      <c r="A119" s="94" t="s">
        <v>365</v>
      </c>
      <c r="B119" s="284">
        <v>1</v>
      </c>
      <c r="C119" s="92" t="s">
        <v>98</v>
      </c>
    </row>
    <row r="120" spans="1:3" s="249" customFormat="1" x14ac:dyDescent="0.2">
      <c r="A120" s="263" t="s">
        <v>192</v>
      </c>
      <c r="B120" s="283">
        <v>1</v>
      </c>
      <c r="C120" s="249" t="s">
        <v>283</v>
      </c>
    </row>
    <row r="121" spans="1:3" s="249" customFormat="1" x14ac:dyDescent="0.2">
      <c r="A121" s="263" t="s">
        <v>189</v>
      </c>
      <c r="B121" s="283">
        <v>1</v>
      </c>
      <c r="C121" s="249" t="s">
        <v>283</v>
      </c>
    </row>
    <row r="122" spans="1:3" s="249" customFormat="1" x14ac:dyDescent="0.2">
      <c r="A122" s="263" t="s">
        <v>190</v>
      </c>
      <c r="B122" s="283">
        <v>1</v>
      </c>
      <c r="C122" s="249" t="s">
        <v>47</v>
      </c>
    </row>
    <row r="123" spans="1:3" s="249" customFormat="1" x14ac:dyDescent="0.2">
      <c r="A123" s="263" t="s">
        <v>191</v>
      </c>
      <c r="B123" s="283">
        <v>1</v>
      </c>
      <c r="C123" s="249" t="s">
        <v>47</v>
      </c>
    </row>
    <row r="124" spans="1:3" s="249" customFormat="1" x14ac:dyDescent="0.2">
      <c r="A124" s="263" t="s">
        <v>199</v>
      </c>
      <c r="B124" s="283">
        <v>1</v>
      </c>
      <c r="C124" s="249" t="s">
        <v>30</v>
      </c>
    </row>
    <row r="125" spans="1:3" s="249" customFormat="1" x14ac:dyDescent="0.2">
      <c r="A125" s="249" t="s">
        <v>193</v>
      </c>
      <c r="B125" s="283">
        <v>1</v>
      </c>
      <c r="C125" s="249" t="s">
        <v>283</v>
      </c>
    </row>
    <row r="126" spans="1:3" s="249" customFormat="1" x14ac:dyDescent="0.2">
      <c r="A126" s="249" t="s">
        <v>196</v>
      </c>
      <c r="B126" s="283">
        <v>1</v>
      </c>
      <c r="C126" s="249" t="s">
        <v>283</v>
      </c>
    </row>
    <row r="127" spans="1:3" s="249" customFormat="1" x14ac:dyDescent="0.2">
      <c r="A127" s="268" t="s">
        <v>197</v>
      </c>
      <c r="B127" s="283">
        <v>1</v>
      </c>
      <c r="C127" s="249" t="s">
        <v>47</v>
      </c>
    </row>
    <row r="128" spans="1:3" s="249" customFormat="1" x14ac:dyDescent="0.2">
      <c r="A128" s="262" t="s">
        <v>198</v>
      </c>
      <c r="B128" s="283">
        <v>1</v>
      </c>
      <c r="C128" s="249" t="s">
        <v>47</v>
      </c>
    </row>
    <row r="129" spans="1:3" s="249" customFormat="1" x14ac:dyDescent="0.2">
      <c r="A129" s="263" t="s">
        <v>200</v>
      </c>
      <c r="B129" s="283">
        <v>1</v>
      </c>
      <c r="C129" s="249" t="s">
        <v>30</v>
      </c>
    </row>
    <row r="130" spans="1:3" s="249" customFormat="1" x14ac:dyDescent="0.2">
      <c r="A130" s="262" t="s">
        <v>255</v>
      </c>
      <c r="B130" s="284">
        <v>1</v>
      </c>
    </row>
    <row r="131" spans="1:3" s="249" customFormat="1" x14ac:dyDescent="0.2">
      <c r="A131" s="249" t="s">
        <v>83</v>
      </c>
      <c r="B131" s="284">
        <v>0.5</v>
      </c>
    </row>
    <row r="132" spans="1:3" s="249" customFormat="1" ht="15" x14ac:dyDescent="0.2">
      <c r="A132" s="518" t="s">
        <v>180</v>
      </c>
      <c r="B132" s="518"/>
      <c r="C132" s="518"/>
    </row>
    <row r="133" spans="1:3" s="249" customFormat="1" x14ac:dyDescent="0.2">
      <c r="A133" s="262" t="s">
        <v>374</v>
      </c>
      <c r="B133" s="283">
        <v>55</v>
      </c>
      <c r="C133" s="263" t="s">
        <v>54</v>
      </c>
    </row>
    <row r="134" spans="1:3" s="249" customFormat="1" x14ac:dyDescent="0.2">
      <c r="A134" s="262" t="s">
        <v>375</v>
      </c>
      <c r="B134" s="283">
        <v>55</v>
      </c>
      <c r="C134" s="263" t="s">
        <v>54</v>
      </c>
    </row>
    <row r="135" spans="1:3" s="249" customFormat="1" x14ac:dyDescent="0.2">
      <c r="A135" s="262" t="s">
        <v>376</v>
      </c>
      <c r="B135" s="283">
        <v>55</v>
      </c>
      <c r="C135" s="267" t="s">
        <v>359</v>
      </c>
    </row>
    <row r="136" spans="1:3" s="249" customFormat="1" x14ac:dyDescent="0.2">
      <c r="A136" s="262" t="s">
        <v>377</v>
      </c>
      <c r="B136" s="283">
        <v>55</v>
      </c>
      <c r="C136" s="267" t="s">
        <v>359</v>
      </c>
    </row>
    <row r="137" spans="1:3" s="249" customFormat="1" x14ac:dyDescent="0.2">
      <c r="A137" s="267" t="s">
        <v>378</v>
      </c>
      <c r="B137" s="284">
        <v>5</v>
      </c>
      <c r="C137" s="262" t="s">
        <v>30</v>
      </c>
    </row>
    <row r="138" spans="1:3" s="249" customFormat="1" x14ac:dyDescent="0.2">
      <c r="A138" s="267" t="s">
        <v>379</v>
      </c>
      <c r="B138" s="284">
        <v>5</v>
      </c>
      <c r="C138" s="262" t="s">
        <v>30</v>
      </c>
    </row>
    <row r="139" spans="1:3" s="249" customFormat="1" x14ac:dyDescent="0.2">
      <c r="A139" s="262" t="s">
        <v>380</v>
      </c>
      <c r="B139" s="283">
        <v>55</v>
      </c>
      <c r="C139" s="267" t="s">
        <v>254</v>
      </c>
    </row>
    <row r="140" spans="1:3" s="249" customFormat="1" x14ac:dyDescent="0.2">
      <c r="A140" s="262" t="s">
        <v>381</v>
      </c>
      <c r="B140" s="283">
        <v>55</v>
      </c>
      <c r="C140" s="267" t="s">
        <v>254</v>
      </c>
    </row>
    <row r="141" spans="1:3" s="249" customFormat="1" x14ac:dyDescent="0.2">
      <c r="A141" s="262" t="s">
        <v>382</v>
      </c>
      <c r="B141" s="283">
        <v>55</v>
      </c>
      <c r="C141" s="267" t="s">
        <v>254</v>
      </c>
    </row>
    <row r="142" spans="1:3" s="249" customFormat="1" x14ac:dyDescent="0.2">
      <c r="A142" s="262" t="s">
        <v>383</v>
      </c>
      <c r="B142" s="283">
        <v>55</v>
      </c>
      <c r="C142" s="267" t="s">
        <v>254</v>
      </c>
    </row>
    <row r="143" spans="1:3" s="249" customFormat="1" x14ac:dyDescent="0.2">
      <c r="A143" s="262" t="s">
        <v>479</v>
      </c>
      <c r="B143" s="283">
        <v>55</v>
      </c>
      <c r="C143" s="267" t="s">
        <v>254</v>
      </c>
    </row>
    <row r="144" spans="1:3" s="249" customFormat="1" x14ac:dyDescent="0.2">
      <c r="A144" s="262" t="s">
        <v>480</v>
      </c>
      <c r="B144" s="283">
        <v>55</v>
      </c>
      <c r="C144" s="267" t="s">
        <v>254</v>
      </c>
    </row>
    <row r="145" spans="1:3" s="249" customFormat="1" x14ac:dyDescent="0.2">
      <c r="A145" s="262" t="s">
        <v>481</v>
      </c>
      <c r="B145" s="283">
        <v>55</v>
      </c>
      <c r="C145" s="267" t="s">
        <v>254</v>
      </c>
    </row>
    <row r="146" spans="1:3" s="249" customFormat="1" x14ac:dyDescent="0.2">
      <c r="A146" s="262" t="s">
        <v>482</v>
      </c>
      <c r="B146" s="283">
        <v>55</v>
      </c>
      <c r="C146" s="267" t="s">
        <v>254</v>
      </c>
    </row>
    <row r="147" spans="1:3" s="249" customFormat="1" x14ac:dyDescent="0.2">
      <c r="A147" s="262" t="s">
        <v>326</v>
      </c>
      <c r="B147" s="283">
        <v>55</v>
      </c>
      <c r="C147" s="262" t="s">
        <v>254</v>
      </c>
    </row>
    <row r="148" spans="1:3" s="249" customFormat="1" x14ac:dyDescent="0.2">
      <c r="A148" s="262" t="s">
        <v>327</v>
      </c>
      <c r="B148" s="283">
        <v>55</v>
      </c>
      <c r="C148" s="262" t="s">
        <v>254</v>
      </c>
    </row>
    <row r="149" spans="1:3" s="249" customFormat="1" x14ac:dyDescent="0.2">
      <c r="A149" s="262" t="s">
        <v>483</v>
      </c>
      <c r="B149" s="283">
        <v>55</v>
      </c>
      <c r="C149" s="267" t="s">
        <v>254</v>
      </c>
    </row>
    <row r="150" spans="1:3" s="249" customFormat="1" x14ac:dyDescent="0.2">
      <c r="A150" s="262" t="s">
        <v>484</v>
      </c>
      <c r="B150" s="283">
        <v>55</v>
      </c>
      <c r="C150" s="267" t="s">
        <v>254</v>
      </c>
    </row>
    <row r="151" spans="1:3" s="249" customFormat="1" x14ac:dyDescent="0.2">
      <c r="A151" s="262" t="s">
        <v>324</v>
      </c>
      <c r="B151" s="283">
        <v>55</v>
      </c>
      <c r="C151" s="262" t="s">
        <v>254</v>
      </c>
    </row>
    <row r="152" spans="1:3" s="249" customFormat="1" x14ac:dyDescent="0.2">
      <c r="A152" s="262" t="s">
        <v>325</v>
      </c>
      <c r="B152" s="283">
        <v>55</v>
      </c>
      <c r="C152" s="262" t="s">
        <v>254</v>
      </c>
    </row>
    <row r="153" spans="1:3" s="249" customFormat="1" x14ac:dyDescent="0.2">
      <c r="A153" s="262" t="s">
        <v>328</v>
      </c>
      <c r="B153" s="283">
        <v>55</v>
      </c>
      <c r="C153" s="262" t="s">
        <v>254</v>
      </c>
    </row>
    <row r="154" spans="1:3" s="249" customFormat="1" x14ac:dyDescent="0.2">
      <c r="A154" s="262" t="s">
        <v>329</v>
      </c>
      <c r="B154" s="283">
        <v>55</v>
      </c>
      <c r="C154" s="262" t="s">
        <v>254</v>
      </c>
    </row>
    <row r="155" spans="1:3" s="249" customFormat="1" x14ac:dyDescent="0.2">
      <c r="A155" s="262" t="s">
        <v>384</v>
      </c>
      <c r="B155" s="284">
        <v>10</v>
      </c>
      <c r="C155" s="93" t="s">
        <v>69</v>
      </c>
    </row>
    <row r="156" spans="1:3" s="249" customFormat="1" x14ac:dyDescent="0.2">
      <c r="A156" s="262" t="s">
        <v>385</v>
      </c>
      <c r="B156" s="284">
        <v>20</v>
      </c>
      <c r="C156" s="93" t="s">
        <v>69</v>
      </c>
    </row>
    <row r="157" spans="1:3" s="249" customFormat="1" x14ac:dyDescent="0.2">
      <c r="A157" s="262" t="s">
        <v>386</v>
      </c>
      <c r="B157" s="284">
        <v>30</v>
      </c>
      <c r="C157" s="93" t="s">
        <v>69</v>
      </c>
    </row>
    <row r="158" spans="1:3" s="249" customFormat="1" x14ac:dyDescent="0.2">
      <c r="A158" s="262" t="s">
        <v>387</v>
      </c>
      <c r="B158" s="284">
        <v>55</v>
      </c>
      <c r="C158" s="262" t="s">
        <v>26</v>
      </c>
    </row>
    <row r="159" spans="1:3" s="249" customFormat="1" x14ac:dyDescent="0.2">
      <c r="A159" s="262" t="s">
        <v>388</v>
      </c>
      <c r="B159" s="284">
        <v>55</v>
      </c>
      <c r="C159" s="262" t="s">
        <v>26</v>
      </c>
    </row>
    <row r="160" spans="1:3" s="249" customFormat="1" x14ac:dyDescent="0.2">
      <c r="A160" s="262" t="s">
        <v>389</v>
      </c>
      <c r="B160" s="283">
        <v>15</v>
      </c>
      <c r="C160" s="263" t="s">
        <v>224</v>
      </c>
    </row>
    <row r="161" spans="1:3" s="249" customFormat="1" x14ac:dyDescent="0.2">
      <c r="A161" s="262" t="s">
        <v>390</v>
      </c>
      <c r="B161" s="283">
        <v>15</v>
      </c>
      <c r="C161" s="263" t="s">
        <v>224</v>
      </c>
    </row>
    <row r="162" spans="1:3" s="249" customFormat="1" x14ac:dyDescent="0.2">
      <c r="A162" s="262" t="s">
        <v>396</v>
      </c>
      <c r="B162" s="283">
        <v>15</v>
      </c>
      <c r="C162" s="263" t="s">
        <v>224</v>
      </c>
    </row>
    <row r="163" spans="1:3" s="249" customFormat="1" x14ac:dyDescent="0.2">
      <c r="A163" s="249" t="s">
        <v>393</v>
      </c>
      <c r="B163" s="283">
        <v>2</v>
      </c>
      <c r="C163" s="267" t="s">
        <v>395</v>
      </c>
    </row>
    <row r="164" spans="1:3" s="249" customFormat="1" x14ac:dyDescent="0.2">
      <c r="A164" s="249" t="s">
        <v>394</v>
      </c>
      <c r="B164" s="283">
        <v>2</v>
      </c>
      <c r="C164" s="267" t="s">
        <v>395</v>
      </c>
    </row>
    <row r="165" spans="1:3" s="249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249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249" customFormat="1" x14ac:dyDescent="0.2">
      <c r="A167" s="262" t="s">
        <v>397</v>
      </c>
      <c r="B167" s="283">
        <v>2</v>
      </c>
      <c r="C167" s="267" t="s">
        <v>166</v>
      </c>
    </row>
    <row r="168" spans="1:3" s="249" customFormat="1" x14ac:dyDescent="0.2">
      <c r="A168" s="262" t="s">
        <v>398</v>
      </c>
      <c r="B168" s="283">
        <v>2</v>
      </c>
      <c r="C168" s="267" t="s">
        <v>166</v>
      </c>
    </row>
    <row r="169" spans="1:3" s="249" customFormat="1" x14ac:dyDescent="0.2">
      <c r="A169" s="262" t="s">
        <v>103</v>
      </c>
      <c r="B169" s="283">
        <v>0.4</v>
      </c>
      <c r="C169" s="247"/>
    </row>
    <row r="170" spans="1:3" s="249" customFormat="1" x14ac:dyDescent="0.2">
      <c r="A170" s="262" t="s">
        <v>158</v>
      </c>
      <c r="B170" s="283">
        <v>0.4</v>
      </c>
      <c r="C170" s="247"/>
    </row>
    <row r="171" spans="1:3" s="249" customFormat="1" x14ac:dyDescent="0.2">
      <c r="A171" s="262" t="s">
        <v>159</v>
      </c>
      <c r="B171" s="282">
        <f>B3</f>
        <v>6.8000000000000005E-2</v>
      </c>
      <c r="C171" s="247"/>
    </row>
    <row r="172" spans="1:3" s="249" customFormat="1" x14ac:dyDescent="0.2">
      <c r="A172" s="262" t="s">
        <v>62</v>
      </c>
      <c r="B172" s="282">
        <f>B4</f>
        <v>0.75600000000000001</v>
      </c>
      <c r="C172" s="247"/>
    </row>
    <row r="173" spans="1:3" s="249" customFormat="1" x14ac:dyDescent="0.2">
      <c r="A173" s="262" t="s">
        <v>255</v>
      </c>
      <c r="B173" s="284">
        <v>2</v>
      </c>
      <c r="C173" s="247"/>
    </row>
    <row r="174" spans="1:3" s="249" customFormat="1" x14ac:dyDescent="0.2">
      <c r="A174" s="267" t="s">
        <v>399</v>
      </c>
      <c r="B174" s="283">
        <v>2</v>
      </c>
      <c r="C174" s="247"/>
    </row>
    <row r="175" spans="1:3" s="249" customFormat="1" x14ac:dyDescent="0.2">
      <c r="A175" s="267" t="s">
        <v>400</v>
      </c>
      <c r="B175" s="283">
        <v>2</v>
      </c>
      <c r="C175" s="247"/>
    </row>
    <row r="176" spans="1:3" s="249" customFormat="1" x14ac:dyDescent="0.2">
      <c r="A176" s="267" t="s">
        <v>401</v>
      </c>
      <c r="B176" s="283">
        <v>2</v>
      </c>
      <c r="C176" s="247"/>
    </row>
    <row r="177" spans="1:3" s="249" customFormat="1" x14ac:dyDescent="0.2">
      <c r="A177" s="267" t="s">
        <v>402</v>
      </c>
      <c r="B177" s="283">
        <v>2</v>
      </c>
      <c r="C177" s="247"/>
    </row>
    <row r="178" spans="1:3" s="249" customFormat="1" x14ac:dyDescent="0.2">
      <c r="A178" s="267" t="s">
        <v>403</v>
      </c>
      <c r="B178" s="283">
        <v>2</v>
      </c>
      <c r="C178" s="247"/>
    </row>
    <row r="179" spans="1:3" s="249" customFormat="1" x14ac:dyDescent="0.2">
      <c r="A179" s="267" t="s">
        <v>404</v>
      </c>
      <c r="B179" s="283">
        <v>2</v>
      </c>
      <c r="C179" s="247"/>
    </row>
    <row r="180" spans="1:3" s="249" customFormat="1" x14ac:dyDescent="0.2">
      <c r="A180" s="267" t="s">
        <v>405</v>
      </c>
      <c r="B180" s="284">
        <v>2</v>
      </c>
      <c r="C180" s="247"/>
    </row>
    <row r="181" spans="1:3" s="249" customFormat="1" x14ac:dyDescent="0.2">
      <c r="A181" s="262" t="s">
        <v>41</v>
      </c>
      <c r="B181" s="284">
        <v>3.62</v>
      </c>
      <c r="C181" s="249" t="s">
        <v>42</v>
      </c>
    </row>
    <row r="182" spans="1:3" s="249" customFormat="1" x14ac:dyDescent="0.2">
      <c r="A182" s="262" t="s">
        <v>46</v>
      </c>
      <c r="B182" s="284">
        <v>0.25</v>
      </c>
      <c r="C182" s="249" t="s">
        <v>47</v>
      </c>
    </row>
    <row r="183" spans="1:3" s="249" customFormat="1" x14ac:dyDescent="0.2">
      <c r="A183" s="267" t="s">
        <v>60</v>
      </c>
      <c r="B183" s="284">
        <v>10950</v>
      </c>
      <c r="C183" s="249" t="s">
        <v>61</v>
      </c>
    </row>
    <row r="184" spans="1:3" s="249" customFormat="1" x14ac:dyDescent="0.2">
      <c r="A184" s="267" t="s">
        <v>65</v>
      </c>
      <c r="B184" s="284">
        <v>240</v>
      </c>
      <c r="C184" s="249" t="s">
        <v>66</v>
      </c>
    </row>
    <row r="185" spans="1:3" s="249" customFormat="1" x14ac:dyDescent="0.2">
      <c r="A185" s="267" t="s">
        <v>76</v>
      </c>
      <c r="B185" s="284">
        <v>0.42</v>
      </c>
      <c r="C185" s="249" t="s">
        <v>47</v>
      </c>
    </row>
    <row r="186" spans="1:3" s="249" customFormat="1" x14ac:dyDescent="0.2">
      <c r="A186" s="267" t="s">
        <v>85</v>
      </c>
      <c r="B186" s="284">
        <v>60</v>
      </c>
      <c r="C186" s="262" t="s">
        <v>61</v>
      </c>
    </row>
    <row r="187" spans="1:3" s="249" customFormat="1" x14ac:dyDescent="0.2">
      <c r="A187" s="267" t="s">
        <v>87</v>
      </c>
      <c r="B187" s="284">
        <v>2</v>
      </c>
      <c r="C187" s="262" t="s">
        <v>66</v>
      </c>
    </row>
    <row r="188" spans="1:3" s="249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249" customFormat="1" x14ac:dyDescent="0.2">
      <c r="A189" s="267" t="s">
        <v>91</v>
      </c>
      <c r="B189" s="284">
        <v>1</v>
      </c>
      <c r="C189" s="249" t="s">
        <v>47</v>
      </c>
    </row>
    <row r="190" spans="1:3" s="249" customFormat="1" x14ac:dyDescent="0.2">
      <c r="A190" s="267" t="s">
        <v>92</v>
      </c>
      <c r="B190" s="284">
        <v>14</v>
      </c>
      <c r="C190" s="249" t="s">
        <v>93</v>
      </c>
    </row>
    <row r="191" spans="1:3" s="249" customFormat="1" x14ac:dyDescent="0.2">
      <c r="A191" s="262" t="s">
        <v>29</v>
      </c>
      <c r="B191" s="284">
        <v>92</v>
      </c>
      <c r="C191" s="262" t="s">
        <v>30</v>
      </c>
    </row>
    <row r="192" spans="1:3" s="249" customFormat="1" x14ac:dyDescent="0.2">
      <c r="A192" s="249" t="s">
        <v>287</v>
      </c>
      <c r="B192" s="283">
        <v>1.03</v>
      </c>
      <c r="C192" s="249" t="s">
        <v>288</v>
      </c>
    </row>
    <row r="193" spans="1:3" s="249" customFormat="1" x14ac:dyDescent="0.2">
      <c r="A193" s="262" t="s">
        <v>406</v>
      </c>
      <c r="B193" s="284">
        <v>20.3</v>
      </c>
      <c r="C193" s="249" t="s">
        <v>283</v>
      </c>
    </row>
    <row r="194" spans="1:3" s="249" customFormat="1" x14ac:dyDescent="0.2">
      <c r="A194" s="262" t="s">
        <v>407</v>
      </c>
      <c r="B194" s="284">
        <v>0.4</v>
      </c>
      <c r="C194" s="249" t="s">
        <v>283</v>
      </c>
    </row>
    <row r="195" spans="1:3" s="249" customFormat="1" x14ac:dyDescent="0.2">
      <c r="A195" s="262" t="s">
        <v>408</v>
      </c>
      <c r="B195" s="284">
        <v>1</v>
      </c>
      <c r="C195" s="247"/>
    </row>
    <row r="196" spans="1:3" s="249" customFormat="1" x14ac:dyDescent="0.2">
      <c r="A196" s="262" t="s">
        <v>409</v>
      </c>
      <c r="B196" s="284">
        <v>1</v>
      </c>
      <c r="C196" s="247"/>
    </row>
    <row r="197" spans="1:3" s="249" customFormat="1" x14ac:dyDescent="0.2">
      <c r="A197" s="262" t="s">
        <v>31</v>
      </c>
      <c r="B197" s="284">
        <v>53</v>
      </c>
      <c r="C197" s="262" t="s">
        <v>30</v>
      </c>
    </row>
    <row r="198" spans="1:3" s="249" customFormat="1" x14ac:dyDescent="0.2">
      <c r="A198" s="262" t="s">
        <v>410</v>
      </c>
      <c r="B198" s="284">
        <v>11.77</v>
      </c>
      <c r="C198" s="249" t="s">
        <v>283</v>
      </c>
    </row>
    <row r="199" spans="1:3" s="249" customFormat="1" x14ac:dyDescent="0.2">
      <c r="A199" s="262" t="s">
        <v>411</v>
      </c>
      <c r="B199" s="284">
        <v>0.5</v>
      </c>
      <c r="C199" s="249" t="s">
        <v>283</v>
      </c>
    </row>
    <row r="200" spans="1:3" s="249" customFormat="1" x14ac:dyDescent="0.2">
      <c r="A200" s="262" t="s">
        <v>412</v>
      </c>
      <c r="B200" s="284">
        <v>1</v>
      </c>
      <c r="C200" s="247"/>
    </row>
    <row r="201" spans="1:3" s="249" customFormat="1" x14ac:dyDescent="0.2">
      <c r="A201" s="262" t="s">
        <v>413</v>
      </c>
      <c r="B201" s="284">
        <v>1</v>
      </c>
      <c r="C201" s="247"/>
    </row>
    <row r="202" spans="1:3" s="249" customFormat="1" x14ac:dyDescent="0.2">
      <c r="A202" s="262" t="s">
        <v>173</v>
      </c>
      <c r="B202" s="283">
        <v>0.4</v>
      </c>
      <c r="C202" s="262" t="s">
        <v>30</v>
      </c>
    </row>
    <row r="203" spans="1:3" s="249" customFormat="1" x14ac:dyDescent="0.2">
      <c r="A203" s="262" t="s">
        <v>177</v>
      </c>
      <c r="B203" s="284">
        <v>0.2</v>
      </c>
      <c r="C203" s="249" t="s">
        <v>283</v>
      </c>
    </row>
    <row r="204" spans="1:3" s="249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249" customFormat="1" x14ac:dyDescent="0.2">
      <c r="A205" s="262" t="s">
        <v>178</v>
      </c>
      <c r="B205" s="283">
        <v>1</v>
      </c>
      <c r="C205" s="247"/>
    </row>
    <row r="206" spans="1:3" s="249" customFormat="1" x14ac:dyDescent="0.2">
      <c r="A206" s="262" t="s">
        <v>179</v>
      </c>
      <c r="B206" s="283">
        <v>1</v>
      </c>
      <c r="C206" s="247"/>
    </row>
    <row r="207" spans="1:3" s="249" customFormat="1" x14ac:dyDescent="0.2">
      <c r="A207" s="262" t="s">
        <v>414</v>
      </c>
      <c r="B207" s="283">
        <v>0.4</v>
      </c>
      <c r="C207" s="262" t="s">
        <v>30</v>
      </c>
    </row>
    <row r="208" spans="1:3" s="249" customFormat="1" x14ac:dyDescent="0.2">
      <c r="A208" s="262" t="s">
        <v>415</v>
      </c>
      <c r="B208" s="284">
        <v>0.2</v>
      </c>
      <c r="C208" s="249" t="s">
        <v>283</v>
      </c>
    </row>
    <row r="209" spans="1:3" s="249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249" customFormat="1" x14ac:dyDescent="0.2">
      <c r="A210" s="262" t="s">
        <v>417</v>
      </c>
      <c r="B210" s="284">
        <v>1</v>
      </c>
      <c r="C210" s="247"/>
    </row>
    <row r="211" spans="1:3" s="249" customFormat="1" x14ac:dyDescent="0.2">
      <c r="A211" s="262" t="s">
        <v>418</v>
      </c>
      <c r="B211" s="284">
        <v>1</v>
      </c>
      <c r="C211" s="247"/>
    </row>
    <row r="212" spans="1:3" s="249" customFormat="1" x14ac:dyDescent="0.2">
      <c r="A212" s="262" t="s">
        <v>174</v>
      </c>
      <c r="B212" s="284">
        <v>11.4</v>
      </c>
      <c r="C212" s="262" t="s">
        <v>30</v>
      </c>
    </row>
    <row r="213" spans="1:3" s="249" customFormat="1" x14ac:dyDescent="0.2">
      <c r="A213" s="262" t="s">
        <v>419</v>
      </c>
      <c r="B213" s="284">
        <v>4.7</v>
      </c>
      <c r="C213" s="249" t="s">
        <v>283</v>
      </c>
    </row>
    <row r="214" spans="1:3" s="249" customFormat="1" x14ac:dyDescent="0.2">
      <c r="A214" s="262" t="s">
        <v>420</v>
      </c>
      <c r="B214" s="284">
        <v>0.37</v>
      </c>
      <c r="C214" s="249" t="s">
        <v>283</v>
      </c>
    </row>
    <row r="215" spans="1:3" s="249" customFormat="1" x14ac:dyDescent="0.2">
      <c r="A215" s="262" t="s">
        <v>421</v>
      </c>
      <c r="B215" s="284">
        <v>1</v>
      </c>
      <c r="C215" s="247"/>
    </row>
    <row r="216" spans="1:3" s="249" customFormat="1" x14ac:dyDescent="0.2">
      <c r="A216" s="262" t="s">
        <v>422</v>
      </c>
      <c r="B216" s="284">
        <v>1</v>
      </c>
      <c r="C216" s="247"/>
    </row>
    <row r="217" spans="1:3" s="249" customFormat="1" x14ac:dyDescent="0.2">
      <c r="A217" s="249" t="s">
        <v>83</v>
      </c>
      <c r="B217" s="284">
        <v>0.5</v>
      </c>
    </row>
    <row r="218" spans="1:3" s="249" customFormat="1" x14ac:dyDescent="0.2">
      <c r="A218" s="558" t="s">
        <v>423</v>
      </c>
      <c r="B218" s="558"/>
      <c r="C218" s="558"/>
    </row>
    <row r="219" spans="1:3" s="249" customFormat="1" x14ac:dyDescent="0.2">
      <c r="A219" s="249" t="s">
        <v>424</v>
      </c>
      <c r="B219" s="283">
        <v>55</v>
      </c>
      <c r="C219" s="263" t="s">
        <v>359</v>
      </c>
    </row>
    <row r="220" spans="1:3" s="249" customFormat="1" x14ac:dyDescent="0.2">
      <c r="A220" s="262" t="s">
        <v>425</v>
      </c>
      <c r="B220" s="283">
        <v>55</v>
      </c>
      <c r="C220" s="249" t="s">
        <v>26</v>
      </c>
    </row>
    <row r="221" spans="1:3" s="249" customFormat="1" x14ac:dyDescent="0.2">
      <c r="A221" s="262" t="s">
        <v>75</v>
      </c>
      <c r="B221" s="284">
        <v>5</v>
      </c>
      <c r="C221" s="249" t="s">
        <v>69</v>
      </c>
    </row>
    <row r="222" spans="1:3" s="249" customFormat="1" x14ac:dyDescent="0.2">
      <c r="A222" s="262" t="s">
        <v>426</v>
      </c>
      <c r="B222" s="283">
        <v>55</v>
      </c>
      <c r="C222" s="263" t="s">
        <v>54</v>
      </c>
    </row>
    <row r="223" spans="1:3" s="249" customFormat="1" x14ac:dyDescent="0.2">
      <c r="A223" s="249" t="s">
        <v>353</v>
      </c>
      <c r="B223" s="284">
        <v>1</v>
      </c>
      <c r="C223" s="247"/>
    </row>
    <row r="224" spans="1:3" s="249" customFormat="1" x14ac:dyDescent="0.2">
      <c r="A224" s="262" t="s">
        <v>56</v>
      </c>
      <c r="B224" s="284">
        <v>1</v>
      </c>
      <c r="C224" s="247"/>
    </row>
    <row r="225" spans="1:3" s="249" customFormat="1" x14ac:dyDescent="0.2">
      <c r="A225" s="262" t="s">
        <v>52</v>
      </c>
      <c r="B225" s="284">
        <v>0.4</v>
      </c>
      <c r="C225" s="247"/>
    </row>
    <row r="226" spans="1:3" s="249" customFormat="1" x14ac:dyDescent="0.2">
      <c r="A226" s="262" t="s">
        <v>62</v>
      </c>
      <c r="B226" s="284">
        <v>1</v>
      </c>
      <c r="C226" s="247"/>
    </row>
    <row r="227" spans="1:3" s="249" customFormat="1" x14ac:dyDescent="0.2">
      <c r="A227" s="262" t="s">
        <v>467</v>
      </c>
      <c r="B227" s="283">
        <v>2</v>
      </c>
      <c r="C227" s="249" t="s">
        <v>224</v>
      </c>
    </row>
    <row r="228" spans="1:3" s="249" customFormat="1" x14ac:dyDescent="0.2">
      <c r="A228" s="262" t="s">
        <v>468</v>
      </c>
      <c r="B228" s="283">
        <v>3</v>
      </c>
      <c r="C228" s="249" t="s">
        <v>224</v>
      </c>
    </row>
    <row r="229" spans="1:3" s="249" customFormat="1" x14ac:dyDescent="0.2">
      <c r="A229" s="262" t="s">
        <v>103</v>
      </c>
      <c r="B229" s="283">
        <v>0.4</v>
      </c>
      <c r="C229" s="247"/>
    </row>
    <row r="230" spans="1:3" s="249" customFormat="1" x14ac:dyDescent="0.2">
      <c r="A230" s="558" t="s">
        <v>427</v>
      </c>
      <c r="B230" s="558"/>
      <c r="C230" s="558"/>
    </row>
    <row r="231" spans="1:3" s="249" customFormat="1" x14ac:dyDescent="0.2">
      <c r="A231" s="249" t="s">
        <v>428</v>
      </c>
      <c r="B231" s="283">
        <v>55</v>
      </c>
      <c r="C231" s="263" t="s">
        <v>359</v>
      </c>
    </row>
    <row r="232" spans="1:3" s="249" customFormat="1" x14ac:dyDescent="0.2">
      <c r="A232" s="262" t="s">
        <v>40</v>
      </c>
      <c r="B232" s="283">
        <v>55</v>
      </c>
      <c r="C232" s="249" t="s">
        <v>26</v>
      </c>
    </row>
    <row r="233" spans="1:3" s="249" customFormat="1" x14ac:dyDescent="0.2">
      <c r="A233" s="262" t="s">
        <v>429</v>
      </c>
      <c r="B233" s="284">
        <v>5</v>
      </c>
      <c r="C233" s="249" t="s">
        <v>69</v>
      </c>
    </row>
    <row r="234" spans="1:3" s="249" customFormat="1" x14ac:dyDescent="0.2">
      <c r="A234" s="262" t="s">
        <v>79</v>
      </c>
      <c r="B234" s="283">
        <v>55</v>
      </c>
      <c r="C234" s="263" t="s">
        <v>54</v>
      </c>
    </row>
    <row r="235" spans="1:3" s="249" customFormat="1" x14ac:dyDescent="0.2">
      <c r="A235" s="249" t="s">
        <v>353</v>
      </c>
      <c r="B235" s="284">
        <v>1</v>
      </c>
      <c r="C235" s="247"/>
    </row>
    <row r="236" spans="1:3" s="249" customFormat="1" x14ac:dyDescent="0.2">
      <c r="A236" s="262" t="s">
        <v>56</v>
      </c>
      <c r="B236" s="284">
        <v>1</v>
      </c>
      <c r="C236" s="247"/>
    </row>
    <row r="237" spans="1:3" s="249" customFormat="1" x14ac:dyDescent="0.2">
      <c r="A237" s="262" t="s">
        <v>52</v>
      </c>
      <c r="B237" s="284">
        <v>0.4</v>
      </c>
      <c r="C237" s="247"/>
    </row>
    <row r="238" spans="1:3" s="249" customFormat="1" x14ac:dyDescent="0.2">
      <c r="A238" s="262" t="s">
        <v>62</v>
      </c>
      <c r="B238" s="284">
        <v>1</v>
      </c>
      <c r="C238" s="247"/>
    </row>
    <row r="239" spans="1:3" s="249" customFormat="1" x14ac:dyDescent="0.2">
      <c r="A239" s="262" t="s">
        <v>469</v>
      </c>
      <c r="B239" s="283">
        <v>0</v>
      </c>
      <c r="C239" s="249" t="s">
        <v>224</v>
      </c>
    </row>
    <row r="240" spans="1:3" s="249" customFormat="1" x14ac:dyDescent="0.2">
      <c r="A240" s="262" t="s">
        <v>470</v>
      </c>
      <c r="B240" s="283">
        <v>5</v>
      </c>
      <c r="C240" s="249" t="s">
        <v>224</v>
      </c>
    </row>
    <row r="241" spans="1:3" s="249" customFormat="1" x14ac:dyDescent="0.2">
      <c r="A241" s="262" t="s">
        <v>103</v>
      </c>
      <c r="B241" s="283">
        <v>0.4</v>
      </c>
      <c r="C241" s="247"/>
    </row>
    <row r="242" spans="1:3" s="249" customFormat="1" x14ac:dyDescent="0.2">
      <c r="A242" s="558" t="s">
        <v>430</v>
      </c>
      <c r="B242" s="558"/>
      <c r="C242" s="558"/>
    </row>
    <row r="243" spans="1:3" s="249" customFormat="1" x14ac:dyDescent="0.2">
      <c r="A243" s="249" t="s">
        <v>58</v>
      </c>
      <c r="B243" s="283">
        <v>55</v>
      </c>
      <c r="C243" s="263" t="s">
        <v>359</v>
      </c>
    </row>
    <row r="244" spans="1:3" s="249" customFormat="1" x14ac:dyDescent="0.2">
      <c r="A244" s="262" t="s">
        <v>431</v>
      </c>
      <c r="B244" s="283">
        <v>55</v>
      </c>
      <c r="C244" s="249" t="s">
        <v>26</v>
      </c>
    </row>
    <row r="245" spans="1:3" s="249" customFormat="1" x14ac:dyDescent="0.2">
      <c r="A245" s="262" t="s">
        <v>432</v>
      </c>
      <c r="B245" s="284">
        <v>5</v>
      </c>
      <c r="C245" s="249" t="s">
        <v>69</v>
      </c>
    </row>
    <row r="246" spans="1:3" s="249" customFormat="1" x14ac:dyDescent="0.2">
      <c r="A246" s="262" t="s">
        <v>433</v>
      </c>
      <c r="B246" s="283">
        <v>55</v>
      </c>
      <c r="C246" s="263" t="s">
        <v>54</v>
      </c>
    </row>
    <row r="247" spans="1:3" s="249" customFormat="1" x14ac:dyDescent="0.2">
      <c r="A247" s="249" t="s">
        <v>353</v>
      </c>
      <c r="B247" s="284">
        <v>1</v>
      </c>
      <c r="C247" s="247"/>
    </row>
    <row r="248" spans="1:3" s="249" customFormat="1" x14ac:dyDescent="0.2">
      <c r="A248" s="262" t="s">
        <v>56</v>
      </c>
      <c r="B248" s="284">
        <v>1</v>
      </c>
      <c r="C248" s="247"/>
    </row>
    <row r="249" spans="1:3" s="249" customFormat="1" x14ac:dyDescent="0.2">
      <c r="A249" s="262" t="s">
        <v>52</v>
      </c>
      <c r="B249" s="284">
        <v>0.4</v>
      </c>
      <c r="C249" s="247"/>
    </row>
    <row r="250" spans="1:3" s="249" customFormat="1" x14ac:dyDescent="0.2">
      <c r="A250" s="262" t="s">
        <v>62</v>
      </c>
      <c r="B250" s="284">
        <v>1</v>
      </c>
      <c r="C250" s="247"/>
    </row>
    <row r="251" spans="1:3" s="249" customFormat="1" x14ac:dyDescent="0.2">
      <c r="A251" s="262" t="s">
        <v>466</v>
      </c>
      <c r="B251" s="283">
        <v>5</v>
      </c>
      <c r="C251" s="249" t="s">
        <v>224</v>
      </c>
    </row>
    <row r="252" spans="1:3" s="249" customFormat="1" x14ac:dyDescent="0.2">
      <c r="A252" s="262" t="s">
        <v>465</v>
      </c>
      <c r="B252" s="283">
        <v>0</v>
      </c>
      <c r="C252" s="249" t="s">
        <v>224</v>
      </c>
    </row>
    <row r="253" spans="1:3" s="249" customFormat="1" x14ac:dyDescent="0.2">
      <c r="A253" s="262" t="s">
        <v>103</v>
      </c>
      <c r="B253" s="283">
        <v>0.4</v>
      </c>
      <c r="C253" s="247"/>
    </row>
    <row r="254" spans="1:3" s="249" customFormat="1" x14ac:dyDescent="0.2">
      <c r="A254" s="558" t="s">
        <v>434</v>
      </c>
      <c r="B254" s="558"/>
      <c r="C254" s="558"/>
    </row>
    <row r="255" spans="1:3" s="249" customFormat="1" x14ac:dyDescent="0.2">
      <c r="A255" s="249" t="s">
        <v>435</v>
      </c>
      <c r="B255" s="283">
        <v>55</v>
      </c>
      <c r="C255" s="263" t="s">
        <v>359</v>
      </c>
    </row>
    <row r="256" spans="1:3" s="249" customFormat="1" x14ac:dyDescent="0.2">
      <c r="A256" s="262" t="s">
        <v>221</v>
      </c>
      <c r="B256" s="283">
        <v>55</v>
      </c>
      <c r="C256" s="249" t="s">
        <v>26</v>
      </c>
    </row>
    <row r="257" spans="1:3" s="249" customFormat="1" x14ac:dyDescent="0.2">
      <c r="A257" s="262" t="s">
        <v>186</v>
      </c>
      <c r="B257" s="284">
        <v>5</v>
      </c>
      <c r="C257" s="249" t="s">
        <v>69</v>
      </c>
    </row>
    <row r="258" spans="1:3" s="249" customFormat="1" x14ac:dyDescent="0.2">
      <c r="A258" s="262" t="s">
        <v>436</v>
      </c>
      <c r="B258" s="283">
        <v>55</v>
      </c>
      <c r="C258" s="263" t="s">
        <v>54</v>
      </c>
    </row>
    <row r="259" spans="1:3" s="249" customFormat="1" x14ac:dyDescent="0.2">
      <c r="A259" s="249" t="s">
        <v>353</v>
      </c>
      <c r="B259" s="284">
        <v>1</v>
      </c>
      <c r="C259" s="247"/>
    </row>
    <row r="260" spans="1:3" s="249" customFormat="1" x14ac:dyDescent="0.2">
      <c r="A260" s="262" t="s">
        <v>56</v>
      </c>
      <c r="B260" s="284">
        <v>1</v>
      </c>
      <c r="C260" s="247"/>
    </row>
    <row r="261" spans="1:3" s="249" customFormat="1" x14ac:dyDescent="0.2">
      <c r="A261" s="262" t="s">
        <v>52</v>
      </c>
      <c r="B261" s="284">
        <v>0.4</v>
      </c>
      <c r="C261" s="247"/>
    </row>
    <row r="262" spans="1:3" s="249" customFormat="1" x14ac:dyDescent="0.2">
      <c r="A262" s="262" t="s">
        <v>62</v>
      </c>
      <c r="B262" s="284">
        <v>1</v>
      </c>
      <c r="C262" s="247"/>
    </row>
    <row r="263" spans="1:3" s="249" customFormat="1" x14ac:dyDescent="0.2">
      <c r="A263" s="262" t="s">
        <v>471</v>
      </c>
      <c r="B263" s="283">
        <v>5</v>
      </c>
      <c r="C263" s="249" t="s">
        <v>224</v>
      </c>
    </row>
    <row r="264" spans="1:3" s="249" customFormat="1" x14ac:dyDescent="0.2">
      <c r="A264" s="262" t="s">
        <v>472</v>
      </c>
      <c r="B264" s="283">
        <v>0</v>
      </c>
      <c r="C264" s="249" t="s">
        <v>224</v>
      </c>
    </row>
    <row r="265" spans="1:3" s="249" customFormat="1" x14ac:dyDescent="0.2">
      <c r="A265" s="262" t="s">
        <v>103</v>
      </c>
      <c r="B265" s="283">
        <v>0.4</v>
      </c>
      <c r="C265" s="247"/>
    </row>
    <row r="266" spans="1:3" s="249" customFormat="1" x14ac:dyDescent="0.2">
      <c r="A266" s="262" t="s">
        <v>220</v>
      </c>
      <c r="B266" s="283">
        <v>5</v>
      </c>
      <c r="C266" s="249" t="s">
        <v>129</v>
      </c>
    </row>
    <row r="267" spans="1:3" s="249" customFormat="1" x14ac:dyDescent="0.2">
      <c r="A267" s="262" t="s">
        <v>219</v>
      </c>
      <c r="B267" s="283">
        <v>11</v>
      </c>
      <c r="C267" s="249" t="s">
        <v>130</v>
      </c>
    </row>
    <row r="268" spans="1:3" s="249" customFormat="1" x14ac:dyDescent="0.2">
      <c r="A268" s="558" t="s">
        <v>437</v>
      </c>
      <c r="B268" s="558"/>
      <c r="C268" s="558"/>
    </row>
    <row r="269" spans="1:3" s="249" customFormat="1" x14ac:dyDescent="0.2">
      <c r="A269" s="249" t="s">
        <v>435</v>
      </c>
      <c r="B269" s="283">
        <v>55</v>
      </c>
      <c r="C269" s="263" t="s">
        <v>359</v>
      </c>
    </row>
    <row r="270" spans="1:3" s="249" customFormat="1" x14ac:dyDescent="0.2">
      <c r="A270" s="262" t="s">
        <v>221</v>
      </c>
      <c r="B270" s="283">
        <v>55</v>
      </c>
      <c r="C270" s="249" t="s">
        <v>26</v>
      </c>
    </row>
    <row r="271" spans="1:3" s="249" customFormat="1" x14ac:dyDescent="0.2">
      <c r="A271" s="262" t="s">
        <v>186</v>
      </c>
      <c r="B271" s="284">
        <v>5</v>
      </c>
      <c r="C271" s="249" t="s">
        <v>69</v>
      </c>
    </row>
    <row r="272" spans="1:3" s="249" customFormat="1" x14ac:dyDescent="0.2">
      <c r="A272" s="262" t="s">
        <v>436</v>
      </c>
      <c r="B272" s="283">
        <v>55</v>
      </c>
      <c r="C272" s="263" t="s">
        <v>54</v>
      </c>
    </row>
    <row r="273" spans="1:3" s="249" customFormat="1" x14ac:dyDescent="0.2">
      <c r="A273" s="262" t="s">
        <v>56</v>
      </c>
      <c r="B273" s="284">
        <v>1</v>
      </c>
      <c r="C273" s="247"/>
    </row>
    <row r="274" spans="1:3" s="249" customFormat="1" x14ac:dyDescent="0.2">
      <c r="A274" s="262" t="s">
        <v>52</v>
      </c>
      <c r="B274" s="284">
        <v>0.4</v>
      </c>
      <c r="C274" s="247"/>
    </row>
    <row r="275" spans="1:3" s="249" customFormat="1" x14ac:dyDescent="0.2">
      <c r="A275" s="262" t="s">
        <v>62</v>
      </c>
      <c r="B275" s="284">
        <v>1</v>
      </c>
      <c r="C275" s="247"/>
    </row>
    <row r="276" spans="1:3" s="249" customFormat="1" x14ac:dyDescent="0.2">
      <c r="A276" s="262" t="s">
        <v>471</v>
      </c>
      <c r="B276" s="283">
        <v>5</v>
      </c>
      <c r="C276" s="249" t="s">
        <v>224</v>
      </c>
    </row>
    <row r="277" spans="1:3" s="249" customFormat="1" x14ac:dyDescent="0.2">
      <c r="A277" s="262" t="s">
        <v>472</v>
      </c>
      <c r="B277" s="283">
        <v>0</v>
      </c>
      <c r="C277" s="249" t="s">
        <v>224</v>
      </c>
    </row>
    <row r="278" spans="1:3" s="249" customFormat="1" x14ac:dyDescent="0.2">
      <c r="A278" s="262" t="s">
        <v>103</v>
      </c>
      <c r="B278" s="283">
        <v>0.4</v>
      </c>
      <c r="C278" s="247"/>
    </row>
    <row r="279" spans="1:3" s="249" customFormat="1" x14ac:dyDescent="0.2">
      <c r="A279" s="262" t="s">
        <v>220</v>
      </c>
      <c r="B279" s="283">
        <v>5</v>
      </c>
      <c r="C279" s="249" t="s">
        <v>129</v>
      </c>
    </row>
    <row r="280" spans="1:3" s="249" customFormat="1" x14ac:dyDescent="0.2">
      <c r="A280" s="262" t="s">
        <v>219</v>
      </c>
      <c r="B280" s="283">
        <v>11</v>
      </c>
      <c r="C280" s="249" t="s">
        <v>130</v>
      </c>
    </row>
    <row r="281" spans="1:3" s="249" customFormat="1" x14ac:dyDescent="0.2">
      <c r="A281" s="663" t="s">
        <v>576</v>
      </c>
      <c r="B281" s="663"/>
      <c r="C281" s="663"/>
    </row>
    <row r="282" spans="1:3" s="249" customFormat="1" x14ac:dyDescent="0.2">
      <c r="A282" s="263" t="s">
        <v>577</v>
      </c>
      <c r="B282" s="283">
        <v>2</v>
      </c>
    </row>
    <row r="283" spans="1:3" s="249" customFormat="1" x14ac:dyDescent="0.2">
      <c r="A283" s="249" t="s">
        <v>100</v>
      </c>
      <c r="B283" s="283">
        <v>0.6</v>
      </c>
    </row>
    <row r="284" spans="1:3" s="249" customFormat="1" x14ac:dyDescent="0.2">
      <c r="A284" s="249" t="s">
        <v>107</v>
      </c>
      <c r="B284" s="283">
        <v>20</v>
      </c>
      <c r="C284" s="249" t="s">
        <v>69</v>
      </c>
    </row>
    <row r="285" spans="1:3" s="249" customFormat="1" x14ac:dyDescent="0.2">
      <c r="A285" s="263" t="s">
        <v>39</v>
      </c>
      <c r="B285" s="283">
        <v>50</v>
      </c>
      <c r="C285" s="249" t="s">
        <v>69</v>
      </c>
    </row>
    <row r="286" spans="1:3" s="249" customFormat="1" x14ac:dyDescent="0.2">
      <c r="A286" s="263" t="s">
        <v>83</v>
      </c>
      <c r="B286" s="283">
        <v>2</v>
      </c>
      <c r="C286" s="249" t="s">
        <v>582</v>
      </c>
    </row>
    <row r="287" spans="1:3" s="249" customFormat="1" x14ac:dyDescent="0.2">
      <c r="A287" s="249" t="s">
        <v>109</v>
      </c>
      <c r="B287" s="283">
        <v>2</v>
      </c>
      <c r="C287" s="249" t="s">
        <v>110</v>
      </c>
    </row>
    <row r="288" spans="1:3" s="249" customFormat="1" x14ac:dyDescent="0.2">
      <c r="A288" s="249" t="s">
        <v>114</v>
      </c>
      <c r="B288" s="283">
        <v>0.36</v>
      </c>
      <c r="C288" s="249" t="s">
        <v>582</v>
      </c>
    </row>
    <row r="289" spans="1:3" s="249" customFormat="1" x14ac:dyDescent="0.2">
      <c r="A289" s="249" t="s">
        <v>116</v>
      </c>
      <c r="B289" s="283">
        <v>2</v>
      </c>
      <c r="C289" s="249" t="s">
        <v>113</v>
      </c>
    </row>
    <row r="290" spans="1:3" s="249" customFormat="1" x14ac:dyDescent="0.2">
      <c r="A290" s="249" t="s">
        <v>118</v>
      </c>
      <c r="B290" s="283">
        <v>2</v>
      </c>
      <c r="C290" s="249" t="s">
        <v>113</v>
      </c>
    </row>
    <row r="291" spans="1:3" s="249" customFormat="1" x14ac:dyDescent="0.2">
      <c r="A291" s="249" t="s">
        <v>119</v>
      </c>
      <c r="B291" s="283">
        <v>2</v>
      </c>
      <c r="C291" s="249" t="s">
        <v>113</v>
      </c>
    </row>
  </sheetData>
  <mergeCells count="335"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S21:AS23"/>
    <mergeCell ref="AT21:AT23"/>
    <mergeCell ref="R21:R23"/>
    <mergeCell ref="AI21:AI23"/>
    <mergeCell ref="AJ21:AJ23"/>
    <mergeCell ref="AK21:AK23"/>
    <mergeCell ref="AL21:AL23"/>
    <mergeCell ref="A268:C268"/>
    <mergeCell ref="A281:C281"/>
    <mergeCell ref="A132:C132"/>
    <mergeCell ref="A218:C218"/>
    <mergeCell ref="A230:C230"/>
    <mergeCell ref="A242:C242"/>
    <mergeCell ref="A254:C254"/>
    <mergeCell ref="BM20:BO20"/>
    <mergeCell ref="M20:O20"/>
    <mergeCell ref="P20:R20"/>
    <mergeCell ref="AI20:AK20"/>
    <mergeCell ref="AL20:AN20"/>
    <mergeCell ref="AR20:AT20"/>
    <mergeCell ref="A50:C50"/>
    <mergeCell ref="A98:C98"/>
    <mergeCell ref="M21:M23"/>
    <mergeCell ref="N21:N23"/>
    <mergeCell ref="O21:O23"/>
    <mergeCell ref="P21:P23"/>
    <mergeCell ref="Q21:Q23"/>
    <mergeCell ref="AU20:AW20"/>
    <mergeCell ref="BA20:BC20"/>
    <mergeCell ref="BD20:BF20"/>
    <mergeCell ref="BJ20:BL20"/>
    <mergeCell ref="AW21:AW23"/>
    <mergeCell ref="BA21:BA23"/>
    <mergeCell ref="BB21:BB23"/>
    <mergeCell ref="AM21:AM23"/>
    <mergeCell ref="AN21:AN23"/>
    <mergeCell ref="AR21:AR23"/>
    <mergeCell ref="CR19:CR21"/>
    <mergeCell ref="CS19:CS21"/>
    <mergeCell ref="CG19:CG21"/>
    <mergeCell ref="CK19:CK21"/>
    <mergeCell ref="CL19:CL21"/>
    <mergeCell ref="CM19:CM21"/>
    <mergeCell ref="CN19:CN21"/>
    <mergeCell ref="CB19:CB21"/>
    <mergeCell ref="CC19:CC21"/>
    <mergeCell ref="CD19:CD21"/>
    <mergeCell ref="CE19:CE21"/>
    <mergeCell ref="CF19:CF21"/>
    <mergeCell ref="CO19:CO21"/>
    <mergeCell ref="CP19:CP21"/>
    <mergeCell ref="CQ19:CQ21"/>
    <mergeCell ref="HB2:HB4"/>
    <mergeCell ref="HC2:HC4"/>
    <mergeCell ref="CB18:CD18"/>
    <mergeCell ref="CE18:CG18"/>
    <mergeCell ref="CK18:CM18"/>
    <mergeCell ref="CN18:CP18"/>
    <mergeCell ref="CQ18:CS18"/>
    <mergeCell ref="GW2:GW4"/>
    <mergeCell ref="GX2:GX4"/>
    <mergeCell ref="GY2:GY4"/>
    <mergeCell ref="GZ2:GZ4"/>
    <mergeCell ref="HA2:HA4"/>
    <mergeCell ref="GR2:GR4"/>
    <mergeCell ref="GS2:GS4"/>
    <mergeCell ref="GT2:GT4"/>
    <mergeCell ref="GU2:GU4"/>
    <mergeCell ref="GV2:GV4"/>
    <mergeCell ref="GM2:GM4"/>
    <mergeCell ref="GN2:GN4"/>
    <mergeCell ref="GO2:GO4"/>
    <mergeCell ref="GP2:GP4"/>
    <mergeCell ref="GQ2:GQ4"/>
    <mergeCell ref="GH2:GH4"/>
    <mergeCell ref="GI2:GI4"/>
    <mergeCell ref="GJ2:GJ4"/>
    <mergeCell ref="GK2:GK4"/>
    <mergeCell ref="GL2:GL4"/>
    <mergeCell ref="GC2:GC4"/>
    <mergeCell ref="GD2:GD4"/>
    <mergeCell ref="GE2:GE4"/>
    <mergeCell ref="GF2:GF4"/>
    <mergeCell ref="GG2:GG4"/>
    <mergeCell ref="FX2:FX4"/>
    <mergeCell ref="FY2:FY4"/>
    <mergeCell ref="FZ2:FZ4"/>
    <mergeCell ref="GA2:GA4"/>
    <mergeCell ref="GB2:GB4"/>
    <mergeCell ref="FS2:FS4"/>
    <mergeCell ref="FT2:FT4"/>
    <mergeCell ref="FU2:FU4"/>
    <mergeCell ref="FV2:FV4"/>
    <mergeCell ref="FW2:FW4"/>
    <mergeCell ref="FN2:FN4"/>
    <mergeCell ref="FO2:FO4"/>
    <mergeCell ref="FP2:FP4"/>
    <mergeCell ref="FQ2:FQ4"/>
    <mergeCell ref="FR2:FR4"/>
    <mergeCell ref="FI2:FI4"/>
    <mergeCell ref="FJ2:FJ4"/>
    <mergeCell ref="FK2:FK4"/>
    <mergeCell ref="FL2:FL4"/>
    <mergeCell ref="FM2:FM4"/>
    <mergeCell ref="FD2:FD4"/>
    <mergeCell ref="FE2:FE4"/>
    <mergeCell ref="FF2:FF4"/>
    <mergeCell ref="FG2:FG4"/>
    <mergeCell ref="FH2:FH4"/>
    <mergeCell ref="EY2:EY4"/>
    <mergeCell ref="EZ2:EZ4"/>
    <mergeCell ref="FA2:FA4"/>
    <mergeCell ref="FB2:FB4"/>
    <mergeCell ref="FC2:FC4"/>
    <mergeCell ref="ET2:ET4"/>
    <mergeCell ref="EU2:EU4"/>
    <mergeCell ref="EV2:EV4"/>
    <mergeCell ref="EW2:EW4"/>
    <mergeCell ref="EX2:EX4"/>
    <mergeCell ref="EO2:EO4"/>
    <mergeCell ref="EP2:EP4"/>
    <mergeCell ref="EQ2:EQ4"/>
    <mergeCell ref="ER2:ER4"/>
    <mergeCell ref="ES2:ES4"/>
    <mergeCell ref="EJ2:EJ4"/>
    <mergeCell ref="EK2:EK4"/>
    <mergeCell ref="EL2:EL4"/>
    <mergeCell ref="EM2:EM4"/>
    <mergeCell ref="EN2:EN4"/>
    <mergeCell ref="EE2:EE4"/>
    <mergeCell ref="EF2:EF4"/>
    <mergeCell ref="EG2:EG4"/>
    <mergeCell ref="EH2:EH4"/>
    <mergeCell ref="EI2:EI4"/>
    <mergeCell ref="DZ2:DZ4"/>
    <mergeCell ref="EA2:EA4"/>
    <mergeCell ref="EB2:EB4"/>
    <mergeCell ref="EC2:EC4"/>
    <mergeCell ref="ED2:ED4"/>
    <mergeCell ref="DU2:DU4"/>
    <mergeCell ref="DV2:DV4"/>
    <mergeCell ref="DW2:DW4"/>
    <mergeCell ref="DX2:DX4"/>
    <mergeCell ref="DY2:DY4"/>
    <mergeCell ref="DP2:DP4"/>
    <mergeCell ref="DQ2:DQ4"/>
    <mergeCell ref="DR2:DR4"/>
    <mergeCell ref="DS2:DS4"/>
    <mergeCell ref="DT2:DT4"/>
    <mergeCell ref="DK2:DK4"/>
    <mergeCell ref="DL2:DL4"/>
    <mergeCell ref="DM2:DM4"/>
    <mergeCell ref="DN2:DN4"/>
    <mergeCell ref="DO2:DO4"/>
    <mergeCell ref="DF2:DF4"/>
    <mergeCell ref="DG2:DG4"/>
    <mergeCell ref="DH2:DH4"/>
    <mergeCell ref="DI2:DI4"/>
    <mergeCell ref="DJ2:DJ4"/>
    <mergeCell ref="CR2:CR4"/>
    <mergeCell ref="CS2:CS4"/>
    <mergeCell ref="DC2:DC4"/>
    <mergeCell ref="DD2:DD4"/>
    <mergeCell ref="DE2:DE4"/>
    <mergeCell ref="CM2:CM4"/>
    <mergeCell ref="CN2:CN4"/>
    <mergeCell ref="CO2:CO4"/>
    <mergeCell ref="CP2:CP4"/>
    <mergeCell ref="CQ2:CQ4"/>
    <mergeCell ref="CH2:CH4"/>
    <mergeCell ref="CI2:CI4"/>
    <mergeCell ref="CJ2:CJ4"/>
    <mergeCell ref="CK2:CK4"/>
    <mergeCell ref="CL2:CL4"/>
    <mergeCell ref="CC2:CC4"/>
    <mergeCell ref="CD2:CD4"/>
    <mergeCell ref="CE2:CE4"/>
    <mergeCell ref="CF2:CF4"/>
    <mergeCell ref="CG2:CG4"/>
    <mergeCell ref="BX2:BX4"/>
    <mergeCell ref="BY2:BY4"/>
    <mergeCell ref="BZ2:BZ4"/>
    <mergeCell ref="CA2:CA4"/>
    <mergeCell ref="CB2:CB4"/>
    <mergeCell ref="BP2:BP4"/>
    <mergeCell ref="BQ2:BQ4"/>
    <mergeCell ref="BR2:BR4"/>
    <mergeCell ref="BV2:BV4"/>
    <mergeCell ref="BW2:BW4"/>
    <mergeCell ref="BK2:BK4"/>
    <mergeCell ref="BL2:BL4"/>
    <mergeCell ref="BM2:BM4"/>
    <mergeCell ref="BN2:BN4"/>
    <mergeCell ref="BO2:BO4"/>
    <mergeCell ref="BF2:BF4"/>
    <mergeCell ref="BG2:BG4"/>
    <mergeCell ref="BH2:BH4"/>
    <mergeCell ref="BI2:BI4"/>
    <mergeCell ref="BJ2:BJ4"/>
    <mergeCell ref="AN2:AN4"/>
    <mergeCell ref="AO2:AO4"/>
    <mergeCell ref="AP2:AP4"/>
    <mergeCell ref="BA2:BA4"/>
    <mergeCell ref="BB2:BB4"/>
    <mergeCell ref="BC2:BC4"/>
    <mergeCell ref="BD2:BD4"/>
    <mergeCell ref="BE2:BE4"/>
    <mergeCell ref="AV2:AV4"/>
    <mergeCell ref="AW2:AW4"/>
    <mergeCell ref="AX2:AX4"/>
    <mergeCell ref="AY2:AY4"/>
    <mergeCell ref="AZ2:AZ4"/>
    <mergeCell ref="GU1:GW1"/>
    <mergeCell ref="GX1:GZ1"/>
    <mergeCell ref="HA1:HC1"/>
    <mergeCell ref="HD1:HF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DX1:DZ1"/>
    <mergeCell ref="FN1:FP1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AK2:AK4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FE1:FG1"/>
    <mergeCell ref="FH1:FJ1"/>
    <mergeCell ref="FK1:FM1"/>
    <mergeCell ref="EM1:EO1"/>
    <mergeCell ref="EP1:ER1"/>
    <mergeCell ref="ES1:EU1"/>
    <mergeCell ref="EV1:EX1"/>
    <mergeCell ref="EY1:FA1"/>
    <mergeCell ref="R2:R4"/>
    <mergeCell ref="S2:S4"/>
    <mergeCell ref="T2:T4"/>
    <mergeCell ref="U2:U4"/>
    <mergeCell ref="AC2:AC4"/>
    <mergeCell ref="CT1:CV1"/>
    <mergeCell ref="CW1:CY1"/>
    <mergeCell ref="CZ1:DB1"/>
    <mergeCell ref="DC1:DE1"/>
    <mergeCell ref="S1:U1"/>
    <mergeCell ref="V1:X1"/>
    <mergeCell ref="Y1:AA1"/>
    <mergeCell ref="AB1:AB4"/>
    <mergeCell ref="AI1:AK1"/>
    <mergeCell ref="AD2:AD4"/>
    <mergeCell ref="AE2:AE4"/>
    <mergeCell ref="BK40:BO43"/>
    <mergeCell ref="D41:F41"/>
    <mergeCell ref="AF42:AH44"/>
    <mergeCell ref="D1:F1"/>
    <mergeCell ref="G1:I1"/>
    <mergeCell ref="J1:L1"/>
    <mergeCell ref="M1:O1"/>
    <mergeCell ref="P1:R1"/>
    <mergeCell ref="GC1:GE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DF1:DH1"/>
    <mergeCell ref="CE1:CG1"/>
    <mergeCell ref="AQ2:AQ4"/>
    <mergeCell ref="AR2:AR4"/>
    <mergeCell ref="AS2:AS4"/>
    <mergeCell ref="FB1:FD1"/>
    <mergeCell ref="A1:C1"/>
    <mergeCell ref="A14:C17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T2:AT4"/>
    <mergeCell ref="AU2:AU4"/>
    <mergeCell ref="AL2:AL4"/>
    <mergeCell ref="AM2:AM4"/>
    <mergeCell ref="O2:O4"/>
    <mergeCell ref="P2:P4"/>
    <mergeCell ref="Q2:Q4"/>
    <mergeCell ref="AF2:AF4"/>
    <mergeCell ref="AG2:AG4"/>
    <mergeCell ref="AH2:AH4"/>
    <mergeCell ref="AI2:AI4"/>
    <mergeCell ref="AJ2:AJ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3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13" style="289" bestFit="1" customWidth="1"/>
    <col min="6" max="6" width="20.140625" style="249" bestFit="1" customWidth="1"/>
    <col min="7" max="7" width="15" style="249" bestFit="1" customWidth="1"/>
    <col min="8" max="8" width="12" style="289" bestFit="1" customWidth="1"/>
    <col min="9" max="9" width="14.42578125" style="249" bestFit="1" customWidth="1"/>
    <col min="10" max="10" width="15" style="249" bestFit="1" customWidth="1"/>
    <col min="11" max="11" width="13" style="289" bestFit="1" customWidth="1"/>
    <col min="12" max="12" width="17.140625" style="249" bestFit="1" customWidth="1"/>
    <col min="13" max="13" width="11" style="249" bestFit="1" customWidth="1"/>
    <col min="14" max="14" width="13" style="289" bestFit="1" customWidth="1"/>
    <col min="15" max="15" width="21.28515625" style="249" bestFit="1" customWidth="1"/>
    <col min="16" max="16" width="12.42578125" style="249" bestFit="1" customWidth="1"/>
    <col min="17" max="17" width="13" style="289" bestFit="1" customWidth="1"/>
    <col min="18" max="18" width="18.7109375" style="249" bestFit="1" customWidth="1"/>
    <col min="19" max="19" width="13.5703125" style="249" bestFit="1" customWidth="1"/>
    <col min="20" max="20" width="13" style="289" bestFit="1" customWidth="1"/>
    <col min="21" max="21" width="18.7109375" style="249" bestFit="1" customWidth="1"/>
    <col min="22" max="22" width="10" style="249" bestFit="1" customWidth="1"/>
    <col min="23" max="23" width="13" style="289" bestFit="1" customWidth="1"/>
    <col min="24" max="24" width="17.42578125" style="249" bestFit="1" customWidth="1"/>
    <col min="25" max="25" width="10" style="249" bestFit="1" customWidth="1"/>
    <col min="26" max="26" width="13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13" style="289" bestFit="1" customWidth="1"/>
    <col min="37" max="37" width="17.42578125" style="249" bestFit="1" customWidth="1"/>
    <col min="38" max="38" width="11" style="249" bestFit="1" customWidth="1"/>
    <col min="39" max="39" width="13" style="289" bestFit="1" customWidth="1"/>
    <col min="40" max="40" width="16.42578125" style="249" bestFit="1" customWidth="1"/>
    <col min="41" max="41" width="12.7109375" style="249" bestFit="1" customWidth="1"/>
    <col min="42" max="42" width="13" style="289" bestFit="1" customWidth="1"/>
    <col min="43" max="43" width="16.42578125" style="249" bestFit="1" customWidth="1"/>
    <col min="44" max="44" width="9.5703125" style="249" bestFit="1" customWidth="1"/>
    <col min="45" max="45" width="13" style="289" bestFit="1" customWidth="1"/>
    <col min="46" max="46" width="17.42578125" style="249" bestFit="1" customWidth="1"/>
    <col min="47" max="47" width="11" style="249" bestFit="1" customWidth="1"/>
    <col min="48" max="48" width="13" style="289" bestFit="1" customWidth="1"/>
    <col min="49" max="49" width="16.42578125" style="249" bestFit="1" customWidth="1"/>
    <col min="50" max="50" width="12.7109375" style="249" bestFit="1" customWidth="1"/>
    <col min="51" max="51" width="13" style="289" bestFit="1" customWidth="1"/>
    <col min="52" max="52" width="16.42578125" style="249" bestFit="1" customWidth="1"/>
    <col min="53" max="53" width="9.5703125" style="249" bestFit="1" customWidth="1"/>
    <col min="54" max="54" width="13" style="289" bestFit="1" customWidth="1"/>
    <col min="55" max="55" width="17.42578125" style="249" bestFit="1" customWidth="1"/>
    <col min="56" max="56" width="11" style="249" bestFit="1" customWidth="1"/>
    <col min="57" max="57" width="13" style="289" bestFit="1" customWidth="1"/>
    <col min="58" max="58" width="16.42578125" style="249" bestFit="1" customWidth="1"/>
    <col min="59" max="59" width="12.7109375" style="249" bestFit="1" customWidth="1"/>
    <col min="60" max="60" width="13" style="289" bestFit="1" customWidth="1"/>
    <col min="61" max="61" width="16.42578125" style="249" bestFit="1" customWidth="1"/>
    <col min="62" max="62" width="11" style="249" bestFit="1" customWidth="1"/>
    <col min="63" max="63" width="13" style="289" bestFit="1" customWidth="1"/>
    <col min="64" max="64" width="17.42578125" style="249" bestFit="1" customWidth="1"/>
    <col min="65" max="65" width="12.42578125" style="249" bestFit="1" customWidth="1"/>
    <col min="66" max="66" width="13" style="289" bestFit="1" customWidth="1"/>
    <col min="67" max="67" width="16.42578125" style="249" bestFit="1" customWidth="1"/>
    <col min="68" max="68" width="13.5703125" style="249" bestFit="1" customWidth="1"/>
    <col min="69" max="69" width="13" style="289" bestFit="1" customWidth="1"/>
    <col min="70" max="70" width="16.42578125" style="249" bestFit="1" customWidth="1"/>
    <col min="71" max="71" width="10" style="249" bestFit="1" customWidth="1"/>
    <col min="72" max="72" width="13" style="289" bestFit="1" customWidth="1"/>
    <col min="73" max="73" width="17.42578125" style="249" bestFit="1" customWidth="1"/>
    <col min="74" max="74" width="11.5703125" style="249" bestFit="1" customWidth="1"/>
    <col min="75" max="75" width="13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13" style="289" bestFit="1" customWidth="1"/>
    <col min="82" max="82" width="17.42578125" style="249" bestFit="1" customWidth="1"/>
    <col min="83" max="83" width="12.42578125" style="249" bestFit="1" customWidth="1"/>
    <col min="84" max="84" width="13" style="289" bestFit="1" customWidth="1"/>
    <col min="85" max="85" width="16.42578125" style="249" bestFit="1" customWidth="1"/>
    <col min="86" max="86" width="13.5703125" style="249" bestFit="1" customWidth="1"/>
    <col min="87" max="87" width="13" style="289" bestFit="1" customWidth="1"/>
    <col min="88" max="88" width="16.42578125" style="249" bestFit="1" customWidth="1"/>
    <col min="89" max="89" width="8.7109375" style="249" bestFit="1" customWidth="1"/>
    <col min="90" max="90" width="13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" style="249" bestFit="1" customWidth="1"/>
    <col min="98" max="98" width="14.5703125" style="249" bestFit="1" customWidth="1"/>
    <col min="99" max="99" width="13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13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5.57031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13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" style="249" bestFit="1" customWidth="1"/>
    <col min="128" max="128" width="12" style="249" bestFit="1" customWidth="1"/>
    <col min="129" max="129" width="9.28515625" style="289" bestFit="1" customWidth="1"/>
    <col min="130" max="130" width="5.57031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" style="249" bestFit="1" customWidth="1"/>
    <col min="143" max="143" width="12" style="249" bestFit="1" customWidth="1"/>
    <col min="144" max="144" width="8.85546875" style="289" bestFit="1" customWidth="1"/>
    <col min="145" max="145" width="5.5703125" style="249" bestFit="1" customWidth="1"/>
    <col min="146" max="146" width="12" style="249" bestFit="1" customWidth="1"/>
    <col min="147" max="147" width="8.85546875" style="289" bestFit="1" customWidth="1"/>
    <col min="148" max="148" width="5.57031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" style="249" bestFit="1" customWidth="1"/>
    <col min="158" max="158" width="8.5703125" style="249" bestFit="1" customWidth="1"/>
    <col min="159" max="159" width="9.28515625" style="289" bestFit="1" customWidth="1"/>
    <col min="160" max="160" width="5.5703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5.5703125" style="249" bestFit="1" customWidth="1"/>
    <col min="173" max="173" width="4.85546875" style="249" bestFit="1" customWidth="1"/>
    <col min="174" max="174" width="9.28515625" style="289" bestFit="1" customWidth="1"/>
    <col min="175" max="175" width="5.5703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" style="249" bestFit="1" customWidth="1"/>
    <col min="188" max="188" width="12" style="249" bestFit="1" customWidth="1"/>
    <col min="189" max="189" width="9.28515625" style="289" bestFit="1" customWidth="1"/>
    <col min="190" max="190" width="5.5703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" style="249" bestFit="1" customWidth="1"/>
    <col min="203" max="203" width="12" style="249" bestFit="1" customWidth="1"/>
    <col min="204" max="204" width="9.28515625" style="289" bestFit="1" customWidth="1"/>
    <col min="205" max="205" width="5.57031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thickTop="1" thickBot="1" x14ac:dyDescent="0.25">
      <c r="A1" s="603" t="s">
        <v>0</v>
      </c>
      <c r="B1" s="604"/>
      <c r="C1" s="605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1/((1/H10)+(1/H12)+(1/H13))</f>
        <v>5.955968519838313E-2</v>
      </c>
      <c r="I2" s="625" t="s">
        <v>304</v>
      </c>
      <c r="J2" s="619" t="s">
        <v>507</v>
      </c>
      <c r="K2" s="623">
        <f>1/((1/K14)+(1/K15)+(1/K16)+(1/K17))</f>
        <v>3.4811978234761863E-2</v>
      </c>
      <c r="L2" s="621" t="s">
        <v>303</v>
      </c>
      <c r="M2" s="617" t="s">
        <v>516</v>
      </c>
      <c r="N2" s="647">
        <f>((N5*N6*N7)/((1-EXP(-N7*N6))*N10*N15*(N9/365)*N13*(((N14/24)*N12)+((N16/24)*N11))))/N17</f>
        <v>1.3068944601807213</v>
      </c>
      <c r="O2" s="615" t="s">
        <v>303</v>
      </c>
      <c r="P2" s="639" t="s">
        <v>516</v>
      </c>
      <c r="Q2" s="647">
        <f>((Q5*Q6*Q7)/((1-EXP(-Q7*Q6))*Q10*Q15*(Q9/365)*Q13*(((Q14/24)*Q12)+((Q16/24)*Q11))))/Q17</f>
        <v>0.41317897861886266</v>
      </c>
      <c r="R2" s="637" t="s">
        <v>303</v>
      </c>
      <c r="S2" s="641" t="s">
        <v>516</v>
      </c>
      <c r="T2" s="647">
        <f>((T5*T6*T7)/((1-EXP(-T7*T6))*T10*T15*(T9/365)*T13*(((T14/24)*T12)+((T16/24)*T11))))/T17</f>
        <v>0.20536912945697053</v>
      </c>
      <c r="U2" s="643" t="s">
        <v>303</v>
      </c>
      <c r="V2" s="55"/>
      <c r="W2" s="357"/>
      <c r="X2" s="56"/>
      <c r="Y2" s="57"/>
      <c r="Z2" s="357"/>
      <c r="AA2" s="58"/>
      <c r="AB2" s="650"/>
      <c r="AC2" s="660">
        <f>1/((1/AC32)+(1/AC33)+(1/AC34))</f>
        <v>6.3390349201294036</v>
      </c>
      <c r="AD2" s="657">
        <f>1/((1/AD32)+(1/AD33)+(1/AD34))</f>
        <v>11.415902121034534</v>
      </c>
      <c r="AE2" s="657">
        <f>1/((1/AE32)+(1/AE33)+(1/AE34))</f>
        <v>6.3390349201294036</v>
      </c>
      <c r="AF2" s="657">
        <f>1/((1/AF32)+(1/AF33)+(1/AF34))</f>
        <v>0.2395372474014402</v>
      </c>
      <c r="AG2" s="654">
        <f>1/((1/AG32)+(1/AG33)+(1/AG34))</f>
        <v>7.9450338805141483</v>
      </c>
      <c r="AH2" s="652" t="s">
        <v>303</v>
      </c>
      <c r="AI2" s="381" t="s">
        <v>516</v>
      </c>
      <c r="AJ2" s="387">
        <f>((AJ5*AJ6*AJ7)/((1-EXP(-AJ7*AJ6))*AJ15*(AJ9/365)*AJ10*(AJ16/24)*AJ11*AJ13))/AJ17</f>
        <v>21.381040509720886</v>
      </c>
      <c r="AK2" s="629" t="s">
        <v>303</v>
      </c>
      <c r="AL2" s="383" t="s">
        <v>516</v>
      </c>
      <c r="AM2" s="387">
        <f>((AM5*AM6*AM7)/((1-EXP(-AM7*AM6))*AM15*(AM9/365)*AM10*(AM16/24)*AM11*AM13))/AM17</f>
        <v>43.016185066246592</v>
      </c>
      <c r="AN2" s="629" t="s">
        <v>303</v>
      </c>
      <c r="AO2" s="383" t="s">
        <v>516</v>
      </c>
      <c r="AP2" s="387">
        <f>((AP5*AP6*AP7)/((1-EXP(-AP7*AP6))*AP15*(AP9/365)*AP10*(AP16/24)*AP11*AP13))/AP17</f>
        <v>21.381040509720886</v>
      </c>
      <c r="AQ2" s="635" t="s">
        <v>303</v>
      </c>
      <c r="AR2" s="381" t="s">
        <v>516</v>
      </c>
      <c r="AS2" s="387">
        <f>((AS5*AS6*AS7)/((1-EXP(-AS7*AS6))*AS15*(AS9/365)*AS10*(AS14/24)*AS12*AS13))/AS17</f>
        <v>8.5524162038883542</v>
      </c>
      <c r="AT2" s="391" t="s">
        <v>303</v>
      </c>
      <c r="AU2" s="383" t="s">
        <v>516</v>
      </c>
      <c r="AV2" s="387">
        <f>((AV5*AV6*AV7)/((1-EXP(-AV7*AV6))*AV15*(AV9/365)*AV10*(AV14/24)*AV12*AV13))/AV17</f>
        <v>17.20647402649864</v>
      </c>
      <c r="AW2" s="391" t="s">
        <v>303</v>
      </c>
      <c r="AX2" s="383" t="s">
        <v>516</v>
      </c>
      <c r="AY2" s="387">
        <f>((AY5*AY6*AY7)/((1-EXP(-AY7*AY6))*AY15*(AY9/365)*AY10*(AY14/24)*AY12*AY13))/AY17</f>
        <v>8.5524162038883542</v>
      </c>
      <c r="AZ2" s="385" t="s">
        <v>303</v>
      </c>
      <c r="BA2" s="381" t="s">
        <v>516</v>
      </c>
      <c r="BB2" s="387">
        <f>((BB5*BB6*BB7)/((1-EXP(-BB7*BB6))*BB15*(BB9/365)*BB10*((BB14+BB16)/24)*BB12*BB13))/BB17</f>
        <v>8.5524162038883542</v>
      </c>
      <c r="BC2" s="391" t="s">
        <v>303</v>
      </c>
      <c r="BD2" s="383" t="s">
        <v>516</v>
      </c>
      <c r="BE2" s="387">
        <f>((BE5*BE6*BE7)/((1-EXP(-BE7*BE6))*BE15*(BE9/365)*BE10*((BE14+BE16)/24)*BE12*BE13))/BE17</f>
        <v>17.20647402649864</v>
      </c>
      <c r="BF2" s="391" t="s">
        <v>303</v>
      </c>
      <c r="BG2" s="383" t="s">
        <v>516</v>
      </c>
      <c r="BH2" s="387">
        <f>((BH5*BH6*BH7)/((1-EXP(-BH7*BH6))*BH15*(BH9/365)*BH10*((BH14+BH16)/24)*BH12*BH13))/BH17</f>
        <v>8.5524162038883542</v>
      </c>
      <c r="BI2" s="385" t="s">
        <v>303</v>
      </c>
      <c r="BJ2" s="381" t="s">
        <v>558</v>
      </c>
      <c r="BK2" s="389">
        <f>((BK5*BK6*BK7)/((1-EXP(-BK7*BK6))*BK12*BK16*(BK9/365)*BK14*(BK15/24)*BK13))/BK17</f>
        <v>47127.761175978543</v>
      </c>
      <c r="BL2" s="391" t="s">
        <v>303</v>
      </c>
      <c r="BM2" s="383" t="s">
        <v>559</v>
      </c>
      <c r="BN2" s="389">
        <f>((BN5*BN6*BN7)/((1-EXP(-BN7*BN6))*BN12*BN16*(BN9/365)*BN14*(BN15/24)*BN13))/BN17</f>
        <v>197932.54450654695</v>
      </c>
      <c r="BO2" s="391" t="s">
        <v>303</v>
      </c>
      <c r="BP2" s="383" t="s">
        <v>560</v>
      </c>
      <c r="BQ2" s="389">
        <f>((BQ5*BQ6*BQ7)/((1-EXP(-BQ7*BQ6))*BQ12*BQ16*(BQ9/365)*BQ14*(BQ15/24)*BQ13))/BQ17</f>
        <v>57163.972167261687</v>
      </c>
      <c r="BR2" s="385" t="s">
        <v>303</v>
      </c>
      <c r="BS2" s="59"/>
      <c r="BT2" s="110"/>
      <c r="BU2" s="250"/>
      <c r="BV2" s="402" t="s">
        <v>563</v>
      </c>
      <c r="BW2" s="400">
        <f>1/((1/BW10)+(1/BW11))</f>
        <v>3.6630035564943479E-2</v>
      </c>
      <c r="BX2" s="404" t="s">
        <v>304</v>
      </c>
      <c r="BY2" s="402" t="s">
        <v>563</v>
      </c>
      <c r="BZ2" s="400">
        <f>1/((1/BZ13)+(1/BZ14)+(1/BZ15))</f>
        <v>1.8995560817046904</v>
      </c>
      <c r="CA2" s="398" t="s">
        <v>303</v>
      </c>
      <c r="CB2" s="410" t="s">
        <v>558</v>
      </c>
      <c r="CC2" s="400">
        <f>((CC5*CC6*CC7)/((1-EXP(-CC7*CC6))*CC10*CC14*(CC9/365)*CC12*(CC13/24)*CC11))/CC15</f>
        <v>33792.970728919747</v>
      </c>
      <c r="CD2" s="404" t="s">
        <v>303</v>
      </c>
      <c r="CE2" s="402" t="s">
        <v>559</v>
      </c>
      <c r="CF2" s="400">
        <f>((CF5*CF6*CF7)/((1-EXP(-CF7*CF6))*CF10*CF14*(CF9/365)*CF12*(CF13/24)*CF11))/CF15</f>
        <v>141927.57126387022</v>
      </c>
      <c r="CG2" s="404" t="s">
        <v>303</v>
      </c>
      <c r="CH2" s="402" t="s">
        <v>560</v>
      </c>
      <c r="CI2" s="400">
        <f>((CI5*CI6*CI7)/((1-EXP(-CI7*CI6))*CI10*CI14*(CI9/365)*CI12*(CI13/24)*CI11))/CI15</f>
        <v>40989.437859859194</v>
      </c>
      <c r="CJ2" s="398" t="s">
        <v>303</v>
      </c>
      <c r="CK2" s="410" t="s">
        <v>510</v>
      </c>
      <c r="CL2" s="400">
        <f>(CL5/(CL6*CL7*CL8*CL9))/CL10</f>
        <v>0.14205554371759371</v>
      </c>
      <c r="CM2" s="404" t="s">
        <v>303</v>
      </c>
      <c r="CN2" s="402" t="s">
        <v>7</v>
      </c>
      <c r="CO2" s="400">
        <f>(CL2/(CO5*((CO10*CO12*CO13*(CO6+CO7))+(CO11*CO12))))*CL13</f>
        <v>789.60720015332163</v>
      </c>
      <c r="CP2" s="412" t="s">
        <v>303</v>
      </c>
      <c r="CQ2" s="402" t="s">
        <v>6</v>
      </c>
      <c r="CR2" s="400">
        <f>CL2/(CR5*CR6*(1/CR7))</f>
        <v>23675.923952932284</v>
      </c>
      <c r="CS2" s="415" t="s">
        <v>304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((DD5)/(DD6*(DD7+DD10)*DD20))/DD23</f>
        <v>7.6310829269781745E-4</v>
      </c>
      <c r="DE2" s="672" t="s">
        <v>303</v>
      </c>
      <c r="DF2" s="670" t="s">
        <v>510</v>
      </c>
      <c r="DG2" s="668">
        <f>(DD2/((1/DG24)*(DG5+DG6+DG7)))</f>
        <v>5.9957268128198342E-2</v>
      </c>
      <c r="DH2" s="666" t="s">
        <v>304</v>
      </c>
      <c r="DI2" s="680" t="s">
        <v>510</v>
      </c>
      <c r="DJ2" s="668">
        <f>(DD2/(DJ5+DJ6))*CU11</f>
        <v>3.0059680522223071E-3</v>
      </c>
      <c r="DK2" s="666" t="s">
        <v>304</v>
      </c>
      <c r="DL2" s="680" t="s">
        <v>554</v>
      </c>
      <c r="DM2" s="668">
        <f>(DD2/(DM5+DM6))*((DM9*DD21)/(1-EXP(-DD21*DM9)))</f>
        <v>3.0059680522223071E-3</v>
      </c>
      <c r="DN2" s="666" t="s">
        <v>304</v>
      </c>
      <c r="DO2" s="680" t="s">
        <v>553</v>
      </c>
      <c r="DP2" s="668">
        <f>-(DP5+DP6+DP7)/(DP23+DP24)</f>
        <v>-48.948458444089098</v>
      </c>
      <c r="DQ2" s="678" t="s">
        <v>19</v>
      </c>
      <c r="DR2" s="556" t="s">
        <v>510</v>
      </c>
      <c r="DS2" s="460">
        <f>(DS5/(DS6*DS7*DS16))/DS20</f>
        <v>1.5262165853956349E-3</v>
      </c>
      <c r="DT2" s="466" t="s">
        <v>303</v>
      </c>
      <c r="DU2" s="464" t="s">
        <v>510</v>
      </c>
      <c r="DV2" s="462">
        <f>DS2/(DV5*(1/DV8)*DV6*(1/DV7))</f>
        <v>40683.309600349479</v>
      </c>
      <c r="DW2" s="480" t="s">
        <v>304</v>
      </c>
      <c r="DX2" s="478" t="s">
        <v>510</v>
      </c>
      <c r="DY2" s="462">
        <f>(DS2/(DY9*(1/DY14)*((DY10*DY12*DY13*(DY5+DY6))+(DY11*DY12))))*CU11</f>
        <v>700.14511052939565</v>
      </c>
      <c r="DZ2" s="480" t="s">
        <v>304</v>
      </c>
      <c r="EA2" s="478" t="s">
        <v>554</v>
      </c>
      <c r="EB2" s="462">
        <f>(DS2/(EB9*(1/EB14)*((EB10*EB12*EB13*(EB5+EB6))+(EB11*EB12))))*((EB15*DS18)/(1-EXP(-DS18*EB15)))</f>
        <v>700.14511052939565</v>
      </c>
      <c r="EC2" s="480" t="s">
        <v>304</v>
      </c>
      <c r="ED2" s="478" t="s">
        <v>553</v>
      </c>
      <c r="EE2" s="462">
        <f>-EE15/((EE10*EE12*EE13*(EE5+EE6))+(EE11*EE12))</f>
        <v>-16.802282392818878</v>
      </c>
      <c r="EF2" s="476" t="s">
        <v>19</v>
      </c>
      <c r="EG2" s="474" t="s">
        <v>510</v>
      </c>
      <c r="EH2" s="472">
        <f>(EH5/(EH6*EH7*EH16))/EH20</f>
        <v>1.5262165853956349E-3</v>
      </c>
      <c r="EI2" s="470" t="s">
        <v>303</v>
      </c>
      <c r="EJ2" s="468" t="s">
        <v>510</v>
      </c>
      <c r="EK2" s="502">
        <f>EH2/(EK5*EK6*(1/EK7))</f>
        <v>57.593078694174899</v>
      </c>
      <c r="EL2" s="500" t="s">
        <v>304</v>
      </c>
      <c r="EM2" s="504" t="s">
        <v>510</v>
      </c>
      <c r="EN2" s="502">
        <f>(EH2/(EN9*((EN10*EN12*EN13*(EN5+EN6))+(EN11*EN12))))*CU11</f>
        <v>0.90811961154192145</v>
      </c>
      <c r="EO2" s="500" t="s">
        <v>303</v>
      </c>
      <c r="EP2" s="504" t="s">
        <v>554</v>
      </c>
      <c r="EQ2" s="502">
        <f>(EH2/(EQ9*((EQ10*EQ12*EQ13*(EQ5+EQ6))+(EQ11*EQ12))))*((EQ14*EH18)/(1-EXP(-EH18*EQ14)))</f>
        <v>0.90811961154192145</v>
      </c>
      <c r="ER2" s="500" t="s">
        <v>304</v>
      </c>
      <c r="ES2" s="504" t="s">
        <v>553</v>
      </c>
      <c r="ET2" s="502">
        <f>-ET15/((ET10*ET12*ET13*(ET5+ET6))+(ET11*ET12))</f>
        <v>-15.39462998242915</v>
      </c>
      <c r="EU2" s="514" t="s">
        <v>19</v>
      </c>
      <c r="EV2" s="512" t="s">
        <v>510</v>
      </c>
      <c r="EW2" s="510">
        <f>(EW5/(EW6*EW7*EW16))/EW20</f>
        <v>1.5262165853956349E-3</v>
      </c>
      <c r="EX2" s="508" t="s">
        <v>303</v>
      </c>
      <c r="EY2" s="506" t="s">
        <v>510</v>
      </c>
      <c r="EZ2" s="494">
        <f>EW2/(EZ5*EZ6*(1/EZ7))</f>
        <v>1271.8471544963622</v>
      </c>
      <c r="FA2" s="498" t="s">
        <v>304</v>
      </c>
      <c r="FB2" s="496" t="s">
        <v>510</v>
      </c>
      <c r="FC2" s="494">
        <f>(EW2/(FC9*((FC10*FC12*FC13*(FC5+FC6))+(FC11*FC12))))*CU11</f>
        <v>7.2366802381180353</v>
      </c>
      <c r="FD2" s="498" t="s">
        <v>303</v>
      </c>
      <c r="FE2" s="496" t="s">
        <v>554</v>
      </c>
      <c r="FF2" s="494">
        <f>(EW2/(FF9*((FF10*FF12*FF13*(FF5+FF6))+(FF11*FF12))))*((FF14*EW18)/(1-EXP(-EW18*FF14)))</f>
        <v>7.2366802381180353</v>
      </c>
      <c r="FG2" s="498" t="s">
        <v>304</v>
      </c>
      <c r="FH2" s="496" t="s">
        <v>553</v>
      </c>
      <c r="FI2" s="494">
        <f>-FI15/((FI10*FI12*FI13*(FI5+FI6))+(FI11*FI12))</f>
        <v>-5.5552160701290481</v>
      </c>
      <c r="FJ2" s="492" t="s">
        <v>19</v>
      </c>
      <c r="FK2" s="490" t="s">
        <v>510</v>
      </c>
      <c r="FL2" s="488">
        <f>(FL5/(FL6*FL7*FL16))/FL20</f>
        <v>1.5262165853956349E-3</v>
      </c>
      <c r="FM2" s="486" t="s">
        <v>303</v>
      </c>
      <c r="FN2" s="484" t="s">
        <v>510</v>
      </c>
      <c r="FO2" s="430">
        <f>FL2/(FO5*(1/FO6))</f>
        <v>6.3592357724818124E-3</v>
      </c>
      <c r="FP2" s="428" t="s">
        <v>304</v>
      </c>
      <c r="FQ2" s="482" t="s">
        <v>510</v>
      </c>
      <c r="FR2" s="430">
        <f>((FL2*FR6)/FR5)*CU11</f>
        <v>2.6053640926877312E-5</v>
      </c>
      <c r="FS2" s="428" t="s">
        <v>303</v>
      </c>
      <c r="FT2" s="426" t="s">
        <v>554</v>
      </c>
      <c r="FU2" s="430">
        <f>((FL2*FU6)/FU5)*((FU7*FL18)/(1-EXP(-FL18*FU7)))</f>
        <v>2.6053640926877312E-5</v>
      </c>
      <c r="FV2" s="428" t="s">
        <v>304</v>
      </c>
      <c r="FW2" s="426" t="s">
        <v>553</v>
      </c>
      <c r="FX2" s="430">
        <f>-FX5/FX6</f>
        <v>-4.0000000000000001E-3</v>
      </c>
      <c r="FY2" s="438" t="s">
        <v>19</v>
      </c>
      <c r="FZ2" s="436" t="s">
        <v>510</v>
      </c>
      <c r="GA2" s="434">
        <f>(GA5/(GA6*GA7*GA16))/GA20</f>
        <v>1.5262165853956349E-3</v>
      </c>
      <c r="GB2" s="432" t="s">
        <v>303</v>
      </c>
      <c r="GC2" s="458" t="s">
        <v>510</v>
      </c>
      <c r="GD2" s="417">
        <f>(GA2/(GD5*GD6*(1/GD7)))</f>
        <v>635.92357724818112</v>
      </c>
      <c r="GE2" s="421" t="s">
        <v>304</v>
      </c>
      <c r="GF2" s="419" t="s">
        <v>510</v>
      </c>
      <c r="GG2" s="417">
        <f>(GA2/((GG9)*((GG10*GG12*GG13*(GG5+GG6))+(GG11*GG12))))*CU11</f>
        <v>3.6183401190590176</v>
      </c>
      <c r="GH2" s="421" t="s">
        <v>303</v>
      </c>
      <c r="GI2" s="419" t="s">
        <v>554</v>
      </c>
      <c r="GJ2" s="417">
        <f>(GA2/((GJ9)*((GJ10*GJ12*GJ13*(GJ5+GJ6))+(GJ11*GJ12))))*((GJ14*GA18)/(1-EXP(-GA18*GJ14)))</f>
        <v>3.6183401190590176</v>
      </c>
      <c r="GK2" s="421" t="s">
        <v>304</v>
      </c>
      <c r="GL2" s="419" t="s">
        <v>553</v>
      </c>
      <c r="GM2" s="417">
        <f>-GM15/((GM10*GM12*GM13*(GM5+GM6))+(GM11*GM12))</f>
        <v>-5.5552160701290481</v>
      </c>
      <c r="GN2" s="456" t="s">
        <v>19</v>
      </c>
      <c r="GO2" s="454" t="s">
        <v>510</v>
      </c>
      <c r="GP2" s="452">
        <f>(GP5/(GP6*GP7*GP15))/GP19</f>
        <v>1.5262165853956349E-3</v>
      </c>
      <c r="GQ2" s="450" t="s">
        <v>303</v>
      </c>
      <c r="GR2" s="448" t="s">
        <v>510</v>
      </c>
      <c r="GS2" s="442">
        <f>GP2/(GS5*GS6*(1/GS7))</f>
        <v>787.52145789248436</v>
      </c>
      <c r="GT2" s="446" t="s">
        <v>304</v>
      </c>
      <c r="GU2" s="444" t="s">
        <v>510</v>
      </c>
      <c r="GV2" s="442">
        <f>(GP2/((GV9)*((GV10*GV12*GV13*(GV5+GV6))+(GV11*GV12))))*CU11</f>
        <v>5.9513186496608199</v>
      </c>
      <c r="GW2" s="446" t="s">
        <v>303</v>
      </c>
      <c r="GX2" s="444" t="s">
        <v>554</v>
      </c>
      <c r="GY2" s="442">
        <f>(GP2/((GY9)*((GY10*GY12*GY13*(GY5+GY6))+(GY11*GY12))))*((GY14*GP17)/(1-EXP(-GP17*GY14)))</f>
        <v>5.9513186496608199</v>
      </c>
      <c r="GZ2" s="446" t="s">
        <v>304</v>
      </c>
      <c r="HA2" s="444" t="s">
        <v>553</v>
      </c>
      <c r="HB2" s="442">
        <f>-HB15/((HB10*HB12*HB13*(HB5+HB6))+(HB11*HB12))</f>
        <v>-7.3781469900331578</v>
      </c>
      <c r="HC2" s="440" t="s">
        <v>19</v>
      </c>
      <c r="HD2" s="251"/>
      <c r="HE2" s="350"/>
      <c r="HF2" s="252"/>
    </row>
    <row r="3" spans="1:214" ht="13.5" thickTop="1" x14ac:dyDescent="0.2">
      <c r="A3" s="278" t="s">
        <v>456</v>
      </c>
      <c r="B3" s="362">
        <v>2.41E-4</v>
      </c>
      <c r="C3" s="240"/>
      <c r="D3" s="317" t="s">
        <v>15</v>
      </c>
      <c r="E3" s="285">
        <f>1/((1/E20)+(1/E21))</f>
        <v>1.6204827797832837E-5</v>
      </c>
      <c r="F3" s="253" t="s">
        <v>302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3.1238155453704972E-4</v>
      </c>
      <c r="X3" s="254" t="s">
        <v>302</v>
      </c>
      <c r="Y3" s="321" t="s">
        <v>16</v>
      </c>
      <c r="Z3" s="358">
        <f>1/((1/Z18)+(1/Z19))</f>
        <v>3.1238155453704972E-4</v>
      </c>
      <c r="AA3" s="255" t="s">
        <v>302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2.1938843787835228E-4</v>
      </c>
      <c r="BU3" s="250" t="s">
        <v>302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2.5828043345649909E-5</v>
      </c>
      <c r="CV3" s="71" t="s">
        <v>303</v>
      </c>
      <c r="CW3" s="326" t="s">
        <v>15</v>
      </c>
      <c r="CX3" s="117">
        <f>1/((1/CX20)+(1/CX21))</f>
        <v>1.7285146738290895E-5</v>
      </c>
      <c r="CY3" s="256" t="s">
        <v>302</v>
      </c>
      <c r="CZ3" s="338" t="s">
        <v>285</v>
      </c>
      <c r="DA3" s="336">
        <f>1/((1/DA13)+(1/DA15)+(1/DA16)+(1/DA17)+(1/DA18)+(1/DA19)+(1/DA20)+(1/DA21)+(1/DA22))</f>
        <v>5.0748241167996753E-3</v>
      </c>
      <c r="DB3" s="72" t="s">
        <v>303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2.4249726639882733E-3</v>
      </c>
      <c r="HF3" s="252" t="s">
        <v>303</v>
      </c>
    </row>
    <row r="4" spans="1:214" ht="13.5" thickBot="1" x14ac:dyDescent="0.25">
      <c r="A4" s="279" t="s">
        <v>457</v>
      </c>
      <c r="B4" s="363">
        <v>0.753</v>
      </c>
      <c r="C4" s="241"/>
      <c r="D4" s="318" t="s">
        <v>16</v>
      </c>
      <c r="E4" s="286">
        <f>1/((1/E22)+(1/E23))</f>
        <v>1.6466048664620779E-5</v>
      </c>
      <c r="F4" s="257" t="s">
        <v>302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3.111326937183905E-4</v>
      </c>
      <c r="X4" s="258" t="s">
        <v>302</v>
      </c>
      <c r="Y4" s="322" t="s">
        <v>15</v>
      </c>
      <c r="Z4" s="359">
        <f>1/((1/Z16)+(1/Z17))</f>
        <v>3.111326937183905E-4</v>
      </c>
      <c r="AA4" s="259" t="s">
        <v>302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2.2399325716549449E-4</v>
      </c>
      <c r="BU4" s="260" t="s">
        <v>302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2.9978784497671309E-3</v>
      </c>
      <c r="CV4" s="73" t="s">
        <v>303</v>
      </c>
      <c r="CW4" s="327" t="s">
        <v>16</v>
      </c>
      <c r="CX4" s="106">
        <f>1/((1/CX22)+(1/CX23))</f>
        <v>1.7704210953954827E-5</v>
      </c>
      <c r="CY4" s="261" t="s">
        <v>302</v>
      </c>
      <c r="CZ4" s="339" t="s">
        <v>11</v>
      </c>
      <c r="DA4" s="337">
        <f>1/((1/DA15)+(1/DA16)+(1/DA13))</f>
        <v>2.5139178171910061E-2</v>
      </c>
      <c r="DB4" s="74" t="s">
        <v>303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2.6023507036255421E-4</v>
      </c>
      <c r="HF4" s="75" t="s">
        <v>303</v>
      </c>
    </row>
    <row r="5" spans="1:214" ht="14.25" thickTop="1" thickBot="1" x14ac:dyDescent="0.25">
      <c r="A5" s="589" t="s">
        <v>281</v>
      </c>
      <c r="B5" s="590"/>
      <c r="C5" s="591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6.0000000000000001E-3</v>
      </c>
      <c r="CQ5" s="262" t="s">
        <v>264</v>
      </c>
      <c r="CR5" s="287">
        <f>CO5</f>
        <v>6.0000000000000001E-3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6.6877504027585484E-4</v>
      </c>
      <c r="DH5" s="249" t="s">
        <v>19</v>
      </c>
      <c r="DI5" s="262" t="s">
        <v>20</v>
      </c>
      <c r="DJ5" s="305">
        <f>DJ7</f>
        <v>1.914E-5</v>
      </c>
      <c r="DK5" s="262"/>
      <c r="DL5" s="262" t="s">
        <v>20</v>
      </c>
      <c r="DM5" s="305">
        <f>DM7</f>
        <v>1.914E-5</v>
      </c>
      <c r="DO5" s="249" t="s">
        <v>18</v>
      </c>
      <c r="DP5" s="118">
        <f>(DP8*DP9*DP10*((1-EXP(-DP11*DP12))))/(DP13*DP11)</f>
        <v>6.6877504027585484E-4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4.2E-7</v>
      </c>
      <c r="DW5" s="262"/>
      <c r="DX5" s="262" t="s">
        <v>21</v>
      </c>
      <c r="DY5" s="305">
        <f>DY7</f>
        <v>2.1999999999999999E-5</v>
      </c>
      <c r="DZ5" s="262"/>
      <c r="EA5" s="262" t="s">
        <v>21</v>
      </c>
      <c r="EB5" s="305">
        <f>EB7</f>
        <v>2.1999999999999999E-5</v>
      </c>
      <c r="EC5" s="263"/>
      <c r="ED5" s="262" t="s">
        <v>21</v>
      </c>
      <c r="EE5" s="305">
        <f>EE7</f>
        <v>2.1999999999999999E-5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5.0000000000000001E-4</v>
      </c>
      <c r="EL5" s="262"/>
      <c r="EM5" s="262" t="s">
        <v>21</v>
      </c>
      <c r="EN5" s="305">
        <f>EN7</f>
        <v>2.1999999999999999E-5</v>
      </c>
      <c r="EO5" s="262"/>
      <c r="EP5" s="262" t="s">
        <v>21</v>
      </c>
      <c r="EQ5" s="305">
        <f>EQ7</f>
        <v>2.1999999999999999E-5</v>
      </c>
      <c r="ER5" s="263"/>
      <c r="ES5" s="262" t="s">
        <v>21</v>
      </c>
      <c r="ET5" s="305">
        <f>ET7</f>
        <v>2.1999999999999999E-5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3.0000000000000001E-3</v>
      </c>
      <c r="FA5" s="262"/>
      <c r="FB5" s="262" t="s">
        <v>21</v>
      </c>
      <c r="FC5" s="305">
        <f>FC7</f>
        <v>2.1999999999999999E-5</v>
      </c>
      <c r="FD5" s="262"/>
      <c r="FE5" s="262" t="s">
        <v>21</v>
      </c>
      <c r="FF5" s="305">
        <f>FF7</f>
        <v>2.1999999999999999E-5</v>
      </c>
      <c r="FG5" s="263"/>
      <c r="FH5" s="263" t="s">
        <v>21</v>
      </c>
      <c r="FI5" s="290">
        <f>FI7</f>
        <v>2.1999999999999999E-5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240</v>
      </c>
      <c r="FP5" s="263"/>
      <c r="FQ5" s="263" t="s">
        <v>122</v>
      </c>
      <c r="FR5" s="298">
        <f>B36</f>
        <v>240</v>
      </c>
      <c r="FS5" s="263"/>
      <c r="FT5" s="263" t="s">
        <v>122</v>
      </c>
      <c r="FU5" s="298">
        <f>B36</f>
        <v>240</v>
      </c>
      <c r="FV5" s="263"/>
      <c r="FW5" s="262" t="s">
        <v>181</v>
      </c>
      <c r="FX5" s="305">
        <f>B46</f>
        <v>4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6.0000000000000001E-3</v>
      </c>
      <c r="GE5" s="262"/>
      <c r="GF5" s="262" t="s">
        <v>21</v>
      </c>
      <c r="GG5" s="305">
        <f>GG7</f>
        <v>2.1999999999999999E-5</v>
      </c>
      <c r="GH5" s="262"/>
      <c r="GI5" s="262" t="s">
        <v>21</v>
      </c>
      <c r="GJ5" s="305">
        <f>GJ7</f>
        <v>2.1999999999999999E-5</v>
      </c>
      <c r="GK5" s="262"/>
      <c r="GL5" s="262" t="s">
        <v>21</v>
      </c>
      <c r="GM5" s="305">
        <f>GM7</f>
        <v>2.1999999999999999E-5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1.7000000000000001E-4</v>
      </c>
      <c r="GT5" s="262"/>
      <c r="GU5" s="262" t="s">
        <v>21</v>
      </c>
      <c r="GV5" s="305">
        <f>GV7</f>
        <v>2.1999999999999999E-5</v>
      </c>
      <c r="GW5" s="262"/>
      <c r="GX5" s="262" t="s">
        <v>21</v>
      </c>
      <c r="GY5" s="305">
        <f>GY7</f>
        <v>2.1999999999999999E-5</v>
      </c>
      <c r="GZ5" s="262"/>
      <c r="HA5" s="262" t="s">
        <v>21</v>
      </c>
      <c r="HB5" s="305">
        <f>HB7</f>
        <v>2.1999999999999999E-5</v>
      </c>
      <c r="HC5" s="263"/>
      <c r="HD5" s="265" t="s">
        <v>22</v>
      </c>
      <c r="HE5" s="305">
        <f>B47</f>
        <v>0.55500055500055501</v>
      </c>
      <c r="HF5" s="262" t="s">
        <v>304</v>
      </c>
    </row>
    <row r="6" spans="1:214" ht="13.5" thickTop="1" x14ac:dyDescent="0.2">
      <c r="A6" s="278" t="s">
        <v>454</v>
      </c>
      <c r="B6" s="362">
        <v>1.17E-4</v>
      </c>
      <c r="C6" s="240"/>
      <c r="D6" s="262" t="s">
        <v>23</v>
      </c>
      <c r="E6" s="288">
        <f>0.693/E7</f>
        <v>1.6034243405830633E-3</v>
      </c>
      <c r="G6" s="262" t="s">
        <v>439</v>
      </c>
      <c r="H6" s="287">
        <f>B20</f>
        <v>1.036E-10</v>
      </c>
      <c r="I6" s="262" t="s">
        <v>35</v>
      </c>
      <c r="J6" s="262" t="s">
        <v>316</v>
      </c>
      <c r="K6" s="287">
        <f>B21</f>
        <v>1.8425999999999999E-10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1.6034243405830633E-3</v>
      </c>
      <c r="Y6" s="262" t="s">
        <v>23</v>
      </c>
      <c r="Z6" s="288">
        <f>0.693/Z7</f>
        <v>1.6034243405830633E-3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BK12</f>
        <v>5</v>
      </c>
      <c r="BR6" s="249" t="s">
        <v>69</v>
      </c>
      <c r="BS6" s="262" t="s">
        <v>23</v>
      </c>
      <c r="BT6" s="288">
        <f>0.693/BT7</f>
        <v>1.6034243405830633E-3</v>
      </c>
      <c r="BV6" s="262" t="s">
        <v>163</v>
      </c>
      <c r="BW6" s="287">
        <f>B20</f>
        <v>1.036E-10</v>
      </c>
      <c r="BX6" s="262" t="s">
        <v>35</v>
      </c>
      <c r="BY6" s="262" t="s">
        <v>45</v>
      </c>
      <c r="BZ6" s="287">
        <f>B21</f>
        <v>1.8425999999999999E-10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1.3357000000000001E-10</v>
      </c>
      <c r="CM6" s="266" t="s">
        <v>13</v>
      </c>
      <c r="CN6" s="263" t="s">
        <v>21</v>
      </c>
      <c r="CO6" s="290">
        <f>CO8</f>
        <v>2.1999999999999999E-5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1.8425999999999999E-10</v>
      </c>
      <c r="CV6" s="262" t="s">
        <v>35</v>
      </c>
      <c r="CW6" s="262" t="s">
        <v>23</v>
      </c>
      <c r="CX6" s="288">
        <f>0.693/CX7</f>
        <v>1.6034243405830633E-3</v>
      </c>
      <c r="CZ6" s="262" t="s">
        <v>163</v>
      </c>
      <c r="DA6" s="287">
        <f>B20</f>
        <v>1.036E-10</v>
      </c>
      <c r="DB6" s="262" t="s">
        <v>35</v>
      </c>
      <c r="DC6" s="262" t="s">
        <v>438</v>
      </c>
      <c r="DD6" s="287">
        <f>B30</f>
        <v>1.3357000000000001E-10</v>
      </c>
      <c r="DE6" s="267" t="s">
        <v>35</v>
      </c>
      <c r="DF6" s="249" t="s">
        <v>27</v>
      </c>
      <c r="DG6" s="118">
        <f>(DG8*DG9*DG14*((1-EXP(-DG11*DG12))))/(DG13*DG11)</f>
        <v>9.0847184154504852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9.0847184154504852</v>
      </c>
      <c r="DQ6" s="249" t="s">
        <v>19</v>
      </c>
      <c r="DR6" s="262" t="s">
        <v>438</v>
      </c>
      <c r="DS6" s="287">
        <f>B30</f>
        <v>1.3357000000000001E-10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1.3357000000000001E-10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1.3357000000000001E-10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1.3357000000000001E-10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4</v>
      </c>
      <c r="FS6" s="249" t="s">
        <v>19</v>
      </c>
      <c r="FT6" s="262" t="s">
        <v>181</v>
      </c>
      <c r="FU6" s="305">
        <f>B46</f>
        <v>4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1.3357000000000001E-10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1.3357000000000001E-10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5.955968519838313E-2</v>
      </c>
      <c r="HF6" s="262" t="s">
        <v>304</v>
      </c>
    </row>
    <row r="7" spans="1:214" x14ac:dyDescent="0.2">
      <c r="A7" s="279" t="s">
        <v>455</v>
      </c>
      <c r="B7" s="363">
        <v>0.74299999999999999</v>
      </c>
      <c r="C7" s="241"/>
      <c r="D7" s="266" t="s">
        <v>270</v>
      </c>
      <c r="E7" s="287">
        <f>B31</f>
        <v>432.2</v>
      </c>
      <c r="F7" s="249" t="s">
        <v>69</v>
      </c>
      <c r="G7" s="262" t="s">
        <v>43</v>
      </c>
      <c r="H7" s="290">
        <f>B19</f>
        <v>3.7739999999999999E-8</v>
      </c>
      <c r="I7" s="263" t="s">
        <v>35</v>
      </c>
      <c r="J7" s="262" t="s">
        <v>43</v>
      </c>
      <c r="K7" s="290">
        <f>B19</f>
        <v>3.7739999999999999E-8</v>
      </c>
      <c r="L7" s="263" t="s">
        <v>35</v>
      </c>
      <c r="M7" s="262" t="s">
        <v>23</v>
      </c>
      <c r="N7" s="288">
        <f>0.693/N8</f>
        <v>1.6034243405830633E-3</v>
      </c>
      <c r="P7" s="262" t="s">
        <v>23</v>
      </c>
      <c r="Q7" s="288">
        <f>0.693/Q8</f>
        <v>1.6034243405830633E-3</v>
      </c>
      <c r="S7" s="262" t="s">
        <v>23</v>
      </c>
      <c r="T7" s="288">
        <f>0.693/T8</f>
        <v>1.6034243405830633E-3</v>
      </c>
      <c r="V7" s="266" t="s">
        <v>270</v>
      </c>
      <c r="W7" s="287">
        <f>B31</f>
        <v>432.2</v>
      </c>
      <c r="X7" s="249" t="s">
        <v>69</v>
      </c>
      <c r="Y7" s="266" t="s">
        <v>270</v>
      </c>
      <c r="Z7" s="287">
        <f>B31</f>
        <v>432.2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1.6034243405830633E-3</v>
      </c>
      <c r="AL7" s="262" t="s">
        <v>23</v>
      </c>
      <c r="AM7" s="288">
        <f>0.693/AM8</f>
        <v>1.6034243405830633E-3</v>
      </c>
      <c r="AO7" s="262" t="s">
        <v>23</v>
      </c>
      <c r="AP7" s="288">
        <f>0.693/AP8</f>
        <v>1.6034243405830633E-3</v>
      </c>
      <c r="AR7" s="262" t="s">
        <v>23</v>
      </c>
      <c r="AS7" s="288">
        <f>0.693/AS8</f>
        <v>1.6034243405830633E-3</v>
      </c>
      <c r="AU7" s="262" t="s">
        <v>23</v>
      </c>
      <c r="AV7" s="288">
        <f>0.693/AV8</f>
        <v>1.6034243405830633E-3</v>
      </c>
      <c r="AX7" s="262" t="s">
        <v>23</v>
      </c>
      <c r="AY7" s="288">
        <f>0.693/AY8</f>
        <v>1.6034243405830633E-3</v>
      </c>
      <c r="BA7" s="262" t="s">
        <v>23</v>
      </c>
      <c r="BB7" s="288">
        <f>0.693/BB8</f>
        <v>1.6034243405830633E-3</v>
      </c>
      <c r="BD7" s="262" t="s">
        <v>23</v>
      </c>
      <c r="BE7" s="288">
        <f>0.693/BE8</f>
        <v>1.6034243405830633E-3</v>
      </c>
      <c r="BG7" s="262" t="s">
        <v>23</v>
      </c>
      <c r="BH7" s="288">
        <f>0.693/BH8</f>
        <v>1.6034243405830633E-3</v>
      </c>
      <c r="BJ7" s="262" t="s">
        <v>23</v>
      </c>
      <c r="BK7" s="288">
        <f>0.693/BK8</f>
        <v>1.6034243405830633E-3</v>
      </c>
      <c r="BM7" s="262" t="s">
        <v>23</v>
      </c>
      <c r="BN7" s="288">
        <f>0.693/BN8</f>
        <v>1.6034243405830633E-3</v>
      </c>
      <c r="BP7" s="262" t="s">
        <v>23</v>
      </c>
      <c r="BQ7" s="288">
        <f>0.693/BQ8</f>
        <v>1.6034243405830633E-3</v>
      </c>
      <c r="BS7" s="266" t="s">
        <v>270</v>
      </c>
      <c r="BT7" s="287">
        <f>B31</f>
        <v>432.2</v>
      </c>
      <c r="BU7" s="249" t="s">
        <v>69</v>
      </c>
      <c r="BV7" s="262" t="s">
        <v>43</v>
      </c>
      <c r="BW7" s="290">
        <f>E10</f>
        <v>3.7739999999999999E-8</v>
      </c>
      <c r="BX7" s="263" t="s">
        <v>35</v>
      </c>
      <c r="BY7" s="262" t="s">
        <v>43</v>
      </c>
      <c r="BZ7" s="290">
        <f>B19</f>
        <v>3.7739999999999999E-8</v>
      </c>
      <c r="CA7" s="263" t="s">
        <v>35</v>
      </c>
      <c r="CB7" s="262" t="s">
        <v>23</v>
      </c>
      <c r="CC7" s="288">
        <f>0.693/CC8</f>
        <v>1.6034243405830633E-3</v>
      </c>
      <c r="CE7" s="262" t="s">
        <v>23</v>
      </c>
      <c r="CF7" s="288">
        <f>0.693/CF8</f>
        <v>1.6034243405830633E-3</v>
      </c>
      <c r="CH7" s="262" t="s">
        <v>23</v>
      </c>
      <c r="CI7" s="288">
        <f>0.693/CI8</f>
        <v>1.6034243405830633E-3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3.7739999999999999E-8</v>
      </c>
      <c r="CV7" s="263" t="s">
        <v>35</v>
      </c>
      <c r="CW7" s="266" t="s">
        <v>270</v>
      </c>
      <c r="CX7" s="287">
        <f>B31</f>
        <v>432.2</v>
      </c>
      <c r="CY7" s="249" t="s">
        <v>69</v>
      </c>
      <c r="CZ7" s="263" t="s">
        <v>43</v>
      </c>
      <c r="DA7" s="290">
        <f>B19</f>
        <v>3.7739999999999999E-8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3.6421488784670224</v>
      </c>
      <c r="DH7" s="249" t="s">
        <v>19</v>
      </c>
      <c r="DI7" s="262" t="s">
        <v>37</v>
      </c>
      <c r="DJ7" s="287">
        <f>B44</f>
        <v>1.914E-5</v>
      </c>
      <c r="DL7" s="262" t="s">
        <v>37</v>
      </c>
      <c r="DM7" s="287">
        <f>B44</f>
        <v>1.914E-5</v>
      </c>
      <c r="DO7" s="249" t="s">
        <v>36</v>
      </c>
      <c r="DP7" s="118">
        <f>(DP8*DP9*DP15*DP21*((1-EXP(-DP16*DP17))))/(DP18*DP16)</f>
        <v>3.6421488784670224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2.1999999999999999E-5</v>
      </c>
      <c r="EA7" s="262" t="s">
        <v>38</v>
      </c>
      <c r="EB7" s="287">
        <f>B45</f>
        <v>2.1999999999999999E-5</v>
      </c>
      <c r="EC7" s="263"/>
      <c r="ED7" s="262" t="s">
        <v>38</v>
      </c>
      <c r="EE7" s="287">
        <f>B45</f>
        <v>2.1999999999999999E-5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2.1999999999999999E-5</v>
      </c>
      <c r="EP7" s="262" t="s">
        <v>38</v>
      </c>
      <c r="EQ7" s="287">
        <f>B45</f>
        <v>2.1999999999999999E-5</v>
      </c>
      <c r="ER7" s="263"/>
      <c r="ES7" s="262" t="s">
        <v>38</v>
      </c>
      <c r="ET7" s="287">
        <f>B45</f>
        <v>2.1999999999999999E-5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2.1999999999999999E-5</v>
      </c>
      <c r="FD7" s="262"/>
      <c r="FE7" s="262" t="s">
        <v>38</v>
      </c>
      <c r="FF7" s="305">
        <f>B45</f>
        <v>2.1999999999999999E-5</v>
      </c>
      <c r="FG7" s="263"/>
      <c r="FH7" s="263" t="s">
        <v>38</v>
      </c>
      <c r="FI7" s="290">
        <f>B45</f>
        <v>2.1999999999999999E-5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2.1999999999999999E-5</v>
      </c>
      <c r="GH7" s="262"/>
      <c r="GI7" s="262" t="s">
        <v>38</v>
      </c>
      <c r="GJ7" s="305">
        <f>B45</f>
        <v>2.1999999999999999E-5</v>
      </c>
      <c r="GK7" s="262"/>
      <c r="GL7" s="262" t="s">
        <v>38</v>
      </c>
      <c r="GM7" s="305">
        <f>B45</f>
        <v>2.1999999999999999E-5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2.1999999999999999E-5</v>
      </c>
      <c r="GW7" s="262"/>
      <c r="GX7" s="262" t="s">
        <v>38</v>
      </c>
      <c r="GY7" s="305">
        <f>B45</f>
        <v>2.1999999999999999E-5</v>
      </c>
      <c r="GZ7" s="262"/>
      <c r="HA7" s="262" t="s">
        <v>38</v>
      </c>
      <c r="HB7" s="305">
        <f>B45</f>
        <v>2.1999999999999999E-5</v>
      </c>
      <c r="HC7" s="263"/>
      <c r="HD7" s="262" t="s">
        <v>23</v>
      </c>
      <c r="HE7" s="288">
        <f>0.693/HE8</f>
        <v>1.6034243405830633E-3</v>
      </c>
    </row>
    <row r="8" spans="1:214" x14ac:dyDescent="0.2">
      <c r="A8" s="279" t="s">
        <v>458</v>
      </c>
      <c r="B8" s="363">
        <v>1.35E-4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1.319423256E-13</v>
      </c>
      <c r="I8" s="263" t="s">
        <v>35</v>
      </c>
      <c r="J8" s="262" t="s">
        <v>71</v>
      </c>
      <c r="K8" s="287">
        <f>B23</f>
        <v>2.767285944E-8</v>
      </c>
      <c r="L8" s="262" t="s">
        <v>445</v>
      </c>
      <c r="M8" s="266" t="s">
        <v>270</v>
      </c>
      <c r="N8" s="287">
        <f>B31</f>
        <v>432.2</v>
      </c>
      <c r="O8" s="249" t="s">
        <v>69</v>
      </c>
      <c r="P8" s="266" t="s">
        <v>270</v>
      </c>
      <c r="Q8" s="287">
        <f>B31</f>
        <v>432.2</v>
      </c>
      <c r="R8" s="249" t="s">
        <v>69</v>
      </c>
      <c r="S8" s="266" t="s">
        <v>270</v>
      </c>
      <c r="T8" s="287">
        <f>B31</f>
        <v>432.2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432.2</v>
      </c>
      <c r="AK8" s="249" t="s">
        <v>69</v>
      </c>
      <c r="AL8" s="266" t="s">
        <v>270</v>
      </c>
      <c r="AM8" s="287">
        <f>B31</f>
        <v>432.2</v>
      </c>
      <c r="AN8" s="249" t="s">
        <v>69</v>
      </c>
      <c r="AO8" s="266" t="s">
        <v>270</v>
      </c>
      <c r="AP8" s="287">
        <f>B31</f>
        <v>432.2</v>
      </c>
      <c r="AQ8" s="249" t="s">
        <v>69</v>
      </c>
      <c r="AR8" s="266" t="s">
        <v>270</v>
      </c>
      <c r="AS8" s="287">
        <f>B31</f>
        <v>432.2</v>
      </c>
      <c r="AT8" s="249" t="s">
        <v>69</v>
      </c>
      <c r="AU8" s="266" t="s">
        <v>270</v>
      </c>
      <c r="AV8" s="287">
        <f>B31</f>
        <v>432.2</v>
      </c>
      <c r="AW8" s="249" t="s">
        <v>69</v>
      </c>
      <c r="AX8" s="266" t="s">
        <v>270</v>
      </c>
      <c r="AY8" s="287">
        <f>B31</f>
        <v>432.2</v>
      </c>
      <c r="AZ8" s="249" t="s">
        <v>69</v>
      </c>
      <c r="BA8" s="266" t="s">
        <v>270</v>
      </c>
      <c r="BB8" s="287">
        <f>B31</f>
        <v>432.2</v>
      </c>
      <c r="BC8" s="249" t="s">
        <v>69</v>
      </c>
      <c r="BD8" s="266" t="s">
        <v>270</v>
      </c>
      <c r="BE8" s="287">
        <f>B31</f>
        <v>432.2</v>
      </c>
      <c r="BF8" s="249" t="s">
        <v>69</v>
      </c>
      <c r="BG8" s="266" t="s">
        <v>270</v>
      </c>
      <c r="BH8" s="287">
        <f>B31</f>
        <v>432.2</v>
      </c>
      <c r="BI8" s="249" t="s">
        <v>69</v>
      </c>
      <c r="BJ8" s="266" t="s">
        <v>270</v>
      </c>
      <c r="BK8" s="287">
        <f>B31</f>
        <v>432.2</v>
      </c>
      <c r="BL8" s="249" t="s">
        <v>69</v>
      </c>
      <c r="BM8" s="266" t="s">
        <v>270</v>
      </c>
      <c r="BN8" s="287">
        <f>B31</f>
        <v>432.2</v>
      </c>
      <c r="BO8" s="249" t="s">
        <v>69</v>
      </c>
      <c r="BP8" s="266" t="s">
        <v>270</v>
      </c>
      <c r="BQ8" s="287">
        <f>B31</f>
        <v>432.2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1.319423256E-13</v>
      </c>
      <c r="BX8" s="263" t="s">
        <v>35</v>
      </c>
      <c r="BY8" s="262" t="s">
        <v>71</v>
      </c>
      <c r="BZ8" s="287">
        <f>B23</f>
        <v>2.767285944E-8</v>
      </c>
      <c r="CA8" s="262" t="s">
        <v>95</v>
      </c>
      <c r="CB8" s="266" t="s">
        <v>270</v>
      </c>
      <c r="CC8" s="287">
        <f>B31</f>
        <v>432.2</v>
      </c>
      <c r="CD8" s="249" t="s">
        <v>69</v>
      </c>
      <c r="CE8" s="266" t="s">
        <v>270</v>
      </c>
      <c r="CF8" s="287">
        <f>B31</f>
        <v>432.2</v>
      </c>
      <c r="CG8" s="249" t="s">
        <v>69</v>
      </c>
      <c r="CH8" s="266" t="s">
        <v>270</v>
      </c>
      <c r="CI8" s="287">
        <f>B31</f>
        <v>432.2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2.1999999999999999E-5</v>
      </c>
      <c r="CT8" s="262" t="s">
        <v>71</v>
      </c>
      <c r="CU8" s="287">
        <f>B23</f>
        <v>2.767285944E-8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1.319423256E-13</v>
      </c>
      <c r="DB8" s="262" t="s">
        <v>35</v>
      </c>
      <c r="DC8" s="262" t="s">
        <v>380</v>
      </c>
      <c r="DD8" s="311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432.2</v>
      </c>
      <c r="HF8" s="249" t="s">
        <v>69</v>
      </c>
    </row>
    <row r="9" spans="1:214" x14ac:dyDescent="0.2">
      <c r="A9" s="279" t="s">
        <v>459</v>
      </c>
      <c r="B9" s="363">
        <v>0.71099999999999997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1.3357000000000001E-10</v>
      </c>
      <c r="I9" s="267" t="s">
        <v>35</v>
      </c>
      <c r="J9" s="262" t="s">
        <v>438</v>
      </c>
      <c r="K9" s="287">
        <f>B30</f>
        <v>1.3357000000000001E-10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9.1019999999999999E-11</v>
      </c>
      <c r="AD9" s="287">
        <f>B22</f>
        <v>9.1019999999999999E-11</v>
      </c>
      <c r="AE9" s="287">
        <f>B22</f>
        <v>9.1019999999999999E-11</v>
      </c>
      <c r="AF9" s="287">
        <f>B22</f>
        <v>9.1019999999999999E-11</v>
      </c>
      <c r="AG9" s="287">
        <f>B22</f>
        <v>9.1019999999999999E-11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1.3357000000000001E-10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1.3357000000000001E-10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1.3357000000000001E-10</v>
      </c>
      <c r="DB9" s="263" t="s">
        <v>35</v>
      </c>
      <c r="DC9" s="262" t="s">
        <v>381</v>
      </c>
      <c r="DD9" s="311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4.2E-7</v>
      </c>
      <c r="EA9" s="262" t="s">
        <v>278</v>
      </c>
      <c r="EB9" s="287">
        <f>B37</f>
        <v>4.2E-7</v>
      </c>
      <c r="EC9" s="263"/>
      <c r="ED9" s="262" t="s">
        <v>278</v>
      </c>
      <c r="EE9" s="287">
        <f>B37</f>
        <v>4.2E-7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5.0000000000000001E-4</v>
      </c>
      <c r="EP9" s="262" t="s">
        <v>275</v>
      </c>
      <c r="EQ9" s="310">
        <f>B38</f>
        <v>5.0000000000000001E-4</v>
      </c>
      <c r="ER9" s="263"/>
      <c r="ES9" s="262" t="s">
        <v>275</v>
      </c>
      <c r="ET9" s="310">
        <f>B38</f>
        <v>5.0000000000000001E-4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3.0000000000000001E-3</v>
      </c>
      <c r="FD9" s="262"/>
      <c r="FE9" s="262" t="s">
        <v>201</v>
      </c>
      <c r="FF9" s="310">
        <f>B40</f>
        <v>3.0000000000000001E-3</v>
      </c>
      <c r="FG9" s="263"/>
      <c r="FH9" s="262" t="s">
        <v>201</v>
      </c>
      <c r="FI9" s="310">
        <f>B40</f>
        <v>3.0000000000000001E-3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6.0000000000000001E-3</v>
      </c>
      <c r="GH9" s="262"/>
      <c r="GI9" s="262" t="s">
        <v>276</v>
      </c>
      <c r="GJ9" s="310">
        <f>B39</f>
        <v>6.0000000000000001E-3</v>
      </c>
      <c r="GK9" s="262"/>
      <c r="GL9" s="262" t="s">
        <v>276</v>
      </c>
      <c r="GM9" s="310">
        <f>B39</f>
        <v>6.0000000000000001E-3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1.7000000000000001E-4</v>
      </c>
      <c r="GW9" s="262"/>
      <c r="GX9" s="262" t="s">
        <v>277</v>
      </c>
      <c r="GY9" s="310">
        <f>B41</f>
        <v>1.7000000000000001E-4</v>
      </c>
      <c r="GZ9" s="262"/>
      <c r="HA9" s="262" t="s">
        <v>277</v>
      </c>
      <c r="HB9" s="310">
        <f>B41</f>
        <v>1.7000000000000001E-4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2.2599999999999999E-4</v>
      </c>
      <c r="C10" s="185"/>
      <c r="D10" s="88" t="s">
        <v>43</v>
      </c>
      <c r="E10" s="187">
        <f>B19</f>
        <v>3.7739999999999999E-8</v>
      </c>
      <c r="F10" s="188" t="s">
        <v>35</v>
      </c>
      <c r="G10" s="266" t="s">
        <v>80</v>
      </c>
      <c r="H10" s="294">
        <f>(H5/(H6*H15))/H68</f>
        <v>6.4935064935065012E-2</v>
      </c>
      <c r="I10" s="271" t="s">
        <v>304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3.7739999999999999E-8</v>
      </c>
      <c r="X10" s="263" t="s">
        <v>44</v>
      </c>
      <c r="Y10" s="249" t="s">
        <v>43</v>
      </c>
      <c r="Z10" s="290">
        <f>B19</f>
        <v>3.7739999999999999E-8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3.7739999999999999E-8</v>
      </c>
      <c r="BU10" s="263" t="s">
        <v>35</v>
      </c>
      <c r="BV10" s="266" t="s">
        <v>80</v>
      </c>
      <c r="BW10" s="294">
        <f>(BW5/(BW6*BW12))/BW32</f>
        <v>3.6630036630036666E-2</v>
      </c>
      <c r="BX10" s="271" t="s">
        <v>304</v>
      </c>
      <c r="BY10" s="188" t="s">
        <v>16</v>
      </c>
      <c r="BZ10" s="191">
        <f>(BZ33*BZ11)/(1-EXP(-BZ11*BZ33))</f>
        <v>1.0209893435208997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299</v>
      </c>
      <c r="CL10" s="289">
        <f>B293</f>
        <v>27.027027027027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3.7739999999999999E-8</v>
      </c>
      <c r="CY10" s="263" t="s">
        <v>35</v>
      </c>
      <c r="CZ10" s="263" t="s">
        <v>16</v>
      </c>
      <c r="DA10" s="288">
        <f>(DA38*DA11)/(1-EXP(-DA11*DA38))</f>
        <v>1.0242441803942341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1.914E-5</v>
      </c>
      <c r="DL10" s="267"/>
      <c r="DO10" s="267" t="s">
        <v>37</v>
      </c>
      <c r="DP10" s="287">
        <f>B44</f>
        <v>1.914E-5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0.66200000000000003</v>
      </c>
      <c r="C11" s="185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(H5/(H7*H16*H28))/H68</f>
        <v>5.1855452924971688E-5</v>
      </c>
      <c r="I11" s="271" t="s">
        <v>304</v>
      </c>
      <c r="J11" s="188" t="s">
        <v>16</v>
      </c>
      <c r="K11" s="109">
        <f>(K46*K12)/(1-EXP(-K12*K46))</f>
        <v>1.0161199409242025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(BW5/(BW8*(1/BW31)*BW15))/BW32</f>
        <v>1259757.8817830444</v>
      </c>
      <c r="BX11" s="271" t="s">
        <v>304</v>
      </c>
      <c r="BY11" s="266" t="s">
        <v>23</v>
      </c>
      <c r="BZ11" s="109">
        <f>0.693/BZ12</f>
        <v>1.6034243405830633E-3</v>
      </c>
      <c r="CA11" s="88"/>
      <c r="CB11" s="249" t="s">
        <v>456</v>
      </c>
      <c r="CC11" s="287">
        <f>B3</f>
        <v>2.41E-4</v>
      </c>
      <c r="CE11" s="249" t="s">
        <v>454</v>
      </c>
      <c r="CF11" s="287">
        <f>B6</f>
        <v>1.17E-4</v>
      </c>
      <c r="CH11" s="249" t="s">
        <v>460</v>
      </c>
      <c r="CI11" s="287">
        <f>B10</f>
        <v>2.2599999999999999E-4</v>
      </c>
      <c r="CK11" s="266" t="s">
        <v>270</v>
      </c>
      <c r="CL11" s="287">
        <f>B31</f>
        <v>432.2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1.0242441803942341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1.6034243405830633E-3</v>
      </c>
      <c r="DC11" s="262" t="s">
        <v>382</v>
      </c>
      <c r="DD11" s="311">
        <f>B141</f>
        <v>55</v>
      </c>
      <c r="DE11" s="267" t="s">
        <v>254</v>
      </c>
      <c r="DF11" s="267" t="s">
        <v>55</v>
      </c>
      <c r="DG11" s="288">
        <f>DG19+DG20</f>
        <v>3.1394977168949772E-5</v>
      </c>
      <c r="DL11" s="267"/>
      <c r="DO11" s="267" t="s">
        <v>55</v>
      </c>
      <c r="DP11" s="288">
        <f>DP19+DP20</f>
        <v>3.1394977168949772E-5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1.5699999999999999E-5</v>
      </c>
      <c r="C12" s="185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(H5/(H8*(1/H45)*H21))/H68</f>
        <v>558301.78851748572</v>
      </c>
      <c r="I12" s="271" t="s">
        <v>304</v>
      </c>
      <c r="J12" s="266" t="s">
        <v>23</v>
      </c>
      <c r="K12" s="109">
        <f>0.693/K13</f>
        <v>1.6034243405830633E-3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432.2</v>
      </c>
      <c r="CA12" s="88" t="s">
        <v>69</v>
      </c>
      <c r="CB12" s="249" t="s">
        <v>457</v>
      </c>
      <c r="CC12" s="287">
        <f>B4</f>
        <v>0.753</v>
      </c>
      <c r="CE12" s="249" t="s">
        <v>455</v>
      </c>
      <c r="CF12" s="287">
        <f>B7</f>
        <v>0.74299999999999999</v>
      </c>
      <c r="CH12" s="249" t="s">
        <v>461</v>
      </c>
      <c r="CI12" s="287">
        <f>B11</f>
        <v>0.66200000000000003</v>
      </c>
      <c r="CK12" s="249" t="s">
        <v>23</v>
      </c>
      <c r="CL12" s="288">
        <f>693/CL11</f>
        <v>1.6034243405830635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1.6034243405830633E-3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432.2</v>
      </c>
      <c r="DB12" s="249" t="s">
        <v>69</v>
      </c>
      <c r="DC12" s="262" t="s">
        <v>383</v>
      </c>
      <c r="DD12" s="311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0.80900000000000005</v>
      </c>
      <c r="C13" s="186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>
        <f>(H14/((1/H42)*(H50+H51+H52)))</f>
        <v>0.71948721753838007</v>
      </c>
      <c r="I13" s="271" t="s">
        <v>304</v>
      </c>
      <c r="J13" s="266" t="s">
        <v>270</v>
      </c>
      <c r="K13" s="189">
        <f>B31</f>
        <v>432.2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2.41E-4</v>
      </c>
      <c r="BM13" s="249" t="s">
        <v>454</v>
      </c>
      <c r="BN13" s="287">
        <f>B6</f>
        <v>1.17E-4</v>
      </c>
      <c r="BP13" s="249" t="s">
        <v>460</v>
      </c>
      <c r="BQ13" s="287">
        <f>B10</f>
        <v>2.2599999999999999E-4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>
        <f>((BZ5/(BZ6*BZ16*(1/BZ36)))*BZ10)/BZ37</f>
        <v>1.9115891884945853</v>
      </c>
      <c r="CA13" s="271" t="s">
        <v>303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41.689032855159653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432.2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>
        <f>(DA5/(DA6*DA23))/DA50</f>
        <v>4.3290043290043337E-2</v>
      </c>
      <c r="DB13" s="266" t="s">
        <v>304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584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>
        <f>(H5/(H9*(H22+H25)*H43))/H68</f>
        <v>9.157299512373809E-3</v>
      </c>
      <c r="I14" s="271" t="s">
        <v>303</v>
      </c>
      <c r="J14" s="266" t="s">
        <v>80</v>
      </c>
      <c r="K14" s="294">
        <f>((K5/(K6*K19*(1/K49)))*K11)/K54</f>
        <v>3.3725644426439767</v>
      </c>
      <c r="L14" s="271" t="s">
        <v>303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5.8031270640000001E-11</v>
      </c>
      <c r="X14" s="262" t="s">
        <v>64</v>
      </c>
      <c r="Y14" s="262" t="s">
        <v>63</v>
      </c>
      <c r="Z14" s="287">
        <f>B28</f>
        <v>5.8031270640000001E-11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0.753</v>
      </c>
      <c r="BM14" s="249" t="s">
        <v>455</v>
      </c>
      <c r="BN14" s="287">
        <f>B7</f>
        <v>0.74299999999999999</v>
      </c>
      <c r="BP14" s="249" t="s">
        <v>461</v>
      </c>
      <c r="BQ14" s="287">
        <f>B11</f>
        <v>0.66200000000000003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((BZ5/(BZ7*BZ17*(1/BZ9)*BZ35))*BZ10)/BZ37</f>
        <v>304.48401956959771</v>
      </c>
      <c r="CA14" s="271" t="s">
        <v>303</v>
      </c>
      <c r="CB14" s="249" t="s">
        <v>71</v>
      </c>
      <c r="CC14" s="290">
        <f>B23</f>
        <v>2.767285944E-8</v>
      </c>
      <c r="CD14" s="263" t="s">
        <v>72</v>
      </c>
      <c r="CE14" s="249" t="s">
        <v>71</v>
      </c>
      <c r="CF14" s="290">
        <f>B25</f>
        <v>1.3754695536000001E-8</v>
      </c>
      <c r="CG14" s="263" t="s">
        <v>72</v>
      </c>
      <c r="CH14" s="249" t="s">
        <v>71</v>
      </c>
      <c r="CI14" s="290">
        <f>B27</f>
        <v>2.767285944E-8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((CU5/(CU6*CU24*(1/CU47)))*CU11)/CU48</f>
        <v>2.2663528613500508</v>
      </c>
      <c r="CV14" s="271" t="s">
        <v>303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(DA5/(DA7*DA24*DA46))/DA50</f>
        <v>3.4570301949981135E-5</v>
      </c>
      <c r="DB14" s="266" t="s">
        <v>304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4</v>
      </c>
      <c r="HF14" s="249" t="s">
        <v>19</v>
      </c>
    </row>
    <row r="15" spans="1:214" x14ac:dyDescent="0.2">
      <c r="A15" s="585"/>
      <c r="B15" s="586"/>
      <c r="C15" s="5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((K5/(K7*K20*(1/K10)*K48))*K11)/K54</f>
        <v>35.812854349472282</v>
      </c>
      <c r="L15" s="271" t="s">
        <v>303</v>
      </c>
      <c r="M15" s="249" t="s">
        <v>448</v>
      </c>
      <c r="N15" s="290">
        <f>B23</f>
        <v>2.767285944E-8</v>
      </c>
      <c r="O15" s="263" t="s">
        <v>446</v>
      </c>
      <c r="P15" s="249" t="s">
        <v>449</v>
      </c>
      <c r="Q15" s="290">
        <f>B25</f>
        <v>1.3754695536000001E-8</v>
      </c>
      <c r="R15" s="263" t="s">
        <v>446</v>
      </c>
      <c r="S15" s="249" t="s">
        <v>453</v>
      </c>
      <c r="T15" s="290">
        <f>B27</f>
        <v>2.767285944E-8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2.767285944E-8</v>
      </c>
      <c r="AK15" s="263" t="s">
        <v>72</v>
      </c>
      <c r="AL15" s="262" t="s">
        <v>449</v>
      </c>
      <c r="AM15" s="290">
        <f>B25</f>
        <v>1.3754695536000001E-8</v>
      </c>
      <c r="AN15" s="263" t="s">
        <v>72</v>
      </c>
      <c r="AO15" s="262" t="s">
        <v>452</v>
      </c>
      <c r="AP15" s="290">
        <f>B27</f>
        <v>2.767285944E-8</v>
      </c>
      <c r="AQ15" s="263" t="s">
        <v>72</v>
      </c>
      <c r="AR15" s="249" t="s">
        <v>448</v>
      </c>
      <c r="AS15" s="290">
        <f>B23</f>
        <v>2.767285944E-8</v>
      </c>
      <c r="AT15" s="263" t="s">
        <v>72</v>
      </c>
      <c r="AU15" s="262" t="s">
        <v>449</v>
      </c>
      <c r="AV15" s="290">
        <f>B25</f>
        <v>1.3754695536000001E-8</v>
      </c>
      <c r="AW15" s="263" t="s">
        <v>72</v>
      </c>
      <c r="AX15" s="262" t="s">
        <v>452</v>
      </c>
      <c r="AY15" s="290">
        <f>B27</f>
        <v>2.767285944E-8</v>
      </c>
      <c r="AZ15" s="263" t="s">
        <v>72</v>
      </c>
      <c r="BA15" s="249" t="s">
        <v>448</v>
      </c>
      <c r="BB15" s="290">
        <f>B23</f>
        <v>2.767285944E-8</v>
      </c>
      <c r="BC15" s="263" t="s">
        <v>72</v>
      </c>
      <c r="BD15" s="262" t="s">
        <v>449</v>
      </c>
      <c r="BE15" s="290">
        <f>B25</f>
        <v>1.3754695536000001E-8</v>
      </c>
      <c r="BF15" s="263" t="s">
        <v>72</v>
      </c>
      <c r="BG15" s="262" t="s">
        <v>452</v>
      </c>
      <c r="BH15" s="290">
        <f>B27</f>
        <v>2.767285944E-8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(((BZ5)/(BZ8*BZ22*(1/BZ34)*BZ25*BZ28*(1/24)*BZ31*BZ32))*BZ10)/BZ37</f>
        <v>33792.970728919761</v>
      </c>
      <c r="CA15" s="271" t="s">
        <v>303</v>
      </c>
      <c r="CB15" s="95" t="s">
        <v>299</v>
      </c>
      <c r="CC15" s="289">
        <f>B293</f>
        <v>27.027027027027</v>
      </c>
      <c r="CE15" s="95" t="s">
        <v>299</v>
      </c>
      <c r="CF15" s="289">
        <f>B293</f>
        <v>27.027027027027</v>
      </c>
      <c r="CH15" s="95" t="s">
        <v>299</v>
      </c>
      <c r="CI15" s="289">
        <f>B293</f>
        <v>27.027027027027</v>
      </c>
      <c r="CT15" s="266" t="s">
        <v>74</v>
      </c>
      <c r="CU15" s="295">
        <f>((CU5/(CU7*CU25*(1/CU10)*CU46))*CU11)/CU48</f>
        <v>24.066127218138153</v>
      </c>
      <c r="CV15" s="271" t="s">
        <v>303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(DA5/(DA8*DA25*(DA47/DA48)))/DA50</f>
        <v>372201.1923449905</v>
      </c>
      <c r="DB15" s="266" t="s">
        <v>304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s="262" customFormat="1" x14ac:dyDescent="0.2">
      <c r="A16" s="585"/>
      <c r="B16" s="586"/>
      <c r="C16" s="5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((K5/(K8*K45*((K40*K44*(1/24))+(K41*K43*(1/24)))*K32*(1/K47)*K34))*K11)/K54</f>
        <v>2.1880328913151774</v>
      </c>
      <c r="L16" s="271" t="s">
        <v>303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((W5)/((W11/W12)*W8*W9*W10*W13))/W20</f>
        <v>3.1113271754983014E-4</v>
      </c>
      <c r="X16" s="88" t="s">
        <v>15</v>
      </c>
      <c r="Y16" s="88" t="s">
        <v>74</v>
      </c>
      <c r="Z16" s="294">
        <f>((Z5)/((Z11/Z12)*Z8*Z9*Z10*Z13))/Z20</f>
        <v>3.1113271754983014E-4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2.41E-4</v>
      </c>
      <c r="AG16" s="305">
        <f>B3</f>
        <v>2.41E-4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2.767285944E-8</v>
      </c>
      <c r="BL16" s="263" t="s">
        <v>72</v>
      </c>
      <c r="BM16" s="262" t="s">
        <v>449</v>
      </c>
      <c r="BN16" s="290">
        <f>B25</f>
        <v>1.3754695536000001E-8</v>
      </c>
      <c r="BO16" s="263" t="s">
        <v>72</v>
      </c>
      <c r="BP16" s="262" t="s">
        <v>452</v>
      </c>
      <c r="BQ16" s="290">
        <f>B27</f>
        <v>2.767285944E-8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C16" s="293"/>
      <c r="CF16" s="293"/>
      <c r="CH16" s="249"/>
      <c r="CI16" s="289"/>
      <c r="CJ16" s="249"/>
      <c r="CL16" s="293"/>
      <c r="CO16" s="293"/>
      <c r="CR16" s="293"/>
      <c r="CT16" s="266" t="s">
        <v>117</v>
      </c>
      <c r="CU16" s="295">
        <f>((CU5*CU44*CU12)/((1-EXP(-CU12*CU44))*CU8*CU31*(1/365)*CU32*((CU38*(1/24)*CU42)+(CU39*(1/24)*CU41))*CU43))/CU48</f>
        <v>2.410188832383986</v>
      </c>
      <c r="CV16" s="271" t="s">
        <v>303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>
        <f>DG2</f>
        <v>5.9957268128198342E-2</v>
      </c>
      <c r="DB16" s="266" t="s">
        <v>304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4.9504394977168943E-2</v>
      </c>
      <c r="DH16" s="262" t="s">
        <v>82</v>
      </c>
      <c r="DJ16" s="293"/>
      <c r="DL16" s="267"/>
      <c r="DM16" s="293"/>
      <c r="DO16" s="267" t="s">
        <v>81</v>
      </c>
      <c r="DP16" s="299">
        <f>DP20+(0.693/DP22)</f>
        <v>4.9504394977168943E-2</v>
      </c>
      <c r="DQ16" s="262" t="s">
        <v>82</v>
      </c>
      <c r="DR16" s="267" t="s">
        <v>400</v>
      </c>
      <c r="DS16" s="297">
        <f>B175</f>
        <v>2</v>
      </c>
      <c r="DT16" s="249"/>
      <c r="DU16" s="267"/>
      <c r="DV16" s="293"/>
      <c r="DY16" s="293"/>
      <c r="EA16" s="267"/>
      <c r="EB16" s="293"/>
      <c r="ED16" s="267" t="s">
        <v>81</v>
      </c>
      <c r="EE16" s="299">
        <f>EE20+(0.693/EE22)</f>
        <v>4.9504394977168943E-2</v>
      </c>
      <c r="EF16" s="262" t="s">
        <v>82</v>
      </c>
      <c r="EG16" s="267" t="s">
        <v>401</v>
      </c>
      <c r="EH16" s="297">
        <f>B176</f>
        <v>2</v>
      </c>
      <c r="EI16" s="249"/>
      <c r="EJ16" s="267"/>
      <c r="EK16" s="293"/>
      <c r="EN16" s="293"/>
      <c r="EP16" s="267"/>
      <c r="EQ16" s="293"/>
      <c r="ES16" s="267" t="s">
        <v>81</v>
      </c>
      <c r="ET16" s="299">
        <f>ET20+(0.693/ET22)</f>
        <v>4.9504394977168943E-2</v>
      </c>
      <c r="EU16" s="262" t="s">
        <v>82</v>
      </c>
      <c r="EV16" s="267" t="s">
        <v>402</v>
      </c>
      <c r="EW16" s="297">
        <f>B177</f>
        <v>2</v>
      </c>
      <c r="EX16" s="249"/>
      <c r="EZ16" s="293"/>
      <c r="FC16" s="293"/>
      <c r="FF16" s="293"/>
      <c r="FH16" s="262" t="s">
        <v>81</v>
      </c>
      <c r="FI16" s="299">
        <f>FI20+(0.693/FI22)</f>
        <v>4.9504394977168943E-2</v>
      </c>
      <c r="FJ16" s="262" t="s">
        <v>82</v>
      </c>
      <c r="FK16" s="267" t="s">
        <v>403</v>
      </c>
      <c r="FL16" s="297">
        <f>B178</f>
        <v>2</v>
      </c>
      <c r="FM16" s="249"/>
      <c r="FO16" s="293"/>
      <c r="FR16" s="293"/>
      <c r="FU16" s="293"/>
      <c r="FX16" s="293"/>
      <c r="FZ16" s="267" t="s">
        <v>404</v>
      </c>
      <c r="GA16" s="297">
        <f>B179</f>
        <v>2</v>
      </c>
      <c r="GB16" s="249"/>
      <c r="GD16" s="293"/>
      <c r="GG16" s="293"/>
      <c r="GJ16" s="293"/>
      <c r="GL16" s="262" t="s">
        <v>81</v>
      </c>
      <c r="GM16" s="299">
        <f>GM20+(0.693/GM22)</f>
        <v>4.9504394977168943E-2</v>
      </c>
      <c r="GN16" s="262" t="s">
        <v>82</v>
      </c>
      <c r="GP16" s="297">
        <v>365</v>
      </c>
      <c r="GQ16" s="249" t="s">
        <v>26</v>
      </c>
      <c r="GS16" s="293"/>
      <c r="GV16" s="293"/>
      <c r="GY16" s="293"/>
      <c r="HA16" s="262" t="s">
        <v>81</v>
      </c>
      <c r="HB16" s="299">
        <f>HB20+(0.693/HB22)</f>
        <v>4.9504394977168943E-2</v>
      </c>
      <c r="HC16" s="262" t="s">
        <v>82</v>
      </c>
      <c r="HE16" s="293"/>
    </row>
    <row r="17" spans="1:214" ht="13.5" thickBot="1" x14ac:dyDescent="0.25">
      <c r="A17" s="587"/>
      <c r="B17" s="588"/>
      <c r="C17" s="588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>
        <f>(K18/(K50+K51))*K11</f>
        <v>3.5785498865731596E-2</v>
      </c>
      <c r="L17" s="271" t="s">
        <v>303</v>
      </c>
      <c r="M17" s="95" t="s">
        <v>299</v>
      </c>
      <c r="N17" s="293">
        <f>B293</f>
        <v>27.027027027027</v>
      </c>
      <c r="O17" s="262"/>
      <c r="P17" s="95" t="s">
        <v>299</v>
      </c>
      <c r="Q17" s="293">
        <f>B293</f>
        <v>27.027027027027</v>
      </c>
      <c r="R17" s="262"/>
      <c r="S17" s="95" t="s">
        <v>299</v>
      </c>
      <c r="T17" s="293">
        <f>B293</f>
        <v>27.027027027027</v>
      </c>
      <c r="U17" s="262"/>
      <c r="V17" s="88" t="s">
        <v>78</v>
      </c>
      <c r="W17" s="296">
        <f>((W5)/((W11/W12)*W8*W9*W14*(1/365)))/W20</f>
        <v>4062.0105981473398</v>
      </c>
      <c r="X17" s="88" t="s">
        <v>15</v>
      </c>
      <c r="Y17" s="88" t="s">
        <v>78</v>
      </c>
      <c r="Z17" s="296">
        <f>((Z5)/((Z11/Z12)*Z8*Z9*Z14*(1/365)))/Z20</f>
        <v>4062.0105981473398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95" t="s">
        <v>299</v>
      </c>
      <c r="AJ17" s="293">
        <f>B293</f>
        <v>27.027027027027</v>
      </c>
      <c r="AK17" s="262"/>
      <c r="AL17" s="95" t="s">
        <v>299</v>
      </c>
      <c r="AM17" s="293">
        <f>B293</f>
        <v>27.027027027027</v>
      </c>
      <c r="AN17" s="262"/>
      <c r="AO17" s="95" t="s">
        <v>299</v>
      </c>
      <c r="AP17" s="293">
        <f>B293</f>
        <v>27.027027027027</v>
      </c>
      <c r="AQ17" s="262"/>
      <c r="AR17" s="95" t="s">
        <v>299</v>
      </c>
      <c r="AS17" s="293">
        <f>B293</f>
        <v>27.027027027027</v>
      </c>
      <c r="AT17" s="262"/>
      <c r="AU17" s="95" t="s">
        <v>299</v>
      </c>
      <c r="AV17" s="293">
        <f>B293</f>
        <v>27.027027027027</v>
      </c>
      <c r="AW17" s="262"/>
      <c r="AX17" s="95" t="s">
        <v>299</v>
      </c>
      <c r="AY17" s="293">
        <f>B293</f>
        <v>27.027027027027</v>
      </c>
      <c r="AZ17" s="262"/>
      <c r="BA17" s="95" t="s">
        <v>299</v>
      </c>
      <c r="BB17" s="293">
        <f>B293</f>
        <v>27.027027027027</v>
      </c>
      <c r="BC17" s="262"/>
      <c r="BD17" s="95" t="s">
        <v>299</v>
      </c>
      <c r="BE17" s="293">
        <f>B293</f>
        <v>27.027027027027</v>
      </c>
      <c r="BF17" s="262"/>
      <c r="BG17" s="95" t="s">
        <v>299</v>
      </c>
      <c r="BH17" s="293">
        <f>B293</f>
        <v>27.027027027027</v>
      </c>
      <c r="BI17" s="262"/>
      <c r="BJ17" s="95" t="s">
        <v>299</v>
      </c>
      <c r="BK17" s="293">
        <f>B293</f>
        <v>27.027027027027</v>
      </c>
      <c r="BL17" s="262"/>
      <c r="BM17" s="95" t="s">
        <v>299</v>
      </c>
      <c r="BN17" s="293">
        <f>B293</f>
        <v>27.027027027027</v>
      </c>
      <c r="BO17" s="262"/>
      <c r="BP17" s="95" t="s">
        <v>299</v>
      </c>
      <c r="BQ17" s="293">
        <f>B293</f>
        <v>27.027027027027</v>
      </c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3.0059680522223071E-3</v>
      </c>
      <c r="CV17" s="271" t="s">
        <v>303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>
        <f>EZ2</f>
        <v>1271.8471544963622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1.6034243405830633E-3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5.8031270640000001E-11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>
        <f>(K5/(K9*(K25+K28)*K39))/K54</f>
        <v>9.157299512373809E-3</v>
      </c>
      <c r="L18" s="271" t="s">
        <v>303</v>
      </c>
      <c r="V18" s="88" t="s">
        <v>74</v>
      </c>
      <c r="W18" s="294">
        <f>((W5*W6*W9)/((W11/W12)*(1-EXP(-W6*W9))*W10*W13*W8*W9))/W20</f>
        <v>3.1238157846414678E-4</v>
      </c>
      <c r="X18" s="88" t="s">
        <v>16</v>
      </c>
      <c r="Y18" s="88" t="s">
        <v>74</v>
      </c>
      <c r="Z18" s="294">
        <f>((Z5*Z6*Z9)/((Z11/Z12)*(1-EXP(-Z6*Z9))*Z10*Z13*Z8*Z9))/Z20</f>
        <v>3.1238157846414678E-4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7.2366802381180353</v>
      </c>
      <c r="CV18" s="271" t="s">
        <v>303</v>
      </c>
      <c r="CW18" s="266" t="s">
        <v>63</v>
      </c>
      <c r="CX18" s="189">
        <f>B28</f>
        <v>5.8031270640000001E-11</v>
      </c>
      <c r="CY18" s="266" t="s">
        <v>64</v>
      </c>
      <c r="CZ18" s="266" t="s">
        <v>258</v>
      </c>
      <c r="DA18" s="295">
        <f>GS2</f>
        <v>787.52145789248436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1.6034243405830633E-3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1.6034243405830633E-3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1.6034243405830633E-3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1.6034243405830633E-3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1.6034243405830633E-3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432.2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3.7739999999999999E-8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((W5*W6*W9)/((W11/W12)*(1-EXP(-W6*W9))*W14*W8*W9*(1/365)))/W20</f>
        <v>4078.3151716731177</v>
      </c>
      <c r="X19" s="88" t="s">
        <v>16</v>
      </c>
      <c r="Y19" s="88" t="s">
        <v>78</v>
      </c>
      <c r="Z19" s="296">
        <f>((Z5*Z6*Z9)/((Z11/Z12)*(1-EXP(-Z6*Z9))*Z14*Z8*Z9*(1/365)))/Z20</f>
        <v>4078.3151716731177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0.753</v>
      </c>
      <c r="AG19" s="305">
        <f>B4</f>
        <v>0.753</v>
      </c>
      <c r="AH19" s="267"/>
      <c r="BS19" s="262" t="s">
        <v>63</v>
      </c>
      <c r="BT19" s="287">
        <f>E18</f>
        <v>5.8031270640000001E-11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((CC22*CC23*CC24)/((1-EXP(-CC24*CC23))*CC27*CC31*(CC26/365)*CC29*(CC30/24)*CC28))/CC32</f>
        <v>715185.30148988345</v>
      </c>
      <c r="CD19" s="404" t="s">
        <v>307</v>
      </c>
      <c r="CE19" s="402" t="s">
        <v>562</v>
      </c>
      <c r="CF19" s="400">
        <f>((CF22*CF23*CF24)/((1-EXP(-CF24*CF23))*CF27*CF31*(CF26/365)*CF29*(CF30/24)*CF28))/CF32</f>
        <v>68577.918423345574</v>
      </c>
      <c r="CG19" s="398" t="s">
        <v>303</v>
      </c>
      <c r="CK19" s="410" t="s">
        <v>510</v>
      </c>
      <c r="CL19" s="400">
        <f>(CL22/(CL23*CL24*CL25*CL26))/CL27</f>
        <v>0.14205554371759371</v>
      </c>
      <c r="CM19" s="404" t="s">
        <v>303</v>
      </c>
      <c r="CN19" s="402" t="s">
        <v>7</v>
      </c>
      <c r="CO19" s="400">
        <f>(CL19/(CO22*((CO27*CO29*CO30*(CO23+CO24))+(CO28*CO29))))*CL30</f>
        <v>9475.2864018398595</v>
      </c>
      <c r="CP19" s="412" t="s">
        <v>303</v>
      </c>
      <c r="CQ19" s="402" t="s">
        <v>6</v>
      </c>
      <c r="CR19" s="400">
        <f>CL19/(CR22*CR23*(1/CR24))</f>
        <v>284111.08743518742</v>
      </c>
      <c r="CS19" s="415" t="s">
        <v>304</v>
      </c>
      <c r="CT19" s="266" t="s">
        <v>258</v>
      </c>
      <c r="CU19" s="295">
        <f>GV2</f>
        <v>5.9513186496608199</v>
      </c>
      <c r="CV19" s="271" t="s">
        <v>303</v>
      </c>
      <c r="CW19" s="266" t="s">
        <v>255</v>
      </c>
      <c r="CX19" s="304">
        <f>B173</f>
        <v>2</v>
      </c>
      <c r="CY19" s="88"/>
      <c r="CZ19" s="266" t="s">
        <v>184</v>
      </c>
      <c r="DA19" s="295">
        <f>EK2</f>
        <v>57.593078694174899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432.2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432.2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432.2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432.2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432.2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299</v>
      </c>
      <c r="GP19" s="344">
        <f>B293</f>
        <v>27.027027027027</v>
      </c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1.036E-10</v>
      </c>
      <c r="C20" s="263" t="s">
        <v>35</v>
      </c>
      <c r="D20" s="88" t="s">
        <v>74</v>
      </c>
      <c r="E20" s="294">
        <f>((E5)/(E10*E11))/E26</f>
        <v>1.6204829039053654E-5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299</v>
      </c>
      <c r="W20" s="289">
        <f>B293</f>
        <v>27.027027027027</v>
      </c>
      <c r="Y20" s="95" t="s">
        <v>299</v>
      </c>
      <c r="Z20" s="289">
        <f>B293</f>
        <v>27.027027027027</v>
      </c>
      <c r="AB20" s="262" t="s">
        <v>71</v>
      </c>
      <c r="AC20" s="287">
        <f>B23</f>
        <v>2.767285944E-8</v>
      </c>
      <c r="AD20" s="287">
        <f>B23</f>
        <v>2.767285944E-8</v>
      </c>
      <c r="AE20" s="287">
        <f>B23</f>
        <v>2.767285944E-8</v>
      </c>
      <c r="AF20" s="287">
        <f>B23</f>
        <v>2.767285944E-8</v>
      </c>
      <c r="AG20" s="287">
        <f>B23</f>
        <v>2.767285944E-8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0.90811961154192145</v>
      </c>
      <c r="CV20" s="271" t="s">
        <v>303</v>
      </c>
      <c r="CW20" s="88" t="s">
        <v>74</v>
      </c>
      <c r="CX20" s="294">
        <f>((CX5)/((CX14/CX15)*CX10*CX11))/CX26</f>
        <v>1.7285150974990567E-5</v>
      </c>
      <c r="CY20" s="88" t="s">
        <v>15</v>
      </c>
      <c r="CZ20" s="266" t="s">
        <v>493</v>
      </c>
      <c r="DA20" s="295">
        <f>DV2</f>
        <v>40683.309600349479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4.3949771689497717E-6</v>
      </c>
      <c r="DH20" s="249" t="s">
        <v>82</v>
      </c>
      <c r="DL20" s="267"/>
      <c r="DO20" s="267" t="s">
        <v>90</v>
      </c>
      <c r="DP20" s="288">
        <f>0.693/B35</f>
        <v>4.3949771689497717E-6</v>
      </c>
      <c r="DQ20" s="249" t="s">
        <v>82</v>
      </c>
      <c r="DR20" s="95" t="s">
        <v>299</v>
      </c>
      <c r="DS20" s="289">
        <f>B293</f>
        <v>27.027027027027</v>
      </c>
      <c r="DU20" s="267"/>
      <c r="EA20" s="267"/>
      <c r="EB20" s="307"/>
      <c r="EC20" s="263"/>
      <c r="ED20" s="267" t="s">
        <v>90</v>
      </c>
      <c r="EE20" s="299">
        <f>0.693/B35</f>
        <v>4.3949771689497717E-6</v>
      </c>
      <c r="EF20" s="263" t="s">
        <v>82</v>
      </c>
      <c r="EG20" s="95" t="s">
        <v>299</v>
      </c>
      <c r="EH20" s="345">
        <f>B293</f>
        <v>27.027027027027</v>
      </c>
      <c r="EJ20" s="267"/>
      <c r="EP20" s="267"/>
      <c r="EQ20" s="307"/>
      <c r="ER20" s="263"/>
      <c r="ES20" s="267" t="s">
        <v>90</v>
      </c>
      <c r="ET20" s="299">
        <f>0.693/B35</f>
        <v>4.3949771689497717E-6</v>
      </c>
      <c r="EU20" s="263" t="s">
        <v>82</v>
      </c>
      <c r="EV20" s="95" t="s">
        <v>299</v>
      </c>
      <c r="EW20" s="345">
        <f>B293</f>
        <v>27.027027027027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4.3949771689497717E-6</v>
      </c>
      <c r="FJ20" s="263" t="s">
        <v>82</v>
      </c>
      <c r="FK20" s="95" t="s">
        <v>299</v>
      </c>
      <c r="FL20" s="345">
        <f>B293</f>
        <v>27.027027027027</v>
      </c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299</v>
      </c>
      <c r="GA20" s="344">
        <f>B293</f>
        <v>27.027027027027</v>
      </c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4.3949771689497717E-6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4.3949771689497717E-6</v>
      </c>
      <c r="HC20" s="263" t="s">
        <v>82</v>
      </c>
    </row>
    <row r="21" spans="1:214" ht="15" thickTop="1" thickBot="1" x14ac:dyDescent="0.25">
      <c r="A21" s="262" t="s">
        <v>316</v>
      </c>
      <c r="B21" s="315">
        <v>1.8425999999999999E-10</v>
      </c>
      <c r="C21" s="262" t="s">
        <v>35</v>
      </c>
      <c r="D21" s="88" t="s">
        <v>78</v>
      </c>
      <c r="E21" s="295">
        <f>((E5)/((E14/E15)*E8*E9*E18*(1/365)*E19))/E26</f>
        <v>211.56305198684063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((N24*N25*N26)/((1-EXP(-N26*N25))*N29*N34*(N28/365)*N32*(((N33/24)*N31)+((N35/24)*N30))))/N36</f>
        <v>1.9358374191426935</v>
      </c>
      <c r="O21" s="637" t="s">
        <v>307</v>
      </c>
      <c r="P21" s="639" t="s">
        <v>516</v>
      </c>
      <c r="Q21" s="647">
        <f>((Q24*Q25*Q26)/((1-EXP(-Q26*Q25))*Q29*Q34*(Q28/365)*Q32*(((Q33/24)*Q31)+((Q35/24)*Q30))))/Q36</f>
        <v>1.4027807385091984</v>
      </c>
      <c r="R21" s="643" t="s">
        <v>303</v>
      </c>
      <c r="AB21" s="262" t="s">
        <v>43</v>
      </c>
      <c r="AC21" s="290">
        <f>B19</f>
        <v>3.7739999999999999E-8</v>
      </c>
      <c r="AD21" s="290">
        <f>B19</f>
        <v>3.7739999999999999E-8</v>
      </c>
      <c r="AE21" s="290">
        <f>B19</f>
        <v>3.7739999999999999E-8</v>
      </c>
      <c r="AF21" s="290">
        <f>B19</f>
        <v>3.7739999999999999E-8</v>
      </c>
      <c r="AG21" s="290">
        <f>B19</f>
        <v>3.7739999999999999E-8</v>
      </c>
      <c r="AH21" s="263" t="s">
        <v>35</v>
      </c>
      <c r="AI21" s="381" t="s">
        <v>516</v>
      </c>
      <c r="AJ21" s="387">
        <f>((AJ24*AJ25*AJ26)/((1-EXP(-AJ26*AJ25))*AJ34*(AJ28/365)*AJ29*(AJ35/24)*AJ30*AJ32))/AJ36</f>
        <v>31.670666255024059</v>
      </c>
      <c r="AK21" s="629" t="s">
        <v>307</v>
      </c>
      <c r="AL21" s="383" t="s">
        <v>516</v>
      </c>
      <c r="AM21" s="387">
        <f>((AM24*AM25*AM26)/((1-EXP(-AM26*AM25))*AM34*(AM28/365)*AM29*(AM35/24)*AM30*AM32))/AM36</f>
        <v>22.949758155814536</v>
      </c>
      <c r="AN21" s="635" t="s">
        <v>303</v>
      </c>
      <c r="AR21" s="381" t="s">
        <v>516</v>
      </c>
      <c r="AS21" s="387">
        <f>((AS24*AS25*AS26)/((1-EXP(-AS26*AS25))*AS34*(AS28/365)*AS29*(AS33/24)*AS31*AS32))/AS36</f>
        <v>12.668266502009624</v>
      </c>
      <c r="AT21" s="391" t="s">
        <v>307</v>
      </c>
      <c r="AU21" s="383" t="s">
        <v>516</v>
      </c>
      <c r="AV21" s="387">
        <f>((AV24*AV25*AV26)/((1-EXP(-AV26*AV25))*AV34*(AV28/365)*AV29*(AV33/24)*AV31*AV32))/AV36</f>
        <v>9.1799032623258139</v>
      </c>
      <c r="AW21" s="385" t="s">
        <v>303</v>
      </c>
      <c r="BA21" s="381" t="s">
        <v>516</v>
      </c>
      <c r="BB21" s="387">
        <f>((BB24*BB25*BB26)/((1-EXP(-BB26*BB25))*BB34*(BB28/365)*BB29*((BB33+BB35)/24)*BB31*BB32))/BB36</f>
        <v>12.668266502009624</v>
      </c>
      <c r="BC21" s="391" t="s">
        <v>307</v>
      </c>
      <c r="BD21" s="383" t="s">
        <v>516</v>
      </c>
      <c r="BE21" s="387">
        <f>((BE24*BE25*BE26)/((1-EXP(-BE26*BE25))*BE34*(BE28/365)*BE29*((BE33+BE35)/24)*BE31*BE32))/BE36</f>
        <v>9.1799032623258139</v>
      </c>
      <c r="BF21" s="385" t="s">
        <v>303</v>
      </c>
      <c r="BJ21" s="381" t="s">
        <v>561</v>
      </c>
      <c r="BK21" s="389">
        <f>((BK24*BK25*BK26)/((1-EXP(-BK26*BK25))*BK31*BK35*(BK28/365)*BK33*(BK34/24)*BK32))/BK36</f>
        <v>997399.20338938723</v>
      </c>
      <c r="BL21" s="391" t="s">
        <v>307</v>
      </c>
      <c r="BM21" s="383" t="s">
        <v>562</v>
      </c>
      <c r="BN21" s="389">
        <f>((BN24*BN25*BN26)/((1-EXP(-BN26*BN25))*BN31*BN35*(BN28/365)*BN33*(BN34/24)*BN32))/BN36</f>
        <v>95638.93589962821</v>
      </c>
      <c r="BO21" s="385" t="s">
        <v>303</v>
      </c>
      <c r="BS21" s="88" t="s">
        <v>74</v>
      </c>
      <c r="BT21" s="294">
        <f>((BT5)/(BT10*BT11))/BT29</f>
        <v>2.1938845468257257E-4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700.14511052939565</v>
      </c>
      <c r="CV21" s="271" t="s">
        <v>303</v>
      </c>
      <c r="CW21" s="88" t="s">
        <v>78</v>
      </c>
      <c r="CX21" s="296">
        <f>((CX5)/((CX14/CX15)*CX8*CX9*CX18*(1/365)*CX19))/CX26</f>
        <v>70.521017328946883</v>
      </c>
      <c r="CY21" s="88" t="s">
        <v>15</v>
      </c>
      <c r="CZ21" s="266" t="s">
        <v>492</v>
      </c>
      <c r="DA21" s="295">
        <f>GD2</f>
        <v>635.92357724818112</v>
      </c>
      <c r="DB21" s="88"/>
      <c r="DC21" s="249" t="s">
        <v>23</v>
      </c>
      <c r="DD21" s="287">
        <f>0.693/DD22</f>
        <v>1.6034243405830633E-3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9.1019999999999999E-11</v>
      </c>
      <c r="C22" s="262" t="s">
        <v>35</v>
      </c>
      <c r="D22" s="88" t="s">
        <v>74</v>
      </c>
      <c r="E22" s="295">
        <f>((E5*E9*E6)/((1-EXP(-E6*E9))*E10*E11))/E26</f>
        <v>1.6466049925850002E-5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((BT5)/((BT14/24)*(BT8/365)*BT9*BT19*BT20))/BT29</f>
        <v>2864.2382422833812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5.0000000000000001E-4</v>
      </c>
      <c r="CQ22" s="262" t="s">
        <v>265</v>
      </c>
      <c r="CR22" s="287">
        <f>CO22</f>
        <v>5.0000000000000001E-4</v>
      </c>
      <c r="CT22" s="266" t="s">
        <v>492</v>
      </c>
      <c r="CU22" s="295">
        <f>GG2</f>
        <v>3.6183401190590176</v>
      </c>
      <c r="CV22" s="271" t="s">
        <v>303</v>
      </c>
      <c r="CW22" s="88" t="s">
        <v>74</v>
      </c>
      <c r="CX22" s="294">
        <f>((CX5*CX9*CX6)/((CX14/CX15)*(1-EXP(-CX6*CX9))*CX10*CX11))/CX26</f>
        <v>1.770421529336981E-5</v>
      </c>
      <c r="CY22" s="88" t="s">
        <v>16</v>
      </c>
      <c r="CZ22" s="266" t="s">
        <v>183</v>
      </c>
      <c r="DA22" s="296">
        <f>FO2</f>
        <v>6.3592357724818124E-3</v>
      </c>
      <c r="DB22" s="88"/>
      <c r="DC22" s="266" t="s">
        <v>270</v>
      </c>
      <c r="DD22" s="287">
        <f>B31</f>
        <v>432.2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2.767285944E-8</v>
      </c>
      <c r="C23" s="262" t="s">
        <v>95</v>
      </c>
      <c r="D23" s="88" t="s">
        <v>78</v>
      </c>
      <c r="E23" s="296">
        <f>((E5*E9*E6)/((E14/E15)*E8*E9*(1-EXP(-E6*E9))*E18*(1/365)*E19))/E26</f>
        <v>214.97343588661249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((BT5*BT28*BT6)/((1-EXP(-BT6*BT28))*BT10*BT11))/BT29</f>
        <v>2.2399327432242434E-4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1.3357000000000001E-10</v>
      </c>
      <c r="CM23" s="266" t="s">
        <v>13</v>
      </c>
      <c r="CN23" s="249" t="s">
        <v>21</v>
      </c>
      <c r="CO23" s="290">
        <f>CO25</f>
        <v>2.1999999999999999E-5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2.6053640926877312E-5</v>
      </c>
      <c r="CV23" s="271" t="s">
        <v>303</v>
      </c>
      <c r="CW23" s="88" t="s">
        <v>78</v>
      </c>
      <c r="CX23" s="296">
        <f>((CX5*CX9*CX6)/((CX14/CX15)*CX8*CX9*(1-EXP(-CX6*CX9))*CX18*(1/365)*CX19))/CX26</f>
        <v>72.230741594654788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C23" s="95" t="s">
        <v>299</v>
      </c>
      <c r="DD23" s="345">
        <f>B293</f>
        <v>27.027027027027</v>
      </c>
      <c r="DF23" s="262" t="s">
        <v>17</v>
      </c>
      <c r="DG23" s="287">
        <f>B35</f>
        <v>157680</v>
      </c>
      <c r="DH23" s="249" t="s">
        <v>257</v>
      </c>
      <c r="DO23" s="262" t="s">
        <v>20</v>
      </c>
      <c r="DP23" s="305">
        <f>DP25</f>
        <v>1.914E-5</v>
      </c>
      <c r="EA23" s="262"/>
      <c r="EB23" s="293"/>
      <c r="EC23" s="263"/>
      <c r="ED23" s="262" t="s">
        <v>20</v>
      </c>
      <c r="EE23" s="305">
        <f>EE25</f>
        <v>2.1999999999999999E-5</v>
      </c>
      <c r="EF23" s="263"/>
      <c r="EP23" s="262"/>
      <c r="EQ23" s="293"/>
      <c r="ER23" s="263"/>
      <c r="ES23" s="262" t="s">
        <v>20</v>
      </c>
      <c r="ET23" s="305">
        <f>ET25</f>
        <v>2.1999999999999999E-5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1.914E-5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1.914E-5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1.914E-5</v>
      </c>
      <c r="HC23" s="263"/>
      <c r="HD23" s="219" t="s">
        <v>574</v>
      </c>
      <c r="HE23" s="348">
        <f>(HE25*HE33*HE38*HE32*10^-3*HE31*HE27)/(HE30*HE41*(1-EXP(-HE27*HE31)))</f>
        <v>7.948802870927885E-3</v>
      </c>
      <c r="HF23" s="252" t="s">
        <v>303</v>
      </c>
    </row>
    <row r="24" spans="1:214" ht="14.25" thickTop="1" thickBot="1" x14ac:dyDescent="0.25">
      <c r="A24" s="262" t="s">
        <v>450</v>
      </c>
      <c r="B24" s="315">
        <v>1.86820992E-8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((BT5*BT28*BT6)/((BT14/24)*(BT8/365)*BT9*(1-EXP(-BT6*BT28))*BT19*BT20))/BT29</f>
        <v>2924.3567226763648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1.6034243405830633E-3</v>
      </c>
      <c r="CE24" s="262" t="s">
        <v>23</v>
      </c>
      <c r="CF24" s="288">
        <f>0.693/CF25</f>
        <v>1.6034243405830633E-3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8.530229248076977E-4</v>
      </c>
      <c r="HF24" s="75" t="s">
        <v>303</v>
      </c>
    </row>
    <row r="25" spans="1:214" ht="13.5" thickTop="1" x14ac:dyDescent="0.2">
      <c r="A25" s="262" t="s">
        <v>449</v>
      </c>
      <c r="B25" s="315">
        <v>1.3754695536000001E-8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3.1238155453704972E-4</v>
      </c>
      <c r="X25" s="254" t="s">
        <v>302</v>
      </c>
      <c r="Y25" s="321" t="s">
        <v>16</v>
      </c>
      <c r="Z25" s="358">
        <f>1/((1/Z38)+(1/Z39))</f>
        <v>3.1138210422425333E-4</v>
      </c>
      <c r="AA25" s="255" t="s">
        <v>302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432.2</v>
      </c>
      <c r="CD25" s="249" t="s">
        <v>69</v>
      </c>
      <c r="CE25" s="266" t="s">
        <v>270</v>
      </c>
      <c r="CF25" s="287">
        <f>B31</f>
        <v>432.2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2.1999999999999999E-5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1.914E-5</v>
      </c>
      <c r="EA25" s="262"/>
      <c r="EC25" s="263"/>
      <c r="ED25" s="262" t="s">
        <v>38</v>
      </c>
      <c r="EE25" s="287">
        <f>B45</f>
        <v>2.1999999999999999E-5</v>
      </c>
      <c r="EF25" s="263"/>
      <c r="EP25" s="262"/>
      <c r="ER25" s="263"/>
      <c r="ES25" s="263" t="s">
        <v>37</v>
      </c>
      <c r="ET25" s="287">
        <f>B45</f>
        <v>2.1999999999999999E-5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1.914E-5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1.914E-5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1.914E-5</v>
      </c>
      <c r="HC25" s="263"/>
      <c r="HD25" s="265" t="s">
        <v>22</v>
      </c>
      <c r="HE25" s="305">
        <f>B47</f>
        <v>0.55500055500055501</v>
      </c>
      <c r="HF25" s="262" t="s">
        <v>304</v>
      </c>
    </row>
    <row r="26" spans="1:214" ht="13.5" thickBot="1" x14ac:dyDescent="0.25">
      <c r="A26" s="262" t="s">
        <v>451</v>
      </c>
      <c r="B26" s="315">
        <v>2.5781296896000001E-8</v>
      </c>
      <c r="C26" s="262" t="s">
        <v>95</v>
      </c>
      <c r="D26" s="95" t="s">
        <v>299</v>
      </c>
      <c r="E26" s="289">
        <f>B293</f>
        <v>27.027027027027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1.6034243405830633E-3</v>
      </c>
      <c r="P26" s="262" t="s">
        <v>23</v>
      </c>
      <c r="Q26" s="288">
        <f>0.693/Q27</f>
        <v>1.6034243405830633E-3</v>
      </c>
      <c r="V26" s="320" t="s">
        <v>15</v>
      </c>
      <c r="W26" s="359">
        <f>1/((1/W38)+(1/W39))</f>
        <v>3.111326937183905E-4</v>
      </c>
      <c r="X26" s="258" t="s">
        <v>302</v>
      </c>
      <c r="Y26" s="322" t="s">
        <v>15</v>
      </c>
      <c r="Z26" s="360">
        <f>1/((1/Z40)+(1/Z41))</f>
        <v>3.111326937183905E-4</v>
      </c>
      <c r="AA26" s="259" t="s">
        <v>302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1.6034243405830633E-3</v>
      </c>
      <c r="AL26" s="262" t="s">
        <v>23</v>
      </c>
      <c r="AM26" s="288">
        <f>0.693/AM27</f>
        <v>1.6034243405830633E-3</v>
      </c>
      <c r="AR26" s="262" t="s">
        <v>23</v>
      </c>
      <c r="AS26" s="288">
        <f>0.693/AS27</f>
        <v>1.6034243405830633E-3</v>
      </c>
      <c r="AU26" s="262" t="s">
        <v>23</v>
      </c>
      <c r="AV26" s="288">
        <f>0.693/AV27</f>
        <v>1.6034243405830633E-3</v>
      </c>
      <c r="BA26" s="262" t="s">
        <v>23</v>
      </c>
      <c r="BB26" s="288">
        <f>0.693/BB27</f>
        <v>1.6034243405830633E-3</v>
      </c>
      <c r="BD26" s="262" t="s">
        <v>23</v>
      </c>
      <c r="BE26" s="288">
        <f>0.693/BE27</f>
        <v>1.6034243405830633E-3</v>
      </c>
      <c r="BJ26" s="262" t="s">
        <v>23</v>
      </c>
      <c r="BK26" s="288">
        <f>0.693/BK27</f>
        <v>1.6034243405830633E-3</v>
      </c>
      <c r="BM26" s="262" t="s">
        <v>23</v>
      </c>
      <c r="BN26" s="288">
        <f>0.693/BN27</f>
        <v>1.6034243405830633E-3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95" t="s">
        <v>299</v>
      </c>
      <c r="CX26" s="346">
        <f>B293</f>
        <v>27.027027027027</v>
      </c>
      <c r="CY26" s="88"/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2.1999999999999999E-5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5.955968519838313E-2</v>
      </c>
      <c r="HF26" s="262" t="s">
        <v>304</v>
      </c>
    </row>
    <row r="27" spans="1:214" ht="12.75" customHeight="1" thickTop="1" x14ac:dyDescent="0.2">
      <c r="A27" s="262" t="s">
        <v>452</v>
      </c>
      <c r="B27" s="315">
        <v>2.767285944E-8</v>
      </c>
      <c r="C27" s="262" t="s">
        <v>95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432.2</v>
      </c>
      <c r="O27" s="249" t="s">
        <v>69</v>
      </c>
      <c r="P27" s="266" t="s">
        <v>270</v>
      </c>
      <c r="Q27" s="287">
        <f>B31</f>
        <v>432.2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1.6034243405830633E-3</v>
      </c>
      <c r="AD27" s="288">
        <f>0.693/AD28</f>
        <v>1.6034243405830633E-3</v>
      </c>
      <c r="AE27" s="288">
        <f>0.693/AE28</f>
        <v>1.6034243405830633E-3</v>
      </c>
      <c r="AF27" s="288">
        <f>0.693/AF28</f>
        <v>1.6034243405830633E-3</v>
      </c>
      <c r="AG27" s="288">
        <f>0.693/AG28</f>
        <v>1.6034243405830633E-3</v>
      </c>
      <c r="AI27" s="266" t="s">
        <v>270</v>
      </c>
      <c r="AJ27" s="287">
        <f>B31</f>
        <v>432.2</v>
      </c>
      <c r="AK27" s="249" t="s">
        <v>69</v>
      </c>
      <c r="AL27" s="266" t="s">
        <v>270</v>
      </c>
      <c r="AM27" s="287">
        <f>B31</f>
        <v>432.2</v>
      </c>
      <c r="AN27" s="249" t="s">
        <v>69</v>
      </c>
      <c r="AR27" s="266" t="s">
        <v>270</v>
      </c>
      <c r="AS27" s="287">
        <f>B31</f>
        <v>432.2</v>
      </c>
      <c r="AT27" s="249" t="s">
        <v>69</v>
      </c>
      <c r="AU27" s="266" t="s">
        <v>270</v>
      </c>
      <c r="AV27" s="287">
        <f>B31</f>
        <v>432.2</v>
      </c>
      <c r="AW27" s="249" t="s">
        <v>69</v>
      </c>
      <c r="BA27" s="266" t="s">
        <v>270</v>
      </c>
      <c r="BB27" s="287">
        <f>B31</f>
        <v>432.2</v>
      </c>
      <c r="BC27" s="249" t="s">
        <v>69</v>
      </c>
      <c r="BD27" s="266" t="s">
        <v>270</v>
      </c>
      <c r="BE27" s="287">
        <f>B31</f>
        <v>432.2</v>
      </c>
      <c r="BF27" s="249" t="s">
        <v>69</v>
      </c>
      <c r="BJ27" s="266" t="s">
        <v>270</v>
      </c>
      <c r="BK27" s="287">
        <f>B31</f>
        <v>432.2</v>
      </c>
      <c r="BL27" s="249" t="s">
        <v>69</v>
      </c>
      <c r="BM27" s="266" t="s">
        <v>270</v>
      </c>
      <c r="BN27" s="287">
        <f>B31</f>
        <v>432.2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299</v>
      </c>
      <c r="CL27" s="289">
        <f>B293</f>
        <v>27.027027027027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4.2E-7</v>
      </c>
      <c r="EP27" s="262"/>
      <c r="EQ27" s="310"/>
      <c r="ES27" s="262" t="s">
        <v>275</v>
      </c>
      <c r="ET27" s="310">
        <f>B38</f>
        <v>5.0000000000000001E-4</v>
      </c>
      <c r="FH27" s="262" t="s">
        <v>201</v>
      </c>
      <c r="FI27" s="310">
        <f>B40</f>
        <v>3.0000000000000001E-3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6.0000000000000001E-3</v>
      </c>
      <c r="GS27" s="328"/>
      <c r="GT27" s="264"/>
      <c r="GU27" s="264"/>
      <c r="GV27" s="328"/>
      <c r="GW27" s="264"/>
      <c r="HA27" s="262" t="s">
        <v>277</v>
      </c>
      <c r="HB27" s="310">
        <f>B41</f>
        <v>1.7000000000000001E-4</v>
      </c>
      <c r="HD27" s="262" t="s">
        <v>23</v>
      </c>
      <c r="HE27" s="288">
        <f>0.693/HE28</f>
        <v>1.6034243405830633E-3</v>
      </c>
    </row>
    <row r="28" spans="1:214" ht="15.75" thickBot="1" x14ac:dyDescent="0.25">
      <c r="A28" s="262" t="s">
        <v>63</v>
      </c>
      <c r="B28" s="315">
        <v>5.8031270640000001E-11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1.6034243405830633E-3</v>
      </c>
      <c r="Y28" s="262" t="s">
        <v>23</v>
      </c>
      <c r="Z28" s="288">
        <f>0.693/Z29</f>
        <v>1.6034243405830633E-3</v>
      </c>
      <c r="AB28" s="266" t="s">
        <v>270</v>
      </c>
      <c r="AC28" s="287">
        <f>B31</f>
        <v>432.2</v>
      </c>
      <c r="AD28" s="287">
        <f>B31</f>
        <v>432.2</v>
      </c>
      <c r="AE28" s="287">
        <f>B31</f>
        <v>432.2</v>
      </c>
      <c r="AF28" s="287">
        <f>B31</f>
        <v>432.2</v>
      </c>
      <c r="AG28" s="287">
        <f>B31</f>
        <v>432.2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1.5699999999999999E-5</v>
      </c>
      <c r="CE28" s="249" t="s">
        <v>458</v>
      </c>
      <c r="CF28" s="287">
        <f>B8</f>
        <v>1.35E-4</v>
      </c>
      <c r="CK28" s="266" t="s">
        <v>270</v>
      </c>
      <c r="CL28" s="287">
        <f>B31</f>
        <v>432.2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432.2</v>
      </c>
      <c r="HF28" s="249" t="s">
        <v>69</v>
      </c>
    </row>
    <row r="29" spans="1:214" ht="18.75" thickTop="1" x14ac:dyDescent="0.2">
      <c r="A29" s="266" t="s">
        <v>161</v>
      </c>
      <c r="B29" s="315">
        <v>1.319423256E-13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432.2</v>
      </c>
      <c r="X29" s="249" t="s">
        <v>69</v>
      </c>
      <c r="Y29" s="266" t="s">
        <v>270</v>
      </c>
      <c r="Z29" s="287">
        <f>B31</f>
        <v>432.2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95" t="s">
        <v>299</v>
      </c>
      <c r="BT29" s="313">
        <f>B293</f>
        <v>27.027027027027</v>
      </c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0.80900000000000005</v>
      </c>
      <c r="CE29" s="249" t="s">
        <v>459</v>
      </c>
      <c r="CF29" s="287">
        <f>B9</f>
        <v>0.71099999999999997</v>
      </c>
      <c r="CK29" s="249" t="s">
        <v>23</v>
      </c>
      <c r="CL29" s="288">
        <f>693/CL28</f>
        <v>1.6034243405830635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1.3357000000000001E-10</v>
      </c>
      <c r="C30" s="267" t="s">
        <v>35</v>
      </c>
      <c r="D30" s="203" t="s">
        <v>510</v>
      </c>
      <c r="E30" s="204">
        <f>E37</f>
        <v>4.5786497561869036E-3</v>
      </c>
      <c r="F30" s="184" t="s">
        <v>303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354">
        <f>(AC26*AC27)/(1-EXP(-AC27*AC26))</f>
        <v>1.0040139170324209</v>
      </c>
      <c r="AD30" s="354">
        <f>(AD26*AD27)/(1-EXP(-AD27*AD26))</f>
        <v>1.0040139170324209</v>
      </c>
      <c r="AE30" s="354">
        <f>(AE26*AE27)/(1-EXP(-AE27*AE26))</f>
        <v>1.0040139170324209</v>
      </c>
      <c r="AF30" s="354">
        <f>(AF26*AF27)/(1-EXP(-AF27*AF26))</f>
        <v>1.0040139170324209</v>
      </c>
      <c r="AG30" s="354">
        <f>(AG26*AG27)/(1-EXP(-AG27*AG26))</f>
        <v>1.0040139170324209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41.689032855159653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315">
        <v>432.2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2.41E-4</v>
      </c>
      <c r="CB31" s="249" t="s">
        <v>71</v>
      </c>
      <c r="CC31" s="290">
        <f>B24</f>
        <v>1.86820992E-8</v>
      </c>
      <c r="CD31" s="262" t="s">
        <v>282</v>
      </c>
      <c r="CE31" s="249" t="s">
        <v>71</v>
      </c>
      <c r="CF31" s="290">
        <f>B26</f>
        <v>2.5781296896000001E-8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3.7739999999999999E-8</v>
      </c>
      <c r="X32" s="263" t="s">
        <v>44</v>
      </c>
      <c r="Y32" s="249" t="s">
        <v>43</v>
      </c>
      <c r="Z32" s="290">
        <f>B19</f>
        <v>3.7739999999999999E-8</v>
      </c>
      <c r="AA32" s="263" t="s">
        <v>44</v>
      </c>
      <c r="AB32" s="266" t="s">
        <v>80</v>
      </c>
      <c r="AC32" s="294">
        <f>((AC5/(AC9*AC14*AC8*AC11*(1/AC6)))*AC30)/AC38</f>
        <v>26.984181066516747</v>
      </c>
      <c r="AD32" s="294">
        <f>((AD5/(AD9*AD14*AD8*AD11*(1/AD6)))*AD30)/AD38</f>
        <v>26.984181066516747</v>
      </c>
      <c r="AE32" s="294">
        <f>((AE5/(AE9*AE14*AE8*AE11*(1/AE6)))*AE30)/AE38</f>
        <v>26.984181066516747</v>
      </c>
      <c r="AF32" s="294">
        <f>((AF5/(AF9*AF14*AF8*AF11*(1/AF6)))*AF30)/AF38</f>
        <v>26.984181066516747</v>
      </c>
      <c r="AG32" s="294">
        <f>((AG5/(AG9*AG14*AG8*AG11*(1/AG6)))*AG30)/AG38</f>
        <v>26.984181066516747</v>
      </c>
      <c r="AH32" s="266" t="s">
        <v>303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1.5699999999999999E-5</v>
      </c>
      <c r="BM32" s="249" t="s">
        <v>458</v>
      </c>
      <c r="BN32" s="287">
        <f>B8</f>
        <v>1.35E-4</v>
      </c>
      <c r="BV32" s="95" t="s">
        <v>299</v>
      </c>
      <c r="BW32" s="289">
        <f>B293</f>
        <v>27.027027027027</v>
      </c>
      <c r="BY32" s="262" t="s">
        <v>62</v>
      </c>
      <c r="BZ32" s="305">
        <f>B4</f>
        <v>0.753</v>
      </c>
      <c r="CB32" s="95" t="s">
        <v>299</v>
      </c>
      <c r="CC32" s="289">
        <f>B293</f>
        <v>27.027027027027</v>
      </c>
      <c r="CE32" s="95" t="s">
        <v>299</v>
      </c>
      <c r="CF32" s="289">
        <f>B293</f>
        <v>27.027027027027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ht="13.15" customHeight="1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((AC5/(AC21*AC17*AC8*AC11*(1/AC35)*((8/1)/(24/1))*AC31))*AC30)/AC38</f>
        <v>265.39635770867687</v>
      </c>
      <c r="AD33" s="295">
        <f>((AD5/(AD21*AD17*AD8*((8/1)/(24/1))*AD11*(1/AD35)*AD31))*AD30)/AD38</f>
        <v>265.39635770867693</v>
      </c>
      <c r="AE33" s="295">
        <f>((AE5/(AE21*AE17*AE8*((8/1)/(24/1))*AE11*(1/AE35)*AE31))*AE30)/AE38</f>
        <v>265.39635770867693</v>
      </c>
      <c r="AF33" s="295">
        <f>((AF5/(AF21*AF17*AF8*AF11*(1/AF36)*(AF23/24)*AF31))*AF30)/AF38</f>
        <v>0.24168389182733885</v>
      </c>
      <c r="AG33" s="295">
        <f>((AG5/(AG21*AG17*AG8*AG11*(1/AG37)*(AG23/24)*AG31))*AG30)/AG38</f>
        <v>11.2631867592719</v>
      </c>
      <c r="AH33" s="88" t="s">
        <v>303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0.80900000000000005</v>
      </c>
      <c r="BM33" s="249" t="s">
        <v>459</v>
      </c>
      <c r="BN33" s="287">
        <f>B9</f>
        <v>0.71099999999999997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1.3357000000000001E-10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1.86820992E-8</v>
      </c>
      <c r="O34" s="263" t="s">
        <v>447</v>
      </c>
      <c r="P34" s="249" t="s">
        <v>451</v>
      </c>
      <c r="Q34" s="290">
        <f>B26</f>
        <v>2.5781296896000001E-8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((AC5/(AC20*(AC8/365)*AC11*((AC23+AC24)/24)*AC16*AC19))*AC30)/AC38</f>
        <v>8.5524162038883524</v>
      </c>
      <c r="AD34" s="296">
        <f>((AD5/(AD20*(AD8/365)*AD11*(AD24/24)*AD18*AD19))*AD30)/AD38</f>
        <v>21.381040509720879</v>
      </c>
      <c r="AE34" s="296">
        <f>((AE5/(AE20*(AE8/365)*AE11*(AE23/24)*AE16*AE19))*AE30)/AE38</f>
        <v>8.5524162038883524</v>
      </c>
      <c r="AF34" s="296">
        <f>((AF5/(AF20*(AF8/365)*AF11*(AF23/24)*AF16*AF19))*AF30)/AF38</f>
        <v>47127.761175978529</v>
      </c>
      <c r="AG34" s="296">
        <f>((AG5/(AG20*(AG8/365)*AG11*(AG23/24)*AG16*AG19))*AG30)/AG38</f>
        <v>47127.761175978529</v>
      </c>
      <c r="AH34" s="266" t="s">
        <v>303</v>
      </c>
      <c r="AI34" s="262" t="s">
        <v>450</v>
      </c>
      <c r="AJ34" s="290">
        <f>B24</f>
        <v>1.86820992E-8</v>
      </c>
      <c r="AK34" s="262" t="s">
        <v>282</v>
      </c>
      <c r="AL34" s="262" t="s">
        <v>451</v>
      </c>
      <c r="AM34" s="290">
        <f>B26</f>
        <v>2.5781296896000001E-8</v>
      </c>
      <c r="AN34" s="263" t="s">
        <v>72</v>
      </c>
      <c r="AR34" s="262" t="s">
        <v>450</v>
      </c>
      <c r="AS34" s="290">
        <f>B24</f>
        <v>1.86820992E-8</v>
      </c>
      <c r="AT34" s="262" t="s">
        <v>282</v>
      </c>
      <c r="AU34" s="262" t="s">
        <v>451</v>
      </c>
      <c r="AV34" s="290">
        <f>B26</f>
        <v>2.5781296896000001E-8</v>
      </c>
      <c r="AW34" s="263" t="s">
        <v>72</v>
      </c>
      <c r="BA34" s="262" t="s">
        <v>450</v>
      </c>
      <c r="BB34" s="290">
        <f>B24</f>
        <v>1.86820992E-8</v>
      </c>
      <c r="BC34" s="262" t="s">
        <v>282</v>
      </c>
      <c r="BD34" s="262" t="s">
        <v>451</v>
      </c>
      <c r="BE34" s="290">
        <f>B26</f>
        <v>2.5781296896000001E-8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4</v>
      </c>
      <c r="HF34" s="249" t="s">
        <v>19</v>
      </c>
    </row>
    <row r="35" spans="1:214" ht="13.15" customHeight="1" x14ac:dyDescent="0.2">
      <c r="A35" s="266" t="s">
        <v>270</v>
      </c>
      <c r="B35" s="315">
        <v>157680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1.86820992E-8</v>
      </c>
      <c r="BL35" s="262" t="s">
        <v>282</v>
      </c>
      <c r="BM35" s="262" t="s">
        <v>451</v>
      </c>
      <c r="BN35" s="290">
        <f>B26</f>
        <v>2.5781296896000001E-8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ht="13.5" customHeight="1" x14ac:dyDescent="0.2">
      <c r="A36" s="262" t="s">
        <v>122</v>
      </c>
      <c r="B36" s="314">
        <v>240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95" t="s">
        <v>299</v>
      </c>
      <c r="N36" s="361">
        <f>B293</f>
        <v>27.027027027027</v>
      </c>
      <c r="O36" s="281"/>
      <c r="P36" s="95" t="s">
        <v>299</v>
      </c>
      <c r="Q36" s="361">
        <f>B293</f>
        <v>27.027027027027</v>
      </c>
      <c r="R36" s="281"/>
      <c r="V36" s="262" t="s">
        <v>63</v>
      </c>
      <c r="W36" s="287">
        <f>B28</f>
        <v>5.8031270640000001E-11</v>
      </c>
      <c r="X36" s="262" t="s">
        <v>64</v>
      </c>
      <c r="Y36" s="262" t="s">
        <v>63</v>
      </c>
      <c r="Z36" s="287">
        <f>B28</f>
        <v>5.8031270640000001E-11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299</v>
      </c>
      <c r="AJ36" s="289">
        <f>B293</f>
        <v>27.027027027027</v>
      </c>
      <c r="AL36" s="95" t="s">
        <v>299</v>
      </c>
      <c r="AM36" s="289">
        <f>B293</f>
        <v>27.027027027027</v>
      </c>
      <c r="AR36" s="95" t="s">
        <v>299</v>
      </c>
      <c r="AS36" s="289">
        <f>B293</f>
        <v>27.027027027027</v>
      </c>
      <c r="AU36" s="95" t="s">
        <v>299</v>
      </c>
      <c r="AV36" s="289">
        <f>B293</f>
        <v>27.027027027027</v>
      </c>
      <c r="BA36" s="95" t="s">
        <v>299</v>
      </c>
      <c r="BB36" s="289">
        <f>B293</f>
        <v>27.027027027027</v>
      </c>
      <c r="BD36" s="95" t="s">
        <v>299</v>
      </c>
      <c r="BE36" s="289">
        <f>B293</f>
        <v>27.027027027027</v>
      </c>
      <c r="BJ36" s="95" t="s">
        <v>299</v>
      </c>
      <c r="BK36" s="289">
        <f>B293</f>
        <v>27.027027027027</v>
      </c>
      <c r="BM36" s="95" t="s">
        <v>299</v>
      </c>
      <c r="BN36" s="289">
        <f>B293</f>
        <v>27.027027027027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ht="12.75" customHeight="1" x14ac:dyDescent="0.2">
      <c r="A37" s="262" t="s">
        <v>278</v>
      </c>
      <c r="B37" s="315">
        <v>4.2E-7</v>
      </c>
      <c r="C37" s="263" t="s">
        <v>298</v>
      </c>
      <c r="D37" s="262" t="s">
        <v>80</v>
      </c>
      <c r="E37" s="300">
        <f>(E32/(E34*E33*E35*E36))/E38</f>
        <v>4.5786497561869036E-3</v>
      </c>
      <c r="F37" s="263" t="s">
        <v>303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BY37" s="95" t="s">
        <v>299</v>
      </c>
      <c r="BZ37" s="345">
        <f>B293</f>
        <v>27.027027027027</v>
      </c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5.0000000000000001E-4</v>
      </c>
      <c r="C38" s="263" t="s">
        <v>298</v>
      </c>
      <c r="D38" s="95" t="s">
        <v>299</v>
      </c>
      <c r="E38" s="289">
        <f>B293</f>
        <v>27.027027027027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((W27)/((W33/W34)*W30*W31*W32*W35))/W42</f>
        <v>3.1113271754983014E-4</v>
      </c>
      <c r="X38" s="88" t="s">
        <v>15</v>
      </c>
      <c r="Y38" s="88" t="s">
        <v>74</v>
      </c>
      <c r="Z38" s="294">
        <f>((Z27*Z31*Z28)/((1-EXP(-Z28))*Z31*Z32*Z30*Z44*(Z33/Z34)*Z35))/Z46</f>
        <v>3.1138222309546335E-4</v>
      </c>
      <c r="AA38" s="88" t="s">
        <v>16</v>
      </c>
      <c r="AB38" s="95" t="s">
        <v>299</v>
      </c>
      <c r="AC38" s="345">
        <f>B293</f>
        <v>27.027027027027</v>
      </c>
      <c r="AD38" s="345">
        <f>B293</f>
        <v>27.027027027027</v>
      </c>
      <c r="AE38" s="345">
        <f>B293</f>
        <v>27.027027027027</v>
      </c>
      <c r="AF38" s="345">
        <f>B293</f>
        <v>27.027027027027</v>
      </c>
      <c r="AG38" s="345">
        <f>B293</f>
        <v>27.027027027027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x14ac:dyDescent="0.2">
      <c r="A39" s="262" t="s">
        <v>276</v>
      </c>
      <c r="B39" s="315">
        <v>6.0000000000000001E-3</v>
      </c>
      <c r="C39" s="263" t="s">
        <v>298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((W27)/((W33/W34)*W30*W31*W36*(1/365)))/W42</f>
        <v>4062.0105981473398</v>
      </c>
      <c r="X39" s="88" t="s">
        <v>15</v>
      </c>
      <c r="Y39" s="88" t="s">
        <v>78</v>
      </c>
      <c r="Z39" s="296">
        <f>((Z27*Z31*Z28)/((1-EXP(-Z28*Z31))*Z36*Z30*Z44*(Z33/Z34)*Z37*(Z44/Z45)))/Z46</f>
        <v>815.66303433462372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3.0000000000000001E-3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((W27*W28*W31)/((W33/W34)*(1-EXP(-W28*W31))*W32*W35*W30*W31))/W42</f>
        <v>3.1238157846414678E-4</v>
      </c>
      <c r="X40" s="88" t="s">
        <v>16</v>
      </c>
      <c r="Y40" s="88" t="s">
        <v>74</v>
      </c>
      <c r="Z40" s="294">
        <f>(Z27/((Z32*Z30*Z44*(Z33/Z34)*Z35)))/Z46</f>
        <v>3.1113271754983014E-4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1.7000000000000001E-4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((W27*W28*W31)/((W33/W34)*(1-EXP(-W28*W31))*W36*W30*W31*(1/365)))/W42</f>
        <v>4078.3151716731177</v>
      </c>
      <c r="X41" s="88" t="s">
        <v>16</v>
      </c>
      <c r="Y41" s="88" t="s">
        <v>78</v>
      </c>
      <c r="Z41" s="296">
        <f>(Z27/(Z36*Z30*(1/Z45)*Z44*(Z33/Z34)*Z37))/Z46</f>
        <v>4062.0105981473398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x14ac:dyDescent="0.2">
      <c r="A42" s="249" t="s">
        <v>265</v>
      </c>
      <c r="B42" s="315">
        <v>5.0000000000000001E-4</v>
      </c>
      <c r="C42" s="263" t="s">
        <v>298</v>
      </c>
      <c r="D42" s="203" t="s">
        <v>510</v>
      </c>
      <c r="E42" s="204">
        <f>E52</f>
        <v>1.9077707317445434E-2</v>
      </c>
      <c r="F42" s="184" t="s">
        <v>304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299</v>
      </c>
      <c r="W42" s="289">
        <f>B293</f>
        <v>27.027027027027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2.41E-4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3.15" customHeight="1" thickBot="1" x14ac:dyDescent="0.25">
      <c r="A43" s="262" t="s">
        <v>264</v>
      </c>
      <c r="B43" s="315">
        <v>6.0000000000000001E-3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0.753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1.914E-5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2.41E-4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ht="12.75" customHeight="1" x14ac:dyDescent="0.2">
      <c r="A45" s="249" t="s">
        <v>38</v>
      </c>
      <c r="B45" s="315">
        <v>2.1999999999999999E-5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0.753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97">
        <v>4</v>
      </c>
      <c r="C46" s="249" t="s">
        <v>19</v>
      </c>
      <c r="D46" s="262" t="s">
        <v>438</v>
      </c>
      <c r="E46" s="287">
        <f>B30</f>
        <v>1.3357000000000001E-10</v>
      </c>
      <c r="F46" s="262" t="s">
        <v>289</v>
      </c>
      <c r="G46" s="249" t="s">
        <v>20</v>
      </c>
      <c r="H46" s="287">
        <f>H48</f>
        <v>1.914E-5</v>
      </c>
      <c r="I46" s="263"/>
      <c r="J46" s="269" t="s">
        <v>107</v>
      </c>
      <c r="K46" s="292">
        <f>K34</f>
        <v>20</v>
      </c>
      <c r="L46" s="269" t="s">
        <v>69</v>
      </c>
      <c r="Y46" s="95" t="s">
        <v>299</v>
      </c>
      <c r="Z46" s="289">
        <f>B293</f>
        <v>27.027027027027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347">
        <f>15/27.027</f>
        <v>0.55500055500055501</v>
      </c>
      <c r="C47" s="262" t="s">
        <v>581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1.914E-5</v>
      </c>
      <c r="K48" s="289">
        <v>1000</v>
      </c>
      <c r="L48" s="249" t="s">
        <v>115</v>
      </c>
      <c r="CT48" s="95" t="s">
        <v>299</v>
      </c>
      <c r="CU48" s="289">
        <f>B293</f>
        <v>27.027027027027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249" customFormat="1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262"/>
      <c r="BZ49" s="293"/>
      <c r="CC49" s="289"/>
      <c r="CF49" s="289"/>
      <c r="CI49" s="289"/>
      <c r="CL49" s="289"/>
      <c r="CO49" s="289"/>
      <c r="CR49" s="289"/>
      <c r="CU49" s="289"/>
      <c r="CX49" s="289"/>
      <c r="DA49" s="292">
        <v>1000</v>
      </c>
      <c r="DB49" s="267" t="s">
        <v>115</v>
      </c>
      <c r="DD49" s="289"/>
      <c r="DG49" s="289"/>
      <c r="DJ49" s="289"/>
      <c r="DM49" s="289"/>
      <c r="DP49" s="289"/>
      <c r="DS49" s="289"/>
      <c r="DV49" s="289"/>
      <c r="DW49" s="264"/>
      <c r="DX49" s="264"/>
      <c r="DY49" s="328"/>
      <c r="DZ49" s="264"/>
    </row>
    <row r="50" spans="1:130" s="249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240</v>
      </c>
      <c r="F50" s="263" t="s">
        <v>19</v>
      </c>
      <c r="G50" s="249" t="s">
        <v>18</v>
      </c>
      <c r="H50" s="288">
        <f>(H53*H54*H48*((1-EXP(-H55*H56))))/(H57*H55)</f>
        <v>6.6877504027585484E-4</v>
      </c>
      <c r="I50" s="249" t="s">
        <v>19</v>
      </c>
      <c r="J50" s="249" t="s">
        <v>20</v>
      </c>
      <c r="K50" s="287">
        <f>K52</f>
        <v>1.914E-5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263"/>
      <c r="BZ50" s="307"/>
      <c r="CC50" s="289"/>
      <c r="CF50" s="289"/>
      <c r="CI50" s="289"/>
      <c r="CL50" s="289"/>
      <c r="CO50" s="289"/>
      <c r="CR50" s="289"/>
      <c r="CT50" s="263"/>
      <c r="CU50" s="307"/>
      <c r="CX50" s="289"/>
      <c r="CZ50" s="95" t="s">
        <v>299</v>
      </c>
      <c r="DA50" s="289">
        <f>B293</f>
        <v>27.027027027027</v>
      </c>
      <c r="DD50" s="289"/>
      <c r="DG50" s="289"/>
      <c r="DJ50" s="289"/>
      <c r="DM50" s="289"/>
      <c r="DP50" s="289"/>
      <c r="DS50" s="289"/>
      <c r="DV50" s="289"/>
      <c r="DW50" s="264"/>
      <c r="DX50" s="264"/>
      <c r="DY50" s="328"/>
      <c r="DZ50" s="264"/>
    </row>
    <row r="51" spans="1:130" s="249" customFormat="1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9.0847184154504852</v>
      </c>
      <c r="I51" s="249" t="s">
        <v>19</v>
      </c>
      <c r="J51" s="262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262"/>
      <c r="BZ51" s="293"/>
      <c r="CC51" s="289"/>
      <c r="CF51" s="289"/>
      <c r="CI51" s="289"/>
      <c r="CL51" s="289"/>
      <c r="CO51" s="289"/>
      <c r="CR51" s="289"/>
      <c r="CT51" s="262"/>
      <c r="CU51" s="293"/>
      <c r="CX51" s="289"/>
      <c r="CZ51" s="267"/>
      <c r="DA51" s="289"/>
      <c r="DD51" s="289"/>
      <c r="DG51" s="289"/>
      <c r="DJ51" s="289"/>
      <c r="DM51" s="289"/>
      <c r="DP51" s="289"/>
      <c r="DS51" s="289"/>
      <c r="DV51" s="289"/>
      <c r="DW51" s="264"/>
      <c r="DX51" s="264"/>
      <c r="DY51" s="328"/>
      <c r="DZ51" s="264"/>
    </row>
    <row r="52" spans="1:130" s="249" customFormat="1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>
        <f>(E44/(E46*E45*E47*E48*E50*E51*(1/E49)))/E53</f>
        <v>1.9077707317445434E-2</v>
      </c>
      <c r="F52" s="249" t="s">
        <v>304</v>
      </c>
      <c r="G52" s="249" t="s">
        <v>36</v>
      </c>
      <c r="H52" s="288">
        <f>(H53*H54*H58*H64*((1-EXP(-H59*H60))))/(H61*H59)</f>
        <v>3.6421488784670224</v>
      </c>
      <c r="I52" s="249" t="s">
        <v>19</v>
      </c>
      <c r="J52" s="263" t="s">
        <v>37</v>
      </c>
      <c r="K52" s="290">
        <f>B44</f>
        <v>1.914E-5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267"/>
      <c r="DA52" s="289"/>
      <c r="DD52" s="289"/>
      <c r="DG52" s="289"/>
      <c r="DJ52" s="289"/>
      <c r="DM52" s="289"/>
      <c r="DP52" s="289"/>
      <c r="DS52" s="289"/>
      <c r="DV52" s="289"/>
      <c r="DW52" s="264"/>
      <c r="DX52" s="264"/>
      <c r="DY52" s="328"/>
      <c r="DZ52" s="264"/>
    </row>
    <row r="53" spans="1:130" s="249" customFormat="1" x14ac:dyDescent="0.2">
      <c r="A53" s="262" t="s">
        <v>320</v>
      </c>
      <c r="B53" s="283">
        <v>55</v>
      </c>
      <c r="C53" s="263" t="s">
        <v>54</v>
      </c>
      <c r="D53" s="95" t="s">
        <v>299</v>
      </c>
      <c r="E53" s="289">
        <f>B293</f>
        <v>27.027027027027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262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267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249" customFormat="1" x14ac:dyDescent="0.2">
      <c r="A54" s="262" t="s">
        <v>321</v>
      </c>
      <c r="B54" s="283">
        <v>55</v>
      </c>
      <c r="C54" s="263" t="s">
        <v>54</v>
      </c>
      <c r="E54" s="289"/>
      <c r="G54" s="262" t="s">
        <v>46</v>
      </c>
      <c r="H54" s="287">
        <f>B86</f>
        <v>0.25</v>
      </c>
      <c r="I54" s="249" t="s">
        <v>47</v>
      </c>
      <c r="J54" s="95" t="s">
        <v>299</v>
      </c>
      <c r="K54" s="289">
        <f>B293</f>
        <v>27.027027027027</v>
      </c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262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267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249" customFormat="1" x14ac:dyDescent="0.2">
      <c r="A55" s="262" t="s">
        <v>322</v>
      </c>
      <c r="B55" s="283">
        <v>5</v>
      </c>
      <c r="C55" s="262" t="s">
        <v>30</v>
      </c>
      <c r="E55" s="289"/>
      <c r="G55" s="267" t="s">
        <v>55</v>
      </c>
      <c r="H55" s="303">
        <f>H62+H63</f>
        <v>3.1394977168949772E-5</v>
      </c>
      <c r="K55" s="289"/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267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267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249" customFormat="1" x14ac:dyDescent="0.2">
      <c r="A56" s="262" t="s">
        <v>323</v>
      </c>
      <c r="B56" s="283">
        <v>5</v>
      </c>
      <c r="C56" s="262" t="s">
        <v>30</v>
      </c>
      <c r="E56" s="289"/>
      <c r="G56" s="267" t="s">
        <v>60</v>
      </c>
      <c r="H56" s="289">
        <f>B87</f>
        <v>10950</v>
      </c>
      <c r="I56" s="249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267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267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249" customFormat="1" x14ac:dyDescent="0.2">
      <c r="A57" s="262" t="s">
        <v>337</v>
      </c>
      <c r="B57" s="283">
        <v>55</v>
      </c>
      <c r="C57" s="249" t="s">
        <v>54</v>
      </c>
      <c r="E57" s="289"/>
      <c r="G57" s="267" t="s">
        <v>65</v>
      </c>
      <c r="H57" s="289">
        <f>B88</f>
        <v>240</v>
      </c>
      <c r="I57" s="249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267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267"/>
      <c r="DA57" s="293"/>
      <c r="DB57" s="262"/>
      <c r="DD57" s="289"/>
      <c r="DG57" s="289"/>
      <c r="DJ57" s="289"/>
      <c r="DM57" s="289"/>
      <c r="DP57" s="289"/>
      <c r="DS57" s="289"/>
      <c r="DV57" s="289"/>
      <c r="DY57" s="289"/>
    </row>
    <row r="58" spans="1:130" s="249" customFormat="1" x14ac:dyDescent="0.2">
      <c r="A58" s="249" t="s">
        <v>357</v>
      </c>
      <c r="B58" s="283">
        <v>55</v>
      </c>
      <c r="C58" s="249" t="s">
        <v>54</v>
      </c>
      <c r="E58" s="289"/>
      <c r="G58" s="267" t="s">
        <v>76</v>
      </c>
      <c r="H58" s="289">
        <f>B89</f>
        <v>0.42</v>
      </c>
      <c r="I58" s="249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267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267"/>
      <c r="DA58" s="293"/>
      <c r="DB58" s="262"/>
      <c r="DD58" s="289"/>
      <c r="DG58" s="289"/>
      <c r="DJ58" s="289"/>
      <c r="DM58" s="289"/>
      <c r="DP58" s="289"/>
      <c r="DS58" s="289"/>
      <c r="DV58" s="289"/>
      <c r="DY58" s="289"/>
    </row>
    <row r="59" spans="1:130" s="249" customFormat="1" x14ac:dyDescent="0.2">
      <c r="A59" s="249" t="s">
        <v>336</v>
      </c>
      <c r="B59" s="283">
        <v>55</v>
      </c>
      <c r="C59" s="249" t="s">
        <v>54</v>
      </c>
      <c r="E59" s="289"/>
      <c r="G59" s="267" t="s">
        <v>81</v>
      </c>
      <c r="H59" s="299">
        <f>H63+(0.693/H65)</f>
        <v>4.9504394977168943E-2</v>
      </c>
      <c r="I59" s="262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267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267"/>
      <c r="DA59" s="293"/>
      <c r="DB59" s="262"/>
      <c r="DD59" s="289"/>
      <c r="DG59" s="289"/>
      <c r="DJ59" s="289"/>
      <c r="DM59" s="289"/>
      <c r="DP59" s="289"/>
      <c r="DS59" s="289"/>
      <c r="DV59" s="289"/>
      <c r="DY59" s="289"/>
    </row>
    <row r="60" spans="1:130" s="249" customFormat="1" x14ac:dyDescent="0.2">
      <c r="A60" s="262" t="s">
        <v>332</v>
      </c>
      <c r="B60" s="283">
        <v>55</v>
      </c>
      <c r="C60" s="267" t="s">
        <v>254</v>
      </c>
      <c r="E60" s="289"/>
      <c r="G60" s="267" t="s">
        <v>85</v>
      </c>
      <c r="H60" s="293">
        <f>B90</f>
        <v>60</v>
      </c>
      <c r="I60" s="262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267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267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249" customFormat="1" x14ac:dyDescent="0.2">
      <c r="A61" s="262" t="s">
        <v>333</v>
      </c>
      <c r="B61" s="283">
        <v>55</v>
      </c>
      <c r="C61" s="267" t="s">
        <v>254</v>
      </c>
      <c r="E61" s="289"/>
      <c r="G61" s="267" t="s">
        <v>87</v>
      </c>
      <c r="H61" s="293">
        <f>B91</f>
        <v>2</v>
      </c>
      <c r="I61" s="262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267"/>
      <c r="BW61" s="293"/>
      <c r="BX61" s="262"/>
      <c r="BZ61" s="289"/>
      <c r="CC61" s="289"/>
      <c r="CF61" s="289"/>
      <c r="CI61" s="289"/>
      <c r="CL61" s="289"/>
      <c r="CO61" s="289"/>
      <c r="CR61" s="289"/>
      <c r="CU61" s="289"/>
      <c r="CX61" s="289"/>
      <c r="CZ61" s="267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249" customFormat="1" x14ac:dyDescent="0.2">
      <c r="A62" s="262" t="s">
        <v>334</v>
      </c>
      <c r="B62" s="283">
        <v>55</v>
      </c>
      <c r="C62" s="267" t="s">
        <v>254</v>
      </c>
      <c r="E62" s="289"/>
      <c r="G62" s="267" t="s">
        <v>89</v>
      </c>
      <c r="H62" s="289">
        <f>B92</f>
        <v>2.6999999999999999E-5</v>
      </c>
      <c r="I62" s="249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267"/>
      <c r="BW62" s="293"/>
      <c r="BX62" s="262"/>
      <c r="BZ62" s="289"/>
      <c r="CC62" s="289"/>
      <c r="CF62" s="289"/>
      <c r="CI62" s="289"/>
      <c r="CL62" s="289"/>
      <c r="CO62" s="289"/>
      <c r="CR62" s="289"/>
      <c r="CU62" s="289"/>
      <c r="CX62" s="289"/>
      <c r="CZ62" s="267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249" customFormat="1" x14ac:dyDescent="0.2">
      <c r="A63" s="262" t="s">
        <v>335</v>
      </c>
      <c r="B63" s="283">
        <v>55</v>
      </c>
      <c r="C63" s="267" t="s">
        <v>254</v>
      </c>
      <c r="E63" s="289"/>
      <c r="G63" s="267" t="s">
        <v>90</v>
      </c>
      <c r="H63" s="288">
        <f>0.693/H67</f>
        <v>4.3949771689497717E-6</v>
      </c>
      <c r="I63" s="249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267"/>
      <c r="BW63" s="293"/>
      <c r="BX63" s="262"/>
      <c r="BZ63" s="289"/>
      <c r="CC63" s="289"/>
      <c r="CF63" s="289"/>
      <c r="CI63" s="289"/>
      <c r="CL63" s="289"/>
      <c r="CO63" s="289"/>
      <c r="CR63" s="289"/>
      <c r="CU63" s="289"/>
      <c r="CX63" s="289"/>
      <c r="CZ63" s="267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249" customFormat="1" x14ac:dyDescent="0.2">
      <c r="A64" s="262" t="s">
        <v>343</v>
      </c>
      <c r="B64" s="283">
        <v>5</v>
      </c>
      <c r="C64" s="264" t="s">
        <v>69</v>
      </c>
      <c r="E64" s="289"/>
      <c r="G64" s="267" t="s">
        <v>91</v>
      </c>
      <c r="H64" s="289">
        <f>B93</f>
        <v>1</v>
      </c>
      <c r="I64" s="249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275"/>
      <c r="AJ64" s="353"/>
      <c r="AK64" s="275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267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249" customFormat="1" x14ac:dyDescent="0.2">
      <c r="A65" s="262" t="s">
        <v>342</v>
      </c>
      <c r="B65" s="283">
        <v>15</v>
      </c>
      <c r="C65" s="264" t="s">
        <v>69</v>
      </c>
      <c r="E65" s="289"/>
      <c r="G65" s="267" t="s">
        <v>92</v>
      </c>
      <c r="H65" s="289">
        <f>B94</f>
        <v>14</v>
      </c>
      <c r="I65" s="249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275"/>
      <c r="AJ65" s="353"/>
      <c r="AK65" s="275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267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249" customFormat="1" x14ac:dyDescent="0.2">
      <c r="A66" s="262" t="s">
        <v>341</v>
      </c>
      <c r="B66" s="283">
        <v>20</v>
      </c>
      <c r="C66" s="264" t="s">
        <v>69</v>
      </c>
      <c r="E66" s="289"/>
      <c r="G66" s="249" t="s">
        <v>38</v>
      </c>
      <c r="H66" s="287">
        <f>B45</f>
        <v>2.1999999999999999E-5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275"/>
      <c r="AJ66" s="353"/>
      <c r="AK66" s="275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267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262"/>
      <c r="DA66" s="287"/>
    </row>
    <row r="67" spans="1:105" s="249" customFormat="1" x14ac:dyDescent="0.2">
      <c r="A67" s="262" t="s">
        <v>340</v>
      </c>
      <c r="B67" s="283">
        <v>55</v>
      </c>
      <c r="C67" s="264" t="s">
        <v>26</v>
      </c>
      <c r="E67" s="289"/>
      <c r="G67" s="262" t="s">
        <v>273</v>
      </c>
      <c r="H67" s="287">
        <f>B35</f>
        <v>157680</v>
      </c>
      <c r="I67" s="249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275"/>
      <c r="AJ67" s="353"/>
      <c r="AK67" s="275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267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249" customFormat="1" x14ac:dyDescent="0.2">
      <c r="A68" s="262" t="s">
        <v>339</v>
      </c>
      <c r="B68" s="283">
        <v>55</v>
      </c>
      <c r="C68" s="264" t="s">
        <v>26</v>
      </c>
      <c r="E68" s="289"/>
      <c r="G68" s="95" t="s">
        <v>299</v>
      </c>
      <c r="H68" s="345">
        <f>B293</f>
        <v>27.027027027027</v>
      </c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275"/>
      <c r="AJ68" s="353"/>
      <c r="AK68" s="275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249" customFormat="1" x14ac:dyDescent="0.2">
      <c r="A69" s="262" t="s">
        <v>338</v>
      </c>
      <c r="B69" s="283">
        <v>55</v>
      </c>
      <c r="C69" s="264" t="s">
        <v>26</v>
      </c>
      <c r="E69" s="289"/>
      <c r="H69" s="289"/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275"/>
      <c r="AJ69" s="353"/>
      <c r="AK69" s="275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262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249" customFormat="1" x14ac:dyDescent="0.2">
      <c r="A70" s="249" t="s">
        <v>344</v>
      </c>
      <c r="B70" s="284">
        <v>2</v>
      </c>
      <c r="C70" s="92" t="s">
        <v>104</v>
      </c>
      <c r="E70" s="289"/>
      <c r="H70" s="289"/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275"/>
      <c r="AJ70" s="353"/>
      <c r="AK70" s="275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262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249" customFormat="1" x14ac:dyDescent="0.2">
      <c r="A71" s="249" t="s">
        <v>345</v>
      </c>
      <c r="B71" s="284">
        <v>2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275"/>
      <c r="AJ71" s="353"/>
      <c r="AK71" s="275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262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249" customFormat="1" x14ac:dyDescent="0.2">
      <c r="A72" s="262" t="s">
        <v>347</v>
      </c>
      <c r="B72" s="283">
        <v>15</v>
      </c>
      <c r="C72" s="264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275"/>
      <c r="AI72" s="275"/>
      <c r="AJ72" s="353"/>
      <c r="AK72" s="275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249" customFormat="1" x14ac:dyDescent="0.2">
      <c r="A73" s="262" t="s">
        <v>348</v>
      </c>
      <c r="B73" s="283">
        <v>15</v>
      </c>
      <c r="C73" s="264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275"/>
      <c r="AI73" s="275"/>
      <c r="AJ73" s="353"/>
      <c r="AK73" s="275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249" customFormat="1" x14ac:dyDescent="0.2">
      <c r="A74" s="262" t="s">
        <v>346</v>
      </c>
      <c r="B74" s="283">
        <v>15</v>
      </c>
      <c r="C74" s="264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275"/>
      <c r="AI74" s="275"/>
      <c r="AJ74" s="353"/>
      <c r="AK74" s="275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249" customFormat="1" x14ac:dyDescent="0.2">
      <c r="A75" s="249" t="s">
        <v>349</v>
      </c>
      <c r="B75" s="284">
        <v>2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275"/>
      <c r="AI75" s="275"/>
      <c r="AJ75" s="353"/>
      <c r="AK75" s="275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249" customFormat="1" x14ac:dyDescent="0.2">
      <c r="A76" s="249" t="s">
        <v>350</v>
      </c>
      <c r="B76" s="284">
        <v>2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275"/>
      <c r="AI76" s="275"/>
      <c r="AJ76" s="353"/>
      <c r="AK76" s="275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249" customFormat="1" x14ac:dyDescent="0.2">
      <c r="A77" s="262" t="s">
        <v>103</v>
      </c>
      <c r="B77" s="283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275"/>
      <c r="AI77" s="275"/>
      <c r="AJ77" s="353"/>
      <c r="AK77" s="275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249" customFormat="1" ht="12.75" customHeight="1" x14ac:dyDescent="0.2">
      <c r="A78" s="249" t="s">
        <v>353</v>
      </c>
      <c r="B78" s="284">
        <v>1</v>
      </c>
      <c r="C78" s="247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249" customFormat="1" x14ac:dyDescent="0.2">
      <c r="A79" s="249" t="s">
        <v>158</v>
      </c>
      <c r="B79" s="284">
        <v>0.4</v>
      </c>
      <c r="C79" s="247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275"/>
      <c r="AI79" s="275"/>
      <c r="AJ79" s="353"/>
      <c r="AK79" s="275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249" customFormat="1" x14ac:dyDescent="0.2">
      <c r="A80" s="249" t="s">
        <v>159</v>
      </c>
      <c r="B80" s="282">
        <f>B3</f>
        <v>2.41E-4</v>
      </c>
      <c r="C80" s="247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275"/>
      <c r="AI80" s="275"/>
      <c r="AJ80" s="353"/>
      <c r="AK80" s="275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249" customFormat="1" x14ac:dyDescent="0.2">
      <c r="A81" s="249" t="s">
        <v>62</v>
      </c>
      <c r="B81" s="282">
        <f>B4</f>
        <v>0.753</v>
      </c>
      <c r="C81" s="247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249" customFormat="1" x14ac:dyDescent="0.2">
      <c r="A82" s="262" t="s">
        <v>124</v>
      </c>
      <c r="B82" s="284">
        <v>1</v>
      </c>
      <c r="C82" s="263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249" customFormat="1" x14ac:dyDescent="0.2">
      <c r="A83" s="249" t="s">
        <v>83</v>
      </c>
      <c r="B83" s="284">
        <v>0.5</v>
      </c>
      <c r="C83" s="249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249" customFormat="1" x14ac:dyDescent="0.2">
      <c r="A84" s="249" t="s">
        <v>355</v>
      </c>
      <c r="B84" s="284">
        <v>0.25</v>
      </c>
      <c r="C84" s="24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249" customFormat="1" x14ac:dyDescent="0.2">
      <c r="A85" s="262" t="s">
        <v>41</v>
      </c>
      <c r="B85" s="284">
        <v>3.62</v>
      </c>
      <c r="C85" s="249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249" customFormat="1" x14ac:dyDescent="0.2">
      <c r="A86" s="262" t="s">
        <v>46</v>
      </c>
      <c r="B86" s="284">
        <v>0.25</v>
      </c>
      <c r="C86" s="249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249" customFormat="1" x14ac:dyDescent="0.2">
      <c r="A87" s="267" t="s">
        <v>60</v>
      </c>
      <c r="B87" s="284">
        <v>10950</v>
      </c>
      <c r="C87" s="249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249" customFormat="1" x14ac:dyDescent="0.2">
      <c r="A88" s="267" t="s">
        <v>65</v>
      </c>
      <c r="B88" s="284">
        <v>240</v>
      </c>
      <c r="C88" s="249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249" customFormat="1" x14ac:dyDescent="0.2">
      <c r="A89" s="267" t="s">
        <v>76</v>
      </c>
      <c r="B89" s="284">
        <v>0.42</v>
      </c>
      <c r="C89" s="24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249" customFormat="1" x14ac:dyDescent="0.2">
      <c r="A90" s="267" t="s">
        <v>85</v>
      </c>
      <c r="B90" s="284">
        <v>60</v>
      </c>
      <c r="C90" s="262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249" customFormat="1" x14ac:dyDescent="0.2">
      <c r="A91" s="267" t="s">
        <v>87</v>
      </c>
      <c r="B91" s="284">
        <v>2</v>
      </c>
      <c r="C91" s="262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249" customFormat="1" x14ac:dyDescent="0.2">
      <c r="A92" s="267" t="s">
        <v>89</v>
      </c>
      <c r="B92" s="284">
        <v>2.6999999999999999E-5</v>
      </c>
      <c r="C92" s="249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249" customFormat="1" x14ac:dyDescent="0.2">
      <c r="A93" s="267" t="s">
        <v>91</v>
      </c>
      <c r="B93" s="284">
        <v>1</v>
      </c>
      <c r="C93" s="249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249" customFormat="1" x14ac:dyDescent="0.2">
      <c r="A94" s="267" t="s">
        <v>92</v>
      </c>
      <c r="B94" s="284">
        <v>14</v>
      </c>
      <c r="C94" s="249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249" customFormat="1" x14ac:dyDescent="0.2">
      <c r="A95" s="262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249" customFormat="1" x14ac:dyDescent="0.2">
      <c r="A96" s="262" t="s">
        <v>351</v>
      </c>
      <c r="B96" s="283">
        <v>1.752</v>
      </c>
      <c r="C96" s="264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249" customFormat="1" x14ac:dyDescent="0.2">
      <c r="A97" s="262" t="s">
        <v>352</v>
      </c>
      <c r="B97" s="283">
        <v>16.416</v>
      </c>
      <c r="C97" s="264" t="s">
        <v>224</v>
      </c>
    </row>
    <row r="98" spans="1:3" s="249" customFormat="1" ht="15" x14ac:dyDescent="0.2">
      <c r="A98" s="517" t="s">
        <v>5</v>
      </c>
      <c r="B98" s="517"/>
      <c r="C98" s="517"/>
    </row>
    <row r="99" spans="1:3" s="249" customFormat="1" x14ac:dyDescent="0.2">
      <c r="A99" s="262" t="s">
        <v>358</v>
      </c>
      <c r="B99" s="284">
        <v>55</v>
      </c>
      <c r="C99" s="267" t="s">
        <v>359</v>
      </c>
    </row>
    <row r="100" spans="1:3" s="249" customFormat="1" x14ac:dyDescent="0.2">
      <c r="A100" s="262" t="s">
        <v>360</v>
      </c>
      <c r="B100" s="284">
        <v>55</v>
      </c>
      <c r="C100" s="267" t="s">
        <v>359</v>
      </c>
    </row>
    <row r="101" spans="1:3" s="249" customFormat="1" x14ac:dyDescent="0.2">
      <c r="A101" s="262" t="s">
        <v>305</v>
      </c>
      <c r="B101" s="283">
        <v>5</v>
      </c>
      <c r="C101" s="262" t="s">
        <v>361</v>
      </c>
    </row>
    <row r="102" spans="1:3" s="249" customFormat="1" x14ac:dyDescent="0.2">
      <c r="A102" s="262" t="s">
        <v>306</v>
      </c>
      <c r="B102" s="283">
        <v>5</v>
      </c>
      <c r="C102" s="262" t="s">
        <v>361</v>
      </c>
    </row>
    <row r="103" spans="1:3" s="249" customFormat="1" x14ac:dyDescent="0.2">
      <c r="A103" s="262" t="s">
        <v>362</v>
      </c>
      <c r="B103" s="284">
        <v>55</v>
      </c>
      <c r="C103" s="263" t="s">
        <v>54</v>
      </c>
    </row>
    <row r="104" spans="1:3" s="249" customFormat="1" x14ac:dyDescent="0.2">
      <c r="A104" s="262" t="s">
        <v>363</v>
      </c>
      <c r="B104" s="284">
        <v>55</v>
      </c>
      <c r="C104" s="263" t="s">
        <v>54</v>
      </c>
    </row>
    <row r="105" spans="1:3" s="249" customFormat="1" x14ac:dyDescent="0.2">
      <c r="A105" s="249" t="s">
        <v>187</v>
      </c>
      <c r="B105" s="284">
        <v>1</v>
      </c>
      <c r="C105" s="249" t="s">
        <v>254</v>
      </c>
    </row>
    <row r="106" spans="1:3" s="249" customFormat="1" x14ac:dyDescent="0.2">
      <c r="A106" s="249" t="s">
        <v>188</v>
      </c>
      <c r="B106" s="284">
        <v>1</v>
      </c>
      <c r="C106" s="249" t="s">
        <v>254</v>
      </c>
    </row>
    <row r="107" spans="1:3" s="249" customFormat="1" x14ac:dyDescent="0.2">
      <c r="A107" s="94" t="s">
        <v>373</v>
      </c>
      <c r="B107" s="283">
        <v>6</v>
      </c>
      <c r="C107" s="270" t="s">
        <v>69</v>
      </c>
    </row>
    <row r="108" spans="1:3" s="249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249" customFormat="1" x14ac:dyDescent="0.2">
      <c r="A109" s="94" t="s">
        <v>59</v>
      </c>
      <c r="B109" s="283">
        <v>26</v>
      </c>
      <c r="C109" s="270" t="s">
        <v>69</v>
      </c>
    </row>
    <row r="110" spans="1:3" s="249" customFormat="1" x14ac:dyDescent="0.2">
      <c r="A110" s="94" t="s">
        <v>371</v>
      </c>
      <c r="B110" s="107">
        <v>75</v>
      </c>
      <c r="C110" s="94" t="s">
        <v>26</v>
      </c>
    </row>
    <row r="111" spans="1:3" s="249" customFormat="1" x14ac:dyDescent="0.2">
      <c r="A111" s="94" t="s">
        <v>370</v>
      </c>
      <c r="B111" s="283">
        <v>75</v>
      </c>
      <c r="C111" s="94" t="s">
        <v>26</v>
      </c>
    </row>
    <row r="112" spans="1:3" s="249" customFormat="1" x14ac:dyDescent="0.2">
      <c r="A112" s="94" t="s">
        <v>157</v>
      </c>
      <c r="B112" s="283">
        <v>75</v>
      </c>
      <c r="C112" s="94" t="s">
        <v>26</v>
      </c>
    </row>
    <row r="113" spans="1:3" s="249" customFormat="1" x14ac:dyDescent="0.2">
      <c r="A113" s="94" t="s">
        <v>105</v>
      </c>
      <c r="B113" s="283">
        <v>1</v>
      </c>
      <c r="C113" s="92" t="s">
        <v>224</v>
      </c>
    </row>
    <row r="114" spans="1:3" s="249" customFormat="1" x14ac:dyDescent="0.2">
      <c r="A114" s="92" t="s">
        <v>368</v>
      </c>
      <c r="B114" s="284">
        <v>1</v>
      </c>
      <c r="C114" s="92" t="s">
        <v>224</v>
      </c>
    </row>
    <row r="115" spans="1:3" s="249" customFormat="1" x14ac:dyDescent="0.2">
      <c r="A115" s="92" t="s">
        <v>369</v>
      </c>
      <c r="B115" s="284">
        <v>1</v>
      </c>
      <c r="C115" s="92" t="s">
        <v>224</v>
      </c>
    </row>
    <row r="116" spans="1:3" s="249" customFormat="1" x14ac:dyDescent="0.2">
      <c r="A116" s="249" t="s">
        <v>366</v>
      </c>
      <c r="B116" s="284">
        <v>1</v>
      </c>
      <c r="C116" s="249" t="s">
        <v>104</v>
      </c>
    </row>
    <row r="117" spans="1:3" s="249" customFormat="1" x14ac:dyDescent="0.2">
      <c r="A117" s="249" t="s">
        <v>367</v>
      </c>
      <c r="B117" s="284">
        <v>1</v>
      </c>
      <c r="C117" s="249" t="s">
        <v>104</v>
      </c>
    </row>
    <row r="118" spans="1:3" s="249" customFormat="1" x14ac:dyDescent="0.2">
      <c r="A118" s="94" t="s">
        <v>364</v>
      </c>
      <c r="B118" s="284">
        <v>1</v>
      </c>
      <c r="C118" s="92" t="s">
        <v>98</v>
      </c>
    </row>
    <row r="119" spans="1:3" s="249" customFormat="1" x14ac:dyDescent="0.2">
      <c r="A119" s="94" t="s">
        <v>365</v>
      </c>
      <c r="B119" s="284">
        <v>1</v>
      </c>
      <c r="C119" s="92" t="s">
        <v>98</v>
      </c>
    </row>
    <row r="120" spans="1:3" s="249" customFormat="1" x14ac:dyDescent="0.2">
      <c r="A120" s="263" t="s">
        <v>192</v>
      </c>
      <c r="B120" s="283">
        <v>1</v>
      </c>
      <c r="C120" s="249" t="s">
        <v>283</v>
      </c>
    </row>
    <row r="121" spans="1:3" s="249" customFormat="1" x14ac:dyDescent="0.2">
      <c r="A121" s="263" t="s">
        <v>189</v>
      </c>
      <c r="B121" s="283">
        <v>1</v>
      </c>
      <c r="C121" s="249" t="s">
        <v>283</v>
      </c>
    </row>
    <row r="122" spans="1:3" s="249" customFormat="1" x14ac:dyDescent="0.2">
      <c r="A122" s="263" t="s">
        <v>190</v>
      </c>
      <c r="B122" s="283">
        <v>1</v>
      </c>
      <c r="C122" s="249" t="s">
        <v>47</v>
      </c>
    </row>
    <row r="123" spans="1:3" s="249" customFormat="1" x14ac:dyDescent="0.2">
      <c r="A123" s="263" t="s">
        <v>191</v>
      </c>
      <c r="B123" s="283">
        <v>1</v>
      </c>
      <c r="C123" s="249" t="s">
        <v>47</v>
      </c>
    </row>
    <row r="124" spans="1:3" s="249" customFormat="1" x14ac:dyDescent="0.2">
      <c r="A124" s="263" t="s">
        <v>199</v>
      </c>
      <c r="B124" s="283">
        <v>1</v>
      </c>
      <c r="C124" s="249" t="s">
        <v>30</v>
      </c>
    </row>
    <row r="125" spans="1:3" s="249" customFormat="1" x14ac:dyDescent="0.2">
      <c r="A125" s="249" t="s">
        <v>193</v>
      </c>
      <c r="B125" s="283">
        <v>1</v>
      </c>
      <c r="C125" s="249" t="s">
        <v>283</v>
      </c>
    </row>
    <row r="126" spans="1:3" s="249" customFormat="1" x14ac:dyDescent="0.2">
      <c r="A126" s="249" t="s">
        <v>196</v>
      </c>
      <c r="B126" s="283">
        <v>1</v>
      </c>
      <c r="C126" s="249" t="s">
        <v>283</v>
      </c>
    </row>
    <row r="127" spans="1:3" s="249" customFormat="1" x14ac:dyDescent="0.2">
      <c r="A127" s="268" t="s">
        <v>197</v>
      </c>
      <c r="B127" s="283">
        <v>1</v>
      </c>
      <c r="C127" s="249" t="s">
        <v>47</v>
      </c>
    </row>
    <row r="128" spans="1:3" s="249" customFormat="1" x14ac:dyDescent="0.2">
      <c r="A128" s="262" t="s">
        <v>198</v>
      </c>
      <c r="B128" s="283">
        <v>1</v>
      </c>
      <c r="C128" s="249" t="s">
        <v>47</v>
      </c>
    </row>
    <row r="129" spans="1:3" s="249" customFormat="1" x14ac:dyDescent="0.2">
      <c r="A129" s="263" t="s">
        <v>200</v>
      </c>
      <c r="B129" s="283">
        <v>1</v>
      </c>
      <c r="C129" s="249" t="s">
        <v>30</v>
      </c>
    </row>
    <row r="130" spans="1:3" s="249" customFormat="1" x14ac:dyDescent="0.2">
      <c r="A130" s="262" t="s">
        <v>255</v>
      </c>
      <c r="B130" s="284">
        <v>1</v>
      </c>
    </row>
    <row r="131" spans="1:3" s="249" customFormat="1" x14ac:dyDescent="0.2">
      <c r="A131" s="249" t="s">
        <v>83</v>
      </c>
      <c r="B131" s="284">
        <v>0.5</v>
      </c>
    </row>
    <row r="132" spans="1:3" s="249" customFormat="1" ht="15" x14ac:dyDescent="0.2">
      <c r="A132" s="518" t="s">
        <v>180</v>
      </c>
      <c r="B132" s="518"/>
      <c r="C132" s="518"/>
    </row>
    <row r="133" spans="1:3" s="249" customFormat="1" x14ac:dyDescent="0.2">
      <c r="A133" s="262" t="s">
        <v>374</v>
      </c>
      <c r="B133" s="283">
        <v>55</v>
      </c>
      <c r="C133" s="263" t="s">
        <v>54</v>
      </c>
    </row>
    <row r="134" spans="1:3" s="249" customFormat="1" x14ac:dyDescent="0.2">
      <c r="A134" s="262" t="s">
        <v>375</v>
      </c>
      <c r="B134" s="283">
        <v>55</v>
      </c>
      <c r="C134" s="263" t="s">
        <v>54</v>
      </c>
    </row>
    <row r="135" spans="1:3" s="249" customFormat="1" x14ac:dyDescent="0.2">
      <c r="A135" s="262" t="s">
        <v>376</v>
      </c>
      <c r="B135" s="283">
        <v>55</v>
      </c>
      <c r="C135" s="267" t="s">
        <v>359</v>
      </c>
    </row>
    <row r="136" spans="1:3" s="249" customFormat="1" x14ac:dyDescent="0.2">
      <c r="A136" s="262" t="s">
        <v>377</v>
      </c>
      <c r="B136" s="283">
        <v>55</v>
      </c>
      <c r="C136" s="267" t="s">
        <v>359</v>
      </c>
    </row>
    <row r="137" spans="1:3" s="249" customFormat="1" x14ac:dyDescent="0.2">
      <c r="A137" s="267" t="s">
        <v>378</v>
      </c>
      <c r="B137" s="284">
        <v>5</v>
      </c>
      <c r="C137" s="262" t="s">
        <v>30</v>
      </c>
    </row>
    <row r="138" spans="1:3" s="249" customFormat="1" x14ac:dyDescent="0.2">
      <c r="A138" s="267" t="s">
        <v>379</v>
      </c>
      <c r="B138" s="284">
        <v>5</v>
      </c>
      <c r="C138" s="262" t="s">
        <v>30</v>
      </c>
    </row>
    <row r="139" spans="1:3" s="249" customFormat="1" x14ac:dyDescent="0.2">
      <c r="A139" s="262" t="s">
        <v>380</v>
      </c>
      <c r="B139" s="283">
        <v>55</v>
      </c>
      <c r="C139" s="267" t="s">
        <v>254</v>
      </c>
    </row>
    <row r="140" spans="1:3" s="249" customFormat="1" x14ac:dyDescent="0.2">
      <c r="A140" s="262" t="s">
        <v>381</v>
      </c>
      <c r="B140" s="283">
        <v>55</v>
      </c>
      <c r="C140" s="267" t="s">
        <v>254</v>
      </c>
    </row>
    <row r="141" spans="1:3" s="249" customFormat="1" x14ac:dyDescent="0.2">
      <c r="A141" s="262" t="s">
        <v>382</v>
      </c>
      <c r="B141" s="283">
        <v>55</v>
      </c>
      <c r="C141" s="267" t="s">
        <v>254</v>
      </c>
    </row>
    <row r="142" spans="1:3" s="249" customFormat="1" x14ac:dyDescent="0.2">
      <c r="A142" s="262" t="s">
        <v>383</v>
      </c>
      <c r="B142" s="283">
        <v>55</v>
      </c>
      <c r="C142" s="267" t="s">
        <v>254</v>
      </c>
    </row>
    <row r="143" spans="1:3" s="249" customFormat="1" x14ac:dyDescent="0.2">
      <c r="A143" s="262" t="s">
        <v>479</v>
      </c>
      <c r="B143" s="283">
        <v>55</v>
      </c>
      <c r="C143" s="267" t="s">
        <v>254</v>
      </c>
    </row>
    <row r="144" spans="1:3" s="249" customFormat="1" x14ac:dyDescent="0.2">
      <c r="A144" s="262" t="s">
        <v>480</v>
      </c>
      <c r="B144" s="283">
        <v>55</v>
      </c>
      <c r="C144" s="267" t="s">
        <v>254</v>
      </c>
    </row>
    <row r="145" spans="1:3" s="249" customFormat="1" x14ac:dyDescent="0.2">
      <c r="A145" s="262" t="s">
        <v>481</v>
      </c>
      <c r="B145" s="283">
        <v>55</v>
      </c>
      <c r="C145" s="267" t="s">
        <v>254</v>
      </c>
    </row>
    <row r="146" spans="1:3" s="249" customFormat="1" x14ac:dyDescent="0.2">
      <c r="A146" s="262" t="s">
        <v>482</v>
      </c>
      <c r="B146" s="283">
        <v>55</v>
      </c>
      <c r="C146" s="267" t="s">
        <v>254</v>
      </c>
    </row>
    <row r="147" spans="1:3" s="249" customFormat="1" x14ac:dyDescent="0.2">
      <c r="A147" s="262" t="s">
        <v>326</v>
      </c>
      <c r="B147" s="283">
        <v>55</v>
      </c>
      <c r="C147" s="262" t="s">
        <v>254</v>
      </c>
    </row>
    <row r="148" spans="1:3" s="249" customFormat="1" x14ac:dyDescent="0.2">
      <c r="A148" s="262" t="s">
        <v>327</v>
      </c>
      <c r="B148" s="283">
        <v>55</v>
      </c>
      <c r="C148" s="262" t="s">
        <v>254</v>
      </c>
    </row>
    <row r="149" spans="1:3" s="249" customFormat="1" x14ac:dyDescent="0.2">
      <c r="A149" s="262" t="s">
        <v>483</v>
      </c>
      <c r="B149" s="283">
        <v>55</v>
      </c>
      <c r="C149" s="267" t="s">
        <v>254</v>
      </c>
    </row>
    <row r="150" spans="1:3" s="249" customFormat="1" x14ac:dyDescent="0.2">
      <c r="A150" s="262" t="s">
        <v>484</v>
      </c>
      <c r="B150" s="283">
        <v>55</v>
      </c>
      <c r="C150" s="267" t="s">
        <v>254</v>
      </c>
    </row>
    <row r="151" spans="1:3" s="249" customFormat="1" x14ac:dyDescent="0.2">
      <c r="A151" s="262" t="s">
        <v>324</v>
      </c>
      <c r="B151" s="283">
        <v>55</v>
      </c>
      <c r="C151" s="262" t="s">
        <v>254</v>
      </c>
    </row>
    <row r="152" spans="1:3" s="249" customFormat="1" x14ac:dyDescent="0.2">
      <c r="A152" s="262" t="s">
        <v>325</v>
      </c>
      <c r="B152" s="283">
        <v>55</v>
      </c>
      <c r="C152" s="262" t="s">
        <v>254</v>
      </c>
    </row>
    <row r="153" spans="1:3" s="249" customFormat="1" x14ac:dyDescent="0.2">
      <c r="A153" s="262" t="s">
        <v>328</v>
      </c>
      <c r="B153" s="283">
        <v>55</v>
      </c>
      <c r="C153" s="262" t="s">
        <v>254</v>
      </c>
    </row>
    <row r="154" spans="1:3" s="249" customFormat="1" x14ac:dyDescent="0.2">
      <c r="A154" s="262" t="s">
        <v>329</v>
      </c>
      <c r="B154" s="283">
        <v>55</v>
      </c>
      <c r="C154" s="262" t="s">
        <v>254</v>
      </c>
    </row>
    <row r="155" spans="1:3" s="249" customFormat="1" x14ac:dyDescent="0.2">
      <c r="A155" s="262" t="s">
        <v>384</v>
      </c>
      <c r="B155" s="284">
        <v>10</v>
      </c>
      <c r="C155" s="93" t="s">
        <v>69</v>
      </c>
    </row>
    <row r="156" spans="1:3" s="249" customFormat="1" x14ac:dyDescent="0.2">
      <c r="A156" s="262" t="s">
        <v>385</v>
      </c>
      <c r="B156" s="284">
        <v>20</v>
      </c>
      <c r="C156" s="93" t="s">
        <v>69</v>
      </c>
    </row>
    <row r="157" spans="1:3" s="249" customFormat="1" x14ac:dyDescent="0.2">
      <c r="A157" s="262" t="s">
        <v>386</v>
      </c>
      <c r="B157" s="284">
        <v>30</v>
      </c>
      <c r="C157" s="93" t="s">
        <v>69</v>
      </c>
    </row>
    <row r="158" spans="1:3" s="249" customFormat="1" x14ac:dyDescent="0.2">
      <c r="A158" s="262" t="s">
        <v>387</v>
      </c>
      <c r="B158" s="284">
        <v>55</v>
      </c>
      <c r="C158" s="262" t="s">
        <v>26</v>
      </c>
    </row>
    <row r="159" spans="1:3" s="249" customFormat="1" x14ac:dyDescent="0.2">
      <c r="A159" s="262" t="s">
        <v>388</v>
      </c>
      <c r="B159" s="284">
        <v>55</v>
      </c>
      <c r="C159" s="262" t="s">
        <v>26</v>
      </c>
    </row>
    <row r="160" spans="1:3" s="249" customFormat="1" x14ac:dyDescent="0.2">
      <c r="A160" s="262" t="s">
        <v>389</v>
      </c>
      <c r="B160" s="283">
        <v>15</v>
      </c>
      <c r="C160" s="263" t="s">
        <v>224</v>
      </c>
    </row>
    <row r="161" spans="1:3" s="249" customFormat="1" x14ac:dyDescent="0.2">
      <c r="A161" s="262" t="s">
        <v>390</v>
      </c>
      <c r="B161" s="283">
        <v>15</v>
      </c>
      <c r="C161" s="263" t="s">
        <v>224</v>
      </c>
    </row>
    <row r="162" spans="1:3" s="249" customFormat="1" x14ac:dyDescent="0.2">
      <c r="A162" s="262" t="s">
        <v>396</v>
      </c>
      <c r="B162" s="283">
        <v>15</v>
      </c>
      <c r="C162" s="263" t="s">
        <v>224</v>
      </c>
    </row>
    <row r="163" spans="1:3" s="249" customFormat="1" x14ac:dyDescent="0.2">
      <c r="A163" s="249" t="s">
        <v>393</v>
      </c>
      <c r="B163" s="283">
        <v>2</v>
      </c>
      <c r="C163" s="267" t="s">
        <v>395</v>
      </c>
    </row>
    <row r="164" spans="1:3" s="249" customFormat="1" x14ac:dyDescent="0.2">
      <c r="A164" s="249" t="s">
        <v>394</v>
      </c>
      <c r="B164" s="283">
        <v>2</v>
      </c>
      <c r="C164" s="267" t="s">
        <v>395</v>
      </c>
    </row>
    <row r="165" spans="1:3" s="249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249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249" customFormat="1" x14ac:dyDescent="0.2">
      <c r="A167" s="262" t="s">
        <v>397</v>
      </c>
      <c r="B167" s="283">
        <v>2</v>
      </c>
      <c r="C167" s="267" t="s">
        <v>166</v>
      </c>
    </row>
    <row r="168" spans="1:3" s="249" customFormat="1" x14ac:dyDescent="0.2">
      <c r="A168" s="262" t="s">
        <v>398</v>
      </c>
      <c r="B168" s="283">
        <v>2</v>
      </c>
      <c r="C168" s="267" t="s">
        <v>166</v>
      </c>
    </row>
    <row r="169" spans="1:3" s="249" customFormat="1" x14ac:dyDescent="0.2">
      <c r="A169" s="262" t="s">
        <v>103</v>
      </c>
      <c r="B169" s="283">
        <v>0.4</v>
      </c>
      <c r="C169" s="247"/>
    </row>
    <row r="170" spans="1:3" s="249" customFormat="1" x14ac:dyDescent="0.2">
      <c r="A170" s="262" t="s">
        <v>158</v>
      </c>
      <c r="B170" s="283">
        <v>0.4</v>
      </c>
      <c r="C170" s="247"/>
    </row>
    <row r="171" spans="1:3" s="249" customFormat="1" x14ac:dyDescent="0.2">
      <c r="A171" s="262" t="s">
        <v>159</v>
      </c>
      <c r="B171" s="282">
        <f>B3</f>
        <v>2.41E-4</v>
      </c>
      <c r="C171" s="247"/>
    </row>
    <row r="172" spans="1:3" s="249" customFormat="1" x14ac:dyDescent="0.2">
      <c r="A172" s="262" t="s">
        <v>62</v>
      </c>
      <c r="B172" s="282">
        <f>B4</f>
        <v>0.753</v>
      </c>
      <c r="C172" s="247"/>
    </row>
    <row r="173" spans="1:3" s="249" customFormat="1" x14ac:dyDescent="0.2">
      <c r="A173" s="262" t="s">
        <v>255</v>
      </c>
      <c r="B173" s="284">
        <v>2</v>
      </c>
      <c r="C173" s="247"/>
    </row>
    <row r="174" spans="1:3" s="249" customFormat="1" x14ac:dyDescent="0.2">
      <c r="A174" s="267" t="s">
        <v>399</v>
      </c>
      <c r="B174" s="283">
        <v>2</v>
      </c>
      <c r="C174" s="247"/>
    </row>
    <row r="175" spans="1:3" s="249" customFormat="1" x14ac:dyDescent="0.2">
      <c r="A175" s="267" t="s">
        <v>400</v>
      </c>
      <c r="B175" s="283">
        <v>2</v>
      </c>
      <c r="C175" s="247"/>
    </row>
    <row r="176" spans="1:3" s="249" customFormat="1" x14ac:dyDescent="0.2">
      <c r="A176" s="267" t="s">
        <v>401</v>
      </c>
      <c r="B176" s="283">
        <v>2</v>
      </c>
      <c r="C176" s="247"/>
    </row>
    <row r="177" spans="1:3" s="249" customFormat="1" x14ac:dyDescent="0.2">
      <c r="A177" s="267" t="s">
        <v>402</v>
      </c>
      <c r="B177" s="283">
        <v>2</v>
      </c>
      <c r="C177" s="247"/>
    </row>
    <row r="178" spans="1:3" s="249" customFormat="1" x14ac:dyDescent="0.2">
      <c r="A178" s="267" t="s">
        <v>403</v>
      </c>
      <c r="B178" s="283">
        <v>2</v>
      </c>
      <c r="C178" s="247"/>
    </row>
    <row r="179" spans="1:3" s="249" customFormat="1" x14ac:dyDescent="0.2">
      <c r="A179" s="267" t="s">
        <v>404</v>
      </c>
      <c r="B179" s="283">
        <v>2</v>
      </c>
      <c r="C179" s="247"/>
    </row>
    <row r="180" spans="1:3" s="249" customFormat="1" x14ac:dyDescent="0.2">
      <c r="A180" s="267" t="s">
        <v>405</v>
      </c>
      <c r="B180" s="284">
        <v>2</v>
      </c>
      <c r="C180" s="247"/>
    </row>
    <row r="181" spans="1:3" s="249" customFormat="1" x14ac:dyDescent="0.2">
      <c r="A181" s="262" t="s">
        <v>41</v>
      </c>
      <c r="B181" s="284">
        <v>3.62</v>
      </c>
      <c r="C181" s="249" t="s">
        <v>42</v>
      </c>
    </row>
    <row r="182" spans="1:3" s="249" customFormat="1" x14ac:dyDescent="0.2">
      <c r="A182" s="262" t="s">
        <v>46</v>
      </c>
      <c r="B182" s="284">
        <v>0.25</v>
      </c>
      <c r="C182" s="249" t="s">
        <v>47</v>
      </c>
    </row>
    <row r="183" spans="1:3" s="249" customFormat="1" x14ac:dyDescent="0.2">
      <c r="A183" s="267" t="s">
        <v>60</v>
      </c>
      <c r="B183" s="284">
        <v>10950</v>
      </c>
      <c r="C183" s="249" t="s">
        <v>61</v>
      </c>
    </row>
    <row r="184" spans="1:3" s="249" customFormat="1" x14ac:dyDescent="0.2">
      <c r="A184" s="267" t="s">
        <v>65</v>
      </c>
      <c r="B184" s="284">
        <v>240</v>
      </c>
      <c r="C184" s="249" t="s">
        <v>66</v>
      </c>
    </row>
    <row r="185" spans="1:3" s="249" customFormat="1" x14ac:dyDescent="0.2">
      <c r="A185" s="267" t="s">
        <v>76</v>
      </c>
      <c r="B185" s="284">
        <v>0.42</v>
      </c>
      <c r="C185" s="249" t="s">
        <v>47</v>
      </c>
    </row>
    <row r="186" spans="1:3" s="249" customFormat="1" x14ac:dyDescent="0.2">
      <c r="A186" s="267" t="s">
        <v>85</v>
      </c>
      <c r="B186" s="284">
        <v>60</v>
      </c>
      <c r="C186" s="262" t="s">
        <v>61</v>
      </c>
    </row>
    <row r="187" spans="1:3" s="249" customFormat="1" x14ac:dyDescent="0.2">
      <c r="A187" s="267" t="s">
        <v>87</v>
      </c>
      <c r="B187" s="284">
        <v>2</v>
      </c>
      <c r="C187" s="262" t="s">
        <v>66</v>
      </c>
    </row>
    <row r="188" spans="1:3" s="249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249" customFormat="1" x14ac:dyDescent="0.2">
      <c r="A189" s="267" t="s">
        <v>91</v>
      </c>
      <c r="B189" s="284">
        <v>1</v>
      </c>
      <c r="C189" s="249" t="s">
        <v>47</v>
      </c>
    </row>
    <row r="190" spans="1:3" s="249" customFormat="1" x14ac:dyDescent="0.2">
      <c r="A190" s="267" t="s">
        <v>92</v>
      </c>
      <c r="B190" s="284">
        <v>14</v>
      </c>
      <c r="C190" s="249" t="s">
        <v>93</v>
      </c>
    </row>
    <row r="191" spans="1:3" s="249" customFormat="1" x14ac:dyDescent="0.2">
      <c r="A191" s="262" t="s">
        <v>29</v>
      </c>
      <c r="B191" s="284">
        <v>92</v>
      </c>
      <c r="C191" s="262" t="s">
        <v>30</v>
      </c>
    </row>
    <row r="192" spans="1:3" s="249" customFormat="1" x14ac:dyDescent="0.2">
      <c r="A192" s="249" t="s">
        <v>287</v>
      </c>
      <c r="B192" s="283">
        <v>1.03</v>
      </c>
      <c r="C192" s="249" t="s">
        <v>288</v>
      </c>
    </row>
    <row r="193" spans="1:3" s="249" customFormat="1" x14ac:dyDescent="0.2">
      <c r="A193" s="262" t="s">
        <v>406</v>
      </c>
      <c r="B193" s="284">
        <v>20.3</v>
      </c>
      <c r="C193" s="249" t="s">
        <v>283</v>
      </c>
    </row>
    <row r="194" spans="1:3" s="249" customFormat="1" x14ac:dyDescent="0.2">
      <c r="A194" s="262" t="s">
        <v>407</v>
      </c>
      <c r="B194" s="284">
        <v>0.4</v>
      </c>
      <c r="C194" s="249" t="s">
        <v>283</v>
      </c>
    </row>
    <row r="195" spans="1:3" s="249" customFormat="1" x14ac:dyDescent="0.2">
      <c r="A195" s="262" t="s">
        <v>408</v>
      </c>
      <c r="B195" s="284">
        <v>1</v>
      </c>
      <c r="C195" s="247"/>
    </row>
    <row r="196" spans="1:3" s="249" customFormat="1" x14ac:dyDescent="0.2">
      <c r="A196" s="262" t="s">
        <v>409</v>
      </c>
      <c r="B196" s="284">
        <v>1</v>
      </c>
      <c r="C196" s="247"/>
    </row>
    <row r="197" spans="1:3" s="249" customFormat="1" x14ac:dyDescent="0.2">
      <c r="A197" s="262" t="s">
        <v>31</v>
      </c>
      <c r="B197" s="284">
        <v>53</v>
      </c>
      <c r="C197" s="262" t="s">
        <v>30</v>
      </c>
    </row>
    <row r="198" spans="1:3" s="249" customFormat="1" x14ac:dyDescent="0.2">
      <c r="A198" s="262" t="s">
        <v>410</v>
      </c>
      <c r="B198" s="284">
        <v>11.77</v>
      </c>
      <c r="C198" s="249" t="s">
        <v>283</v>
      </c>
    </row>
    <row r="199" spans="1:3" s="249" customFormat="1" x14ac:dyDescent="0.2">
      <c r="A199" s="262" t="s">
        <v>411</v>
      </c>
      <c r="B199" s="284">
        <v>0.5</v>
      </c>
      <c r="C199" s="249" t="s">
        <v>283</v>
      </c>
    </row>
    <row r="200" spans="1:3" s="249" customFormat="1" x14ac:dyDescent="0.2">
      <c r="A200" s="262" t="s">
        <v>412</v>
      </c>
      <c r="B200" s="284">
        <v>1</v>
      </c>
      <c r="C200" s="247"/>
    </row>
    <row r="201" spans="1:3" s="249" customFormat="1" x14ac:dyDescent="0.2">
      <c r="A201" s="262" t="s">
        <v>413</v>
      </c>
      <c r="B201" s="284">
        <v>1</v>
      </c>
      <c r="C201" s="247"/>
    </row>
    <row r="202" spans="1:3" s="249" customFormat="1" x14ac:dyDescent="0.2">
      <c r="A202" s="262" t="s">
        <v>173</v>
      </c>
      <c r="B202" s="283">
        <v>0.4</v>
      </c>
      <c r="C202" s="262" t="s">
        <v>30</v>
      </c>
    </row>
    <row r="203" spans="1:3" s="249" customFormat="1" x14ac:dyDescent="0.2">
      <c r="A203" s="262" t="s">
        <v>177</v>
      </c>
      <c r="B203" s="284">
        <v>0.2</v>
      </c>
      <c r="C203" s="249" t="s">
        <v>283</v>
      </c>
    </row>
    <row r="204" spans="1:3" s="249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249" customFormat="1" x14ac:dyDescent="0.2">
      <c r="A205" s="262" t="s">
        <v>178</v>
      </c>
      <c r="B205" s="283">
        <v>1</v>
      </c>
      <c r="C205" s="247"/>
    </row>
    <row r="206" spans="1:3" s="249" customFormat="1" x14ac:dyDescent="0.2">
      <c r="A206" s="262" t="s">
        <v>179</v>
      </c>
      <c r="B206" s="283">
        <v>1</v>
      </c>
      <c r="C206" s="247"/>
    </row>
    <row r="207" spans="1:3" s="249" customFormat="1" x14ac:dyDescent="0.2">
      <c r="A207" s="262" t="s">
        <v>414</v>
      </c>
      <c r="B207" s="283">
        <v>0.4</v>
      </c>
      <c r="C207" s="262" t="s">
        <v>30</v>
      </c>
    </row>
    <row r="208" spans="1:3" s="249" customFormat="1" x14ac:dyDescent="0.2">
      <c r="A208" s="262" t="s">
        <v>415</v>
      </c>
      <c r="B208" s="284">
        <v>0.2</v>
      </c>
      <c r="C208" s="249" t="s">
        <v>283</v>
      </c>
    </row>
    <row r="209" spans="1:3" s="249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249" customFormat="1" x14ac:dyDescent="0.2">
      <c r="A210" s="262" t="s">
        <v>417</v>
      </c>
      <c r="B210" s="284">
        <v>1</v>
      </c>
      <c r="C210" s="247"/>
    </row>
    <row r="211" spans="1:3" s="249" customFormat="1" x14ac:dyDescent="0.2">
      <c r="A211" s="262" t="s">
        <v>418</v>
      </c>
      <c r="B211" s="284">
        <v>1</v>
      </c>
      <c r="C211" s="247"/>
    </row>
    <row r="212" spans="1:3" s="249" customFormat="1" x14ac:dyDescent="0.2">
      <c r="A212" s="262" t="s">
        <v>174</v>
      </c>
      <c r="B212" s="284">
        <v>11.4</v>
      </c>
      <c r="C212" s="262" t="s">
        <v>30</v>
      </c>
    </row>
    <row r="213" spans="1:3" s="249" customFormat="1" x14ac:dyDescent="0.2">
      <c r="A213" s="262" t="s">
        <v>419</v>
      </c>
      <c r="B213" s="284">
        <v>4.7</v>
      </c>
      <c r="C213" s="249" t="s">
        <v>283</v>
      </c>
    </row>
    <row r="214" spans="1:3" s="249" customFormat="1" x14ac:dyDescent="0.2">
      <c r="A214" s="262" t="s">
        <v>420</v>
      </c>
      <c r="B214" s="284">
        <v>0.37</v>
      </c>
      <c r="C214" s="249" t="s">
        <v>283</v>
      </c>
    </row>
    <row r="215" spans="1:3" s="249" customFormat="1" x14ac:dyDescent="0.2">
      <c r="A215" s="262" t="s">
        <v>421</v>
      </c>
      <c r="B215" s="284">
        <v>1</v>
      </c>
      <c r="C215" s="247"/>
    </row>
    <row r="216" spans="1:3" s="249" customFormat="1" x14ac:dyDescent="0.2">
      <c r="A216" s="262" t="s">
        <v>422</v>
      </c>
      <c r="B216" s="284">
        <v>1</v>
      </c>
      <c r="C216" s="247"/>
    </row>
    <row r="217" spans="1:3" s="249" customFormat="1" x14ac:dyDescent="0.2">
      <c r="A217" s="249" t="s">
        <v>83</v>
      </c>
      <c r="B217" s="284">
        <v>0.5</v>
      </c>
    </row>
    <row r="218" spans="1:3" s="249" customFormat="1" x14ac:dyDescent="0.2">
      <c r="A218" s="558" t="s">
        <v>423</v>
      </c>
      <c r="B218" s="558"/>
      <c r="C218" s="558"/>
    </row>
    <row r="219" spans="1:3" s="249" customFormat="1" x14ac:dyDescent="0.2">
      <c r="A219" s="249" t="s">
        <v>424</v>
      </c>
      <c r="B219" s="283">
        <v>55</v>
      </c>
      <c r="C219" s="263" t="s">
        <v>359</v>
      </c>
    </row>
    <row r="220" spans="1:3" s="249" customFormat="1" x14ac:dyDescent="0.2">
      <c r="A220" s="262" t="s">
        <v>425</v>
      </c>
      <c r="B220" s="283">
        <v>55</v>
      </c>
      <c r="C220" s="249" t="s">
        <v>26</v>
      </c>
    </row>
    <row r="221" spans="1:3" s="249" customFormat="1" x14ac:dyDescent="0.2">
      <c r="A221" s="262" t="s">
        <v>75</v>
      </c>
      <c r="B221" s="284">
        <v>5</v>
      </c>
      <c r="C221" s="249" t="s">
        <v>69</v>
      </c>
    </row>
    <row r="222" spans="1:3" s="249" customFormat="1" x14ac:dyDescent="0.2">
      <c r="A222" s="262" t="s">
        <v>426</v>
      </c>
      <c r="B222" s="283">
        <v>55</v>
      </c>
      <c r="C222" s="263" t="s">
        <v>54</v>
      </c>
    </row>
    <row r="223" spans="1:3" s="249" customFormat="1" x14ac:dyDescent="0.2">
      <c r="A223" s="249" t="s">
        <v>353</v>
      </c>
      <c r="B223" s="284">
        <v>1</v>
      </c>
      <c r="C223" s="247"/>
    </row>
    <row r="224" spans="1:3" s="249" customFormat="1" x14ac:dyDescent="0.2">
      <c r="A224" s="262" t="s">
        <v>56</v>
      </c>
      <c r="B224" s="284">
        <v>1</v>
      </c>
      <c r="C224" s="247"/>
    </row>
    <row r="225" spans="1:3" s="249" customFormat="1" x14ac:dyDescent="0.2">
      <c r="A225" s="262" t="s">
        <v>52</v>
      </c>
      <c r="B225" s="284">
        <v>0.4</v>
      </c>
      <c r="C225" s="247"/>
    </row>
    <row r="226" spans="1:3" s="249" customFormat="1" x14ac:dyDescent="0.2">
      <c r="A226" s="262" t="s">
        <v>62</v>
      </c>
      <c r="B226" s="284">
        <v>1</v>
      </c>
      <c r="C226" s="247"/>
    </row>
    <row r="227" spans="1:3" s="249" customFormat="1" x14ac:dyDescent="0.2">
      <c r="A227" s="262" t="s">
        <v>467</v>
      </c>
      <c r="B227" s="283">
        <v>2</v>
      </c>
      <c r="C227" s="249" t="s">
        <v>224</v>
      </c>
    </row>
    <row r="228" spans="1:3" s="249" customFormat="1" x14ac:dyDescent="0.2">
      <c r="A228" s="262" t="s">
        <v>468</v>
      </c>
      <c r="B228" s="283">
        <v>3</v>
      </c>
      <c r="C228" s="249" t="s">
        <v>224</v>
      </c>
    </row>
    <row r="229" spans="1:3" s="249" customFormat="1" x14ac:dyDescent="0.2">
      <c r="A229" s="262" t="s">
        <v>103</v>
      </c>
      <c r="B229" s="283">
        <v>0.4</v>
      </c>
      <c r="C229" s="247"/>
    </row>
    <row r="230" spans="1:3" s="249" customFormat="1" x14ac:dyDescent="0.2">
      <c r="A230" s="558" t="s">
        <v>427</v>
      </c>
      <c r="B230" s="558"/>
      <c r="C230" s="558"/>
    </row>
    <row r="231" spans="1:3" s="249" customFormat="1" x14ac:dyDescent="0.2">
      <c r="A231" s="249" t="s">
        <v>428</v>
      </c>
      <c r="B231" s="283">
        <v>55</v>
      </c>
      <c r="C231" s="263" t="s">
        <v>359</v>
      </c>
    </row>
    <row r="232" spans="1:3" s="249" customFormat="1" x14ac:dyDescent="0.2">
      <c r="A232" s="262" t="s">
        <v>40</v>
      </c>
      <c r="B232" s="283">
        <v>55</v>
      </c>
      <c r="C232" s="249" t="s">
        <v>26</v>
      </c>
    </row>
    <row r="233" spans="1:3" s="249" customFormat="1" x14ac:dyDescent="0.2">
      <c r="A233" s="262" t="s">
        <v>429</v>
      </c>
      <c r="B233" s="284">
        <v>5</v>
      </c>
      <c r="C233" s="249" t="s">
        <v>69</v>
      </c>
    </row>
    <row r="234" spans="1:3" s="249" customFormat="1" x14ac:dyDescent="0.2">
      <c r="A234" s="262" t="s">
        <v>79</v>
      </c>
      <c r="B234" s="283">
        <v>55</v>
      </c>
      <c r="C234" s="263" t="s">
        <v>54</v>
      </c>
    </row>
    <row r="235" spans="1:3" s="249" customFormat="1" x14ac:dyDescent="0.2">
      <c r="A235" s="249" t="s">
        <v>353</v>
      </c>
      <c r="B235" s="284">
        <v>1</v>
      </c>
      <c r="C235" s="247"/>
    </row>
    <row r="236" spans="1:3" s="249" customFormat="1" x14ac:dyDescent="0.2">
      <c r="A236" s="262" t="s">
        <v>56</v>
      </c>
      <c r="B236" s="284">
        <v>1</v>
      </c>
      <c r="C236" s="247"/>
    </row>
    <row r="237" spans="1:3" s="249" customFormat="1" x14ac:dyDescent="0.2">
      <c r="A237" s="262" t="s">
        <v>52</v>
      </c>
      <c r="B237" s="284">
        <v>0.4</v>
      </c>
      <c r="C237" s="247"/>
    </row>
    <row r="238" spans="1:3" s="249" customFormat="1" x14ac:dyDescent="0.2">
      <c r="A238" s="262" t="s">
        <v>62</v>
      </c>
      <c r="B238" s="284">
        <v>1</v>
      </c>
      <c r="C238" s="247"/>
    </row>
    <row r="239" spans="1:3" s="249" customFormat="1" x14ac:dyDescent="0.2">
      <c r="A239" s="262" t="s">
        <v>469</v>
      </c>
      <c r="B239" s="283">
        <v>0</v>
      </c>
      <c r="C239" s="249" t="s">
        <v>224</v>
      </c>
    </row>
    <row r="240" spans="1:3" s="249" customFormat="1" x14ac:dyDescent="0.2">
      <c r="A240" s="262" t="s">
        <v>470</v>
      </c>
      <c r="B240" s="283">
        <v>5</v>
      </c>
      <c r="C240" s="249" t="s">
        <v>224</v>
      </c>
    </row>
    <row r="241" spans="1:3" s="249" customFormat="1" x14ac:dyDescent="0.2">
      <c r="A241" s="262" t="s">
        <v>103</v>
      </c>
      <c r="B241" s="283">
        <v>0.4</v>
      </c>
      <c r="C241" s="247"/>
    </row>
    <row r="242" spans="1:3" s="249" customFormat="1" x14ac:dyDescent="0.2">
      <c r="A242" s="558" t="s">
        <v>430</v>
      </c>
      <c r="B242" s="558"/>
      <c r="C242" s="558"/>
    </row>
    <row r="243" spans="1:3" s="249" customFormat="1" x14ac:dyDescent="0.2">
      <c r="A243" s="249" t="s">
        <v>58</v>
      </c>
      <c r="B243" s="283">
        <v>55</v>
      </c>
      <c r="C243" s="263" t="s">
        <v>359</v>
      </c>
    </row>
    <row r="244" spans="1:3" s="249" customFormat="1" x14ac:dyDescent="0.2">
      <c r="A244" s="262" t="s">
        <v>431</v>
      </c>
      <c r="B244" s="283">
        <v>55</v>
      </c>
      <c r="C244" s="249" t="s">
        <v>26</v>
      </c>
    </row>
    <row r="245" spans="1:3" s="249" customFormat="1" x14ac:dyDescent="0.2">
      <c r="A245" s="262" t="s">
        <v>432</v>
      </c>
      <c r="B245" s="284">
        <v>5</v>
      </c>
      <c r="C245" s="249" t="s">
        <v>69</v>
      </c>
    </row>
    <row r="246" spans="1:3" s="249" customFormat="1" x14ac:dyDescent="0.2">
      <c r="A246" s="262" t="s">
        <v>433</v>
      </c>
      <c r="B246" s="283">
        <v>55</v>
      </c>
      <c r="C246" s="263" t="s">
        <v>54</v>
      </c>
    </row>
    <row r="247" spans="1:3" s="249" customFormat="1" x14ac:dyDescent="0.2">
      <c r="A247" s="249" t="s">
        <v>353</v>
      </c>
      <c r="B247" s="284">
        <v>1</v>
      </c>
      <c r="C247" s="247"/>
    </row>
    <row r="248" spans="1:3" s="249" customFormat="1" x14ac:dyDescent="0.2">
      <c r="A248" s="262" t="s">
        <v>56</v>
      </c>
      <c r="B248" s="284">
        <v>1</v>
      </c>
      <c r="C248" s="247"/>
    </row>
    <row r="249" spans="1:3" s="249" customFormat="1" x14ac:dyDescent="0.2">
      <c r="A249" s="262" t="s">
        <v>52</v>
      </c>
      <c r="B249" s="284">
        <v>0.4</v>
      </c>
      <c r="C249" s="247"/>
    </row>
    <row r="250" spans="1:3" s="249" customFormat="1" x14ac:dyDescent="0.2">
      <c r="A250" s="262" t="s">
        <v>62</v>
      </c>
      <c r="B250" s="284">
        <v>1</v>
      </c>
      <c r="C250" s="247"/>
    </row>
    <row r="251" spans="1:3" s="249" customFormat="1" x14ac:dyDescent="0.2">
      <c r="A251" s="262" t="s">
        <v>466</v>
      </c>
      <c r="B251" s="283">
        <v>5</v>
      </c>
      <c r="C251" s="249" t="s">
        <v>224</v>
      </c>
    </row>
    <row r="252" spans="1:3" s="249" customFormat="1" x14ac:dyDescent="0.2">
      <c r="A252" s="262" t="s">
        <v>465</v>
      </c>
      <c r="B252" s="283">
        <v>0</v>
      </c>
      <c r="C252" s="249" t="s">
        <v>224</v>
      </c>
    </row>
    <row r="253" spans="1:3" s="249" customFormat="1" x14ac:dyDescent="0.2">
      <c r="A253" s="262" t="s">
        <v>103</v>
      </c>
      <c r="B253" s="283">
        <v>0.4</v>
      </c>
      <c r="C253" s="247"/>
    </row>
    <row r="254" spans="1:3" s="249" customFormat="1" x14ac:dyDescent="0.2">
      <c r="A254" s="558" t="s">
        <v>434</v>
      </c>
      <c r="B254" s="558"/>
      <c r="C254" s="558"/>
    </row>
    <row r="255" spans="1:3" s="249" customFormat="1" x14ac:dyDescent="0.2">
      <c r="A255" s="249" t="s">
        <v>435</v>
      </c>
      <c r="B255" s="283">
        <v>55</v>
      </c>
      <c r="C255" s="263" t="s">
        <v>359</v>
      </c>
    </row>
    <row r="256" spans="1:3" s="249" customFormat="1" x14ac:dyDescent="0.2">
      <c r="A256" s="262" t="s">
        <v>221</v>
      </c>
      <c r="B256" s="283">
        <v>55</v>
      </c>
      <c r="C256" s="249" t="s">
        <v>26</v>
      </c>
    </row>
    <row r="257" spans="1:3" s="249" customFormat="1" x14ac:dyDescent="0.2">
      <c r="A257" s="262" t="s">
        <v>186</v>
      </c>
      <c r="B257" s="284">
        <v>5</v>
      </c>
      <c r="C257" s="249" t="s">
        <v>69</v>
      </c>
    </row>
    <row r="258" spans="1:3" s="249" customFormat="1" x14ac:dyDescent="0.2">
      <c r="A258" s="262" t="s">
        <v>436</v>
      </c>
      <c r="B258" s="283">
        <v>55</v>
      </c>
      <c r="C258" s="263" t="s">
        <v>54</v>
      </c>
    </row>
    <row r="259" spans="1:3" s="249" customFormat="1" x14ac:dyDescent="0.2">
      <c r="A259" s="249" t="s">
        <v>353</v>
      </c>
      <c r="B259" s="284">
        <v>1</v>
      </c>
      <c r="C259" s="247"/>
    </row>
    <row r="260" spans="1:3" s="249" customFormat="1" x14ac:dyDescent="0.2">
      <c r="A260" s="262" t="s">
        <v>56</v>
      </c>
      <c r="B260" s="284">
        <v>1</v>
      </c>
      <c r="C260" s="247"/>
    </row>
    <row r="261" spans="1:3" s="249" customFormat="1" x14ac:dyDescent="0.2">
      <c r="A261" s="262" t="s">
        <v>52</v>
      </c>
      <c r="B261" s="284">
        <v>0.4</v>
      </c>
      <c r="C261" s="247"/>
    </row>
    <row r="262" spans="1:3" s="249" customFormat="1" x14ac:dyDescent="0.2">
      <c r="A262" s="262" t="s">
        <v>62</v>
      </c>
      <c r="B262" s="284">
        <v>1</v>
      </c>
      <c r="C262" s="247"/>
    </row>
    <row r="263" spans="1:3" s="249" customFormat="1" x14ac:dyDescent="0.2">
      <c r="A263" s="262" t="s">
        <v>471</v>
      </c>
      <c r="B263" s="283">
        <v>5</v>
      </c>
      <c r="C263" s="249" t="s">
        <v>224</v>
      </c>
    </row>
    <row r="264" spans="1:3" s="249" customFormat="1" x14ac:dyDescent="0.2">
      <c r="A264" s="262" t="s">
        <v>472</v>
      </c>
      <c r="B264" s="283">
        <v>0</v>
      </c>
      <c r="C264" s="249" t="s">
        <v>224</v>
      </c>
    </row>
    <row r="265" spans="1:3" s="249" customFormat="1" x14ac:dyDescent="0.2">
      <c r="A265" s="262" t="s">
        <v>103</v>
      </c>
      <c r="B265" s="283">
        <v>0.4</v>
      </c>
      <c r="C265" s="247"/>
    </row>
    <row r="266" spans="1:3" s="249" customFormat="1" x14ac:dyDescent="0.2">
      <c r="A266" s="262" t="s">
        <v>220</v>
      </c>
      <c r="B266" s="283">
        <v>5</v>
      </c>
      <c r="C266" s="249" t="s">
        <v>129</v>
      </c>
    </row>
    <row r="267" spans="1:3" s="249" customFormat="1" x14ac:dyDescent="0.2">
      <c r="A267" s="262" t="s">
        <v>219</v>
      </c>
      <c r="B267" s="283">
        <v>11</v>
      </c>
      <c r="C267" s="249" t="s">
        <v>130</v>
      </c>
    </row>
    <row r="268" spans="1:3" s="249" customFormat="1" x14ac:dyDescent="0.2">
      <c r="A268" s="558" t="s">
        <v>437</v>
      </c>
      <c r="B268" s="558"/>
      <c r="C268" s="558"/>
    </row>
    <row r="269" spans="1:3" s="249" customFormat="1" x14ac:dyDescent="0.2">
      <c r="A269" s="249" t="s">
        <v>435</v>
      </c>
      <c r="B269" s="283">
        <v>55</v>
      </c>
      <c r="C269" s="263" t="s">
        <v>359</v>
      </c>
    </row>
    <row r="270" spans="1:3" s="249" customFormat="1" x14ac:dyDescent="0.2">
      <c r="A270" s="262" t="s">
        <v>221</v>
      </c>
      <c r="B270" s="283">
        <v>55</v>
      </c>
      <c r="C270" s="249" t="s">
        <v>26</v>
      </c>
    </row>
    <row r="271" spans="1:3" s="249" customFormat="1" x14ac:dyDescent="0.2">
      <c r="A271" s="262" t="s">
        <v>186</v>
      </c>
      <c r="B271" s="284">
        <v>5</v>
      </c>
      <c r="C271" s="249" t="s">
        <v>69</v>
      </c>
    </row>
    <row r="272" spans="1:3" s="249" customFormat="1" x14ac:dyDescent="0.2">
      <c r="A272" s="262" t="s">
        <v>436</v>
      </c>
      <c r="B272" s="283">
        <v>55</v>
      </c>
      <c r="C272" s="263" t="s">
        <v>54</v>
      </c>
    </row>
    <row r="273" spans="1:3" s="249" customFormat="1" x14ac:dyDescent="0.2">
      <c r="A273" s="262" t="s">
        <v>56</v>
      </c>
      <c r="B273" s="284">
        <v>1</v>
      </c>
      <c r="C273" s="247"/>
    </row>
    <row r="274" spans="1:3" s="249" customFormat="1" x14ac:dyDescent="0.2">
      <c r="A274" s="262" t="s">
        <v>52</v>
      </c>
      <c r="B274" s="284">
        <v>0.4</v>
      </c>
      <c r="C274" s="247"/>
    </row>
    <row r="275" spans="1:3" s="249" customFormat="1" x14ac:dyDescent="0.2">
      <c r="A275" s="262" t="s">
        <v>62</v>
      </c>
      <c r="B275" s="284">
        <v>1</v>
      </c>
      <c r="C275" s="247"/>
    </row>
    <row r="276" spans="1:3" s="249" customFormat="1" x14ac:dyDescent="0.2">
      <c r="A276" s="262" t="s">
        <v>471</v>
      </c>
      <c r="B276" s="283">
        <v>5</v>
      </c>
      <c r="C276" s="249" t="s">
        <v>224</v>
      </c>
    </row>
    <row r="277" spans="1:3" s="249" customFormat="1" x14ac:dyDescent="0.2">
      <c r="A277" s="262" t="s">
        <v>472</v>
      </c>
      <c r="B277" s="283">
        <v>0</v>
      </c>
      <c r="C277" s="249" t="s">
        <v>224</v>
      </c>
    </row>
    <row r="278" spans="1:3" s="249" customFormat="1" x14ac:dyDescent="0.2">
      <c r="A278" s="262" t="s">
        <v>103</v>
      </c>
      <c r="B278" s="283">
        <v>0.4</v>
      </c>
      <c r="C278" s="247"/>
    </row>
    <row r="279" spans="1:3" s="249" customFormat="1" x14ac:dyDescent="0.2">
      <c r="A279" s="262" t="s">
        <v>220</v>
      </c>
      <c r="B279" s="283">
        <v>5</v>
      </c>
      <c r="C279" s="249" t="s">
        <v>129</v>
      </c>
    </row>
    <row r="280" spans="1:3" s="249" customFormat="1" x14ac:dyDescent="0.2">
      <c r="A280" s="262" t="s">
        <v>219</v>
      </c>
      <c r="B280" s="283">
        <v>11</v>
      </c>
      <c r="C280" s="249" t="s">
        <v>130</v>
      </c>
    </row>
    <row r="281" spans="1:3" s="249" customFormat="1" x14ac:dyDescent="0.2">
      <c r="A281" s="663" t="s">
        <v>576</v>
      </c>
      <c r="B281" s="663"/>
      <c r="C281" s="663"/>
    </row>
    <row r="282" spans="1:3" s="249" customFormat="1" x14ac:dyDescent="0.2">
      <c r="A282" s="263" t="s">
        <v>577</v>
      </c>
      <c r="B282" s="283">
        <v>2</v>
      </c>
    </row>
    <row r="283" spans="1:3" s="249" customFormat="1" x14ac:dyDescent="0.2">
      <c r="A283" s="249" t="s">
        <v>100</v>
      </c>
      <c r="B283" s="283">
        <v>0.6</v>
      </c>
    </row>
    <row r="284" spans="1:3" s="249" customFormat="1" x14ac:dyDescent="0.2">
      <c r="A284" s="249" t="s">
        <v>107</v>
      </c>
      <c r="B284" s="283">
        <v>20</v>
      </c>
      <c r="C284" s="249" t="s">
        <v>69</v>
      </c>
    </row>
    <row r="285" spans="1:3" s="249" customFormat="1" x14ac:dyDescent="0.2">
      <c r="A285" s="263" t="s">
        <v>39</v>
      </c>
      <c r="B285" s="283">
        <v>50</v>
      </c>
      <c r="C285" s="249" t="s">
        <v>69</v>
      </c>
    </row>
    <row r="286" spans="1:3" s="249" customFormat="1" x14ac:dyDescent="0.2">
      <c r="A286" s="263" t="s">
        <v>83</v>
      </c>
      <c r="B286" s="283">
        <v>2</v>
      </c>
      <c r="C286" s="249" t="s">
        <v>582</v>
      </c>
    </row>
    <row r="287" spans="1:3" s="249" customFormat="1" x14ac:dyDescent="0.2">
      <c r="A287" s="249" t="s">
        <v>109</v>
      </c>
      <c r="B287" s="283">
        <v>2</v>
      </c>
      <c r="C287" s="249" t="s">
        <v>110</v>
      </c>
    </row>
    <row r="288" spans="1:3" s="249" customFormat="1" x14ac:dyDescent="0.2">
      <c r="A288" s="249" t="s">
        <v>114</v>
      </c>
      <c r="B288" s="283">
        <v>0.36</v>
      </c>
      <c r="C288" s="249" t="s">
        <v>582</v>
      </c>
    </row>
    <row r="289" spans="1:3" s="249" customFormat="1" x14ac:dyDescent="0.2">
      <c r="A289" s="249" t="s">
        <v>116</v>
      </c>
      <c r="B289" s="283">
        <v>2</v>
      </c>
      <c r="C289" s="249" t="s">
        <v>113</v>
      </c>
    </row>
    <row r="290" spans="1:3" s="249" customFormat="1" x14ac:dyDescent="0.2">
      <c r="A290" s="249" t="s">
        <v>118</v>
      </c>
      <c r="B290" s="283">
        <v>2</v>
      </c>
      <c r="C290" s="249" t="s">
        <v>113</v>
      </c>
    </row>
    <row r="291" spans="1:3" s="249" customFormat="1" x14ac:dyDescent="0.2">
      <c r="A291" s="249" t="s">
        <v>119</v>
      </c>
      <c r="B291" s="283">
        <v>2</v>
      </c>
      <c r="C291" s="249" t="s">
        <v>113</v>
      </c>
    </row>
    <row r="293" spans="1:3" s="249" customFormat="1" x14ac:dyDescent="0.2">
      <c r="A293" s="95" t="s">
        <v>299</v>
      </c>
      <c r="B293" s="365">
        <v>27.027027027027</v>
      </c>
    </row>
  </sheetData>
  <mergeCells count="336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N19:CN21"/>
    <mergeCell ref="CO19:CO21"/>
    <mergeCell ref="CP19:CP21"/>
    <mergeCell ref="CQ19:CQ21"/>
    <mergeCell ref="CR19:CR21"/>
    <mergeCell ref="CS19:CS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G19:CG21"/>
    <mergeCell ref="CK19:CK21"/>
    <mergeCell ref="CL19:CL21"/>
    <mergeCell ref="CM19:CM21"/>
    <mergeCell ref="CB18:CD18"/>
    <mergeCell ref="CE18:CG18"/>
    <mergeCell ref="CK18:CM18"/>
    <mergeCell ref="CN18:CP18"/>
    <mergeCell ref="GY2:GY4"/>
    <mergeCell ref="GZ2:GZ4"/>
    <mergeCell ref="HA2:HA4"/>
    <mergeCell ref="HB2:HB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CQ18:CS18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U2:AU4"/>
    <mergeCell ref="AV2:AV4"/>
    <mergeCell ref="AW2:AW4"/>
    <mergeCell ref="AN2:AN4"/>
    <mergeCell ref="AO2:AO4"/>
    <mergeCell ref="AP2:AP4"/>
    <mergeCell ref="AQ2:AQ4"/>
    <mergeCell ref="AR2:AR4"/>
    <mergeCell ref="BC2:BC4"/>
    <mergeCell ref="GU1:GW1"/>
    <mergeCell ref="GX1:GZ1"/>
    <mergeCell ref="HA1:HC1"/>
    <mergeCell ref="HD1:HF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DX1:DZ1"/>
    <mergeCell ref="FN1:FP1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AC2:AC4"/>
    <mergeCell ref="CT1:CV1"/>
    <mergeCell ref="CW1:CY1"/>
    <mergeCell ref="CZ1:DB1"/>
    <mergeCell ref="DC1:DE1"/>
    <mergeCell ref="Y1:AA1"/>
    <mergeCell ref="AB1:AB4"/>
    <mergeCell ref="AI1:AK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AL2:AL4"/>
    <mergeCell ref="AM2:AM4"/>
    <mergeCell ref="AD2:AD4"/>
    <mergeCell ref="AE2:AE4"/>
    <mergeCell ref="AF2:AF4"/>
    <mergeCell ref="AG2:AG4"/>
    <mergeCell ref="AH2:AH4"/>
    <mergeCell ref="AI2:AI4"/>
    <mergeCell ref="AJ2:AJ4"/>
    <mergeCell ref="AK2:AK4"/>
    <mergeCell ref="FB1:FD1"/>
    <mergeCell ref="FE1:FG1"/>
    <mergeCell ref="FH1:FJ1"/>
    <mergeCell ref="FK1:FM1"/>
    <mergeCell ref="EM1:EO1"/>
    <mergeCell ref="EP1:ER1"/>
    <mergeCell ref="ES1:EU1"/>
    <mergeCell ref="EV1:EX1"/>
    <mergeCell ref="EY1:FA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S2:AS4"/>
    <mergeCell ref="AT2:AT4"/>
    <mergeCell ref="GC1:GE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DF1:DH1"/>
    <mergeCell ref="CE1:CG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O2:O4"/>
    <mergeCell ref="P2:P4"/>
    <mergeCell ref="Q2:Q4"/>
    <mergeCell ref="A5:C5"/>
    <mergeCell ref="R2:R4"/>
    <mergeCell ref="S2:S4"/>
    <mergeCell ref="T2:T4"/>
    <mergeCell ref="U2:U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3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13" style="289" bestFit="1" customWidth="1"/>
    <col min="6" max="6" width="20.140625" style="249" bestFit="1" customWidth="1"/>
    <col min="7" max="7" width="15" style="249" bestFit="1" customWidth="1"/>
    <col min="8" max="8" width="9.85546875" style="289" bestFit="1" customWidth="1"/>
    <col min="9" max="9" width="14.42578125" style="249" bestFit="1" customWidth="1"/>
    <col min="10" max="10" width="15" style="249" bestFit="1" customWidth="1"/>
    <col min="11" max="11" width="13" style="289" bestFit="1" customWidth="1"/>
    <col min="12" max="12" width="17.140625" style="249" bestFit="1" customWidth="1"/>
    <col min="13" max="13" width="11" style="249" bestFit="1" customWidth="1"/>
    <col min="14" max="14" width="13" style="289" bestFit="1" customWidth="1"/>
    <col min="15" max="15" width="21.28515625" style="249" bestFit="1" customWidth="1"/>
    <col min="16" max="16" width="12.42578125" style="249" bestFit="1" customWidth="1"/>
    <col min="17" max="17" width="13" style="289" bestFit="1" customWidth="1"/>
    <col min="18" max="18" width="18.7109375" style="249" bestFit="1" customWidth="1"/>
    <col min="19" max="19" width="13.5703125" style="249" bestFit="1" customWidth="1"/>
    <col min="20" max="20" width="13" style="289" bestFit="1" customWidth="1"/>
    <col min="21" max="21" width="18.7109375" style="249" bestFit="1" customWidth="1"/>
    <col min="22" max="22" width="10" style="249" bestFit="1" customWidth="1"/>
    <col min="23" max="23" width="13" style="289" bestFit="1" customWidth="1"/>
    <col min="24" max="24" width="17.42578125" style="249" bestFit="1" customWidth="1"/>
    <col min="25" max="25" width="10" style="249" bestFit="1" customWidth="1"/>
    <col min="26" max="26" width="13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13" style="289" bestFit="1" customWidth="1"/>
    <col min="37" max="37" width="17.42578125" style="249" bestFit="1" customWidth="1"/>
    <col min="38" max="38" width="11" style="249" bestFit="1" customWidth="1"/>
    <col min="39" max="39" width="13" style="289" bestFit="1" customWidth="1"/>
    <col min="40" max="40" width="16.42578125" style="249" bestFit="1" customWidth="1"/>
    <col min="41" max="41" width="12.7109375" style="249" bestFit="1" customWidth="1"/>
    <col min="42" max="42" width="13" style="289" bestFit="1" customWidth="1"/>
    <col min="43" max="43" width="16.42578125" style="249" bestFit="1" customWidth="1"/>
    <col min="44" max="44" width="9.5703125" style="249" bestFit="1" customWidth="1"/>
    <col min="45" max="45" width="13" style="289" bestFit="1" customWidth="1"/>
    <col min="46" max="46" width="17.42578125" style="249" bestFit="1" customWidth="1"/>
    <col min="47" max="47" width="11" style="249" bestFit="1" customWidth="1"/>
    <col min="48" max="48" width="13" style="289" bestFit="1" customWidth="1"/>
    <col min="49" max="49" width="16.42578125" style="249" bestFit="1" customWidth="1"/>
    <col min="50" max="50" width="12.7109375" style="249" bestFit="1" customWidth="1"/>
    <col min="51" max="51" width="13" style="289" bestFit="1" customWidth="1"/>
    <col min="52" max="52" width="16.42578125" style="249" bestFit="1" customWidth="1"/>
    <col min="53" max="53" width="9.5703125" style="249" bestFit="1" customWidth="1"/>
    <col min="54" max="54" width="13" style="289" bestFit="1" customWidth="1"/>
    <col min="55" max="55" width="17.42578125" style="249" bestFit="1" customWidth="1"/>
    <col min="56" max="56" width="11" style="249" bestFit="1" customWidth="1"/>
    <col min="57" max="57" width="13" style="289" bestFit="1" customWidth="1"/>
    <col min="58" max="58" width="16.42578125" style="249" bestFit="1" customWidth="1"/>
    <col min="59" max="59" width="12.7109375" style="249" bestFit="1" customWidth="1"/>
    <col min="60" max="60" width="13" style="289" bestFit="1" customWidth="1"/>
    <col min="61" max="61" width="16.42578125" style="249" bestFit="1" customWidth="1"/>
    <col min="62" max="62" width="11" style="249" bestFit="1" customWidth="1"/>
    <col min="63" max="63" width="13" style="289" bestFit="1" customWidth="1"/>
    <col min="64" max="64" width="17.42578125" style="249" bestFit="1" customWidth="1"/>
    <col min="65" max="65" width="12.42578125" style="249" bestFit="1" customWidth="1"/>
    <col min="66" max="66" width="13" style="289" bestFit="1" customWidth="1"/>
    <col min="67" max="67" width="16.42578125" style="249" bestFit="1" customWidth="1"/>
    <col min="68" max="68" width="13.5703125" style="249" bestFit="1" customWidth="1"/>
    <col min="69" max="69" width="13" style="289" bestFit="1" customWidth="1"/>
    <col min="70" max="70" width="16.42578125" style="249" bestFit="1" customWidth="1"/>
    <col min="71" max="71" width="10" style="249" bestFit="1" customWidth="1"/>
    <col min="72" max="72" width="13" style="289" bestFit="1" customWidth="1"/>
    <col min="73" max="73" width="17.42578125" style="249" bestFit="1" customWidth="1"/>
    <col min="74" max="74" width="11.5703125" style="249" bestFit="1" customWidth="1"/>
    <col min="75" max="75" width="13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13" style="289" bestFit="1" customWidth="1"/>
    <col min="82" max="82" width="17.42578125" style="249" bestFit="1" customWidth="1"/>
    <col min="83" max="83" width="12.42578125" style="249" bestFit="1" customWidth="1"/>
    <col min="84" max="84" width="13" style="289" bestFit="1" customWidth="1"/>
    <col min="85" max="85" width="16.42578125" style="249" bestFit="1" customWidth="1"/>
    <col min="86" max="86" width="13.5703125" style="249" bestFit="1" customWidth="1"/>
    <col min="87" max="87" width="13" style="289" bestFit="1" customWidth="1"/>
    <col min="88" max="88" width="16.42578125" style="249" bestFit="1" customWidth="1"/>
    <col min="89" max="89" width="8.7109375" style="249" bestFit="1" customWidth="1"/>
    <col min="90" max="90" width="13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" style="249" bestFit="1" customWidth="1"/>
    <col min="98" max="98" width="14.5703125" style="249" bestFit="1" customWidth="1"/>
    <col min="99" max="99" width="13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13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5.57031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13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" style="249" bestFit="1" customWidth="1"/>
    <col min="128" max="128" width="12" style="249" bestFit="1" customWidth="1"/>
    <col min="129" max="129" width="8.85546875" style="289" bestFit="1" customWidth="1"/>
    <col min="130" max="130" width="5.57031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" style="249" bestFit="1" customWidth="1"/>
    <col min="143" max="143" width="12" style="249" bestFit="1" customWidth="1"/>
    <col min="144" max="144" width="8.85546875" style="289" bestFit="1" customWidth="1"/>
    <col min="145" max="145" width="5.5703125" style="249" bestFit="1" customWidth="1"/>
    <col min="146" max="146" width="12" style="249" bestFit="1" customWidth="1"/>
    <col min="147" max="147" width="8.85546875" style="289" bestFit="1" customWidth="1"/>
    <col min="148" max="148" width="5.57031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" style="249" bestFit="1" customWidth="1"/>
    <col min="158" max="158" width="8.5703125" style="249" bestFit="1" customWidth="1"/>
    <col min="159" max="159" width="8.85546875" style="289" bestFit="1" customWidth="1"/>
    <col min="160" max="160" width="5.5703125" style="249" bestFit="1" customWidth="1"/>
    <col min="161" max="161" width="10.140625" style="249" bestFit="1" customWidth="1"/>
    <col min="162" max="162" width="8.8554687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5.5703125" style="249" bestFit="1" customWidth="1"/>
    <col min="173" max="173" width="4.85546875" style="249" bestFit="1" customWidth="1"/>
    <col min="174" max="174" width="9.28515625" style="289" bestFit="1" customWidth="1"/>
    <col min="175" max="175" width="5.5703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" style="249" bestFit="1" customWidth="1"/>
    <col min="188" max="188" width="12" style="249" bestFit="1" customWidth="1"/>
    <col min="189" max="189" width="9.28515625" style="289" bestFit="1" customWidth="1"/>
    <col min="190" max="190" width="5.5703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" style="249" bestFit="1" customWidth="1"/>
    <col min="203" max="203" width="12" style="249" bestFit="1" customWidth="1"/>
    <col min="204" max="204" width="8.85546875" style="289" bestFit="1" customWidth="1"/>
    <col min="205" max="205" width="5.5703125" style="249" bestFit="1" customWidth="1"/>
    <col min="206" max="206" width="12" style="249" bestFit="1" customWidth="1"/>
    <col min="207" max="207" width="8.8554687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customHeight="1" thickTop="1" thickBot="1" x14ac:dyDescent="0.25">
      <c r="A1" s="682" t="s">
        <v>8</v>
      </c>
      <c r="B1" s="683"/>
      <c r="C1" s="684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4"/>
      <c r="P1" s="645" t="s">
        <v>512</v>
      </c>
      <c r="Q1" s="613"/>
      <c r="R1" s="614"/>
      <c r="S1" s="645" t="s">
        <v>513</v>
      </c>
      <c r="T1" s="613"/>
      <c r="U1" s="646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1/((1/H10)+(1/H11)+(1/H12)+(1/H13))</f>
        <v>1.4045655600183655E-2</v>
      </c>
      <c r="I2" s="625" t="s">
        <v>304</v>
      </c>
      <c r="J2" s="619" t="s">
        <v>507</v>
      </c>
      <c r="K2" s="623">
        <f>1/((1/K14)+(1/K15)+(1/K16)+(1/K17))</f>
        <v>2.4156279463513019E-2</v>
      </c>
      <c r="L2" s="621" t="s">
        <v>303</v>
      </c>
      <c r="M2" s="617" t="s">
        <v>516</v>
      </c>
      <c r="N2" s="647">
        <f>((N5*N6*N7)/((1-EXP(-N7*N6))*N10*N15*(N9/365)*N13*(((N14/24)*N12)+((N16/24)*N11))))/N17</f>
        <v>1.856811800751838E-2</v>
      </c>
      <c r="O2" s="689" t="s">
        <v>303</v>
      </c>
      <c r="P2" s="639" t="s">
        <v>516</v>
      </c>
      <c r="Q2" s="647">
        <f>((Q5*Q6*Q7)/((1-EXP(-Q7*Q6))*Q10*Q15*(Q9/365)*Q13*(((Q14/24)*Q12)+((Q16/24)*Q11))))/Q17</f>
        <v>1.4286390434485036E-2</v>
      </c>
      <c r="R2" s="637" t="s">
        <v>303</v>
      </c>
      <c r="S2" s="639" t="s">
        <v>516</v>
      </c>
      <c r="T2" s="647">
        <f>((T5*T6*T7)/((1-EXP(-T7*T6))*T10*T15*(T9/365)*T13*(((T14/24)*T12)+((T16/24)*T11))))/T17</f>
        <v>3.2637774435895711E-3</v>
      </c>
      <c r="U2" s="643" t="s">
        <v>303</v>
      </c>
      <c r="V2" s="55"/>
      <c r="W2" s="357"/>
      <c r="X2" s="56"/>
      <c r="Y2" s="57"/>
      <c r="Z2" s="357"/>
      <c r="AA2" s="58"/>
      <c r="AB2" s="650"/>
      <c r="AC2" s="660">
        <f>1/((1/AC32)+(1/AC33)+(1/AC34))</f>
        <v>9.8359316680173586E-2</v>
      </c>
      <c r="AD2" s="657">
        <f>1/((1/AD32)+(1/AD33)+(1/AD34))</f>
        <v>0.24545341645401397</v>
      </c>
      <c r="AE2" s="657">
        <f>1/((1/AE32)+(1/AE33)+(1/AE34))</f>
        <v>9.8359316680173586E-2</v>
      </c>
      <c r="AF2" s="657">
        <f>1/((1/AF32)+(1/AF33)+(1/AF34))</f>
        <v>1.5033756748817382</v>
      </c>
      <c r="AG2" s="654">
        <f>1/((1/AG32)+(1/AG33)+(1/AG34))</f>
        <v>1.5296974489990238</v>
      </c>
      <c r="AH2" s="652" t="s">
        <v>303</v>
      </c>
      <c r="AI2" s="381" t="s">
        <v>516</v>
      </c>
      <c r="AJ2" s="387">
        <f>((AJ5*AJ6*AJ7)/((1-EXP(-AJ7*AJ6))*AJ15*(AJ9/365)*AJ10*(AJ16/24)*AJ11*AJ13))/AJ17</f>
        <v>0.24619577219294228</v>
      </c>
      <c r="AK2" s="629" t="s">
        <v>303</v>
      </c>
      <c r="AL2" s="383" t="s">
        <v>516</v>
      </c>
      <c r="AM2" s="387">
        <f>((AM5*AM6*AM7)/((1-EXP(-AM7*AM6))*AM15*(AM9/365)*AM10*(AM16/24)*AM11*AM13))/AM17</f>
        <v>1.2054260506739276</v>
      </c>
      <c r="AN2" s="629" t="s">
        <v>303</v>
      </c>
      <c r="AO2" s="383" t="s">
        <v>516</v>
      </c>
      <c r="AP2" s="387">
        <f>((AP5*AP6*AP7)/((1-EXP(-AP7*AP6))*AP15*(AP9/365)*AP10*(AP16/24)*AP11*AP13))/AP17</f>
        <v>0.27538393075189938</v>
      </c>
      <c r="AQ2" s="635" t="s">
        <v>303</v>
      </c>
      <c r="AR2" s="381" t="s">
        <v>516</v>
      </c>
      <c r="AS2" s="387">
        <f>((AS5*AS6*AS7)/((1-EXP(-AS7*AS6))*AS15*(AS9/365)*AS10*(AS14/24)*AS12*AS13))/AS17</f>
        <v>9.8478308877176915E-2</v>
      </c>
      <c r="AT2" s="391" t="s">
        <v>303</v>
      </c>
      <c r="AU2" s="383" t="s">
        <v>516</v>
      </c>
      <c r="AV2" s="387">
        <f>((AV5*AV6*AV7)/((1-EXP(-AV7*AV6))*AV15*(AV9/365)*AV10*(AV14/24)*AV12*AV13))/AV17</f>
        <v>0.48217042026957113</v>
      </c>
      <c r="AW2" s="391" t="s">
        <v>303</v>
      </c>
      <c r="AX2" s="383" t="s">
        <v>516</v>
      </c>
      <c r="AY2" s="387">
        <f>((AY5*AY6*AY7)/((1-EXP(-AY7*AY6))*AY15*(AY9/365)*AY10*(AY14/24)*AY12*AY13))/AY17</f>
        <v>0.11015357230075976</v>
      </c>
      <c r="AZ2" s="385" t="s">
        <v>303</v>
      </c>
      <c r="BA2" s="381" t="s">
        <v>516</v>
      </c>
      <c r="BB2" s="387">
        <f>((BB5*BB6*BB7)/((1-EXP(-BB7*BB6))*BB15*(BB9/365)*BB10*((BB14+BB16)/24)*BB12*BB13))/BB17</f>
        <v>9.8478308877176915E-2</v>
      </c>
      <c r="BC2" s="391" t="s">
        <v>303</v>
      </c>
      <c r="BD2" s="383" t="s">
        <v>516</v>
      </c>
      <c r="BE2" s="387">
        <f>((BE5*BE6*BE7)/((1-EXP(-BE7*BE6))*BE15*(BE9/365)*BE10*((BE14+BE16)/24)*BE12*BE13))/BE17</f>
        <v>0.48217042026957113</v>
      </c>
      <c r="BF2" s="391" t="s">
        <v>303</v>
      </c>
      <c r="BG2" s="383" t="s">
        <v>516</v>
      </c>
      <c r="BH2" s="387">
        <f>((BH5*BH6*BH7)/((1-EXP(-BH7*BH6))*BH15*(BH9/365)*BH10*((BH14+BH16)/24)*BH12*BH13))/BH17</f>
        <v>0.11015357230075976</v>
      </c>
      <c r="BI2" s="385" t="s">
        <v>303</v>
      </c>
      <c r="BJ2" s="381" t="s">
        <v>558</v>
      </c>
      <c r="BK2" s="389">
        <f>((BK5*BK6*BK7)/((1-EXP(-BK7*BK6))*BK12*BK16*(BK9/365)*BK14*(BK15/24)*BK13))/BK17</f>
        <v>1.5595780590644415</v>
      </c>
      <c r="BL2" s="391" t="s">
        <v>303</v>
      </c>
      <c r="BM2" s="383" t="s">
        <v>559</v>
      </c>
      <c r="BN2" s="389">
        <f>((BN5*BN6*BN7)/((1-EXP(-BN7*BN6))*BN12*BN16*(BN9/365)*BN14*(BN15/24)*BN13))/BN17</f>
        <v>17.052948737911407</v>
      </c>
      <c r="BO2" s="391" t="s">
        <v>303</v>
      </c>
      <c r="BP2" s="383" t="s">
        <v>560</v>
      </c>
      <c r="BQ2" s="389">
        <f>((BQ5*BQ6*BQ7)/((1-EXP(-BQ7*BQ6))*BQ12*BQ16*(BQ9/365)*BQ14*(BQ15/24)*BQ13))/BQ17</f>
        <v>2.0671986154208151</v>
      </c>
      <c r="BR2" s="385" t="s">
        <v>303</v>
      </c>
      <c r="BS2" s="59"/>
      <c r="BT2" s="110"/>
      <c r="BU2" s="250"/>
      <c r="BV2" s="402" t="s">
        <v>563</v>
      </c>
      <c r="BW2" s="400">
        <f>1/((1/BW10)+(1/BW11))</f>
        <v>0.12447051720608868</v>
      </c>
      <c r="BX2" s="404" t="s">
        <v>304</v>
      </c>
      <c r="BY2" s="402" t="s">
        <v>563</v>
      </c>
      <c r="BZ2" s="400">
        <f>1/((1/BZ13)+(1/BZ14)+(1/BZ15))</f>
        <v>1.223114910141063</v>
      </c>
      <c r="CA2" s="398" t="s">
        <v>303</v>
      </c>
      <c r="CB2" s="410" t="s">
        <v>558</v>
      </c>
      <c r="CC2" s="400">
        <f>((CC5*CC6*CC7)/((1-EXP(-CC7*CC6))*CC10*CC14*(CC9/365)*CC12*(CC13/24)*CC11))/CC15</f>
        <v>1.3798513286285545</v>
      </c>
      <c r="CD2" s="404" t="s">
        <v>303</v>
      </c>
      <c r="CE2" s="402" t="s">
        <v>559</v>
      </c>
      <c r="CF2" s="400">
        <f>((CF5*CF6*CF7)/((1-EXP(-CF7*CF6))*CF10*CF14*(CF9/365)*CF12*(CF13/24)*CF11))/CF15</f>
        <v>15.087756484056438</v>
      </c>
      <c r="CG2" s="404" t="s">
        <v>303</v>
      </c>
      <c r="CH2" s="402" t="s">
        <v>560</v>
      </c>
      <c r="CI2" s="400">
        <f>((CI5*CI6*CI7)/((1-EXP(-CI7*CI6))*CI10*CI14*(CI9/365)*CI12*(CI13/24)*CI11))/CI15</f>
        <v>1.8289733812609754</v>
      </c>
      <c r="CJ2" s="398" t="s">
        <v>303</v>
      </c>
      <c r="CK2" s="410" t="s">
        <v>510</v>
      </c>
      <c r="CL2" s="400">
        <f>(CL5/(CL6*CL7*CL8*CL9))/CL10</f>
        <v>0.50774308200050822</v>
      </c>
      <c r="CM2" s="404" t="s">
        <v>303</v>
      </c>
      <c r="CN2" s="402" t="s">
        <v>7</v>
      </c>
      <c r="CO2" s="400">
        <f>(CL2/(CO5*((CO10*CO12*CO13*(CO6+CO7))+(CO11*CO12))))*CL13</f>
        <v>87.817834953377741</v>
      </c>
      <c r="CP2" s="412" t="s">
        <v>303</v>
      </c>
      <c r="CQ2" s="402" t="s">
        <v>6</v>
      </c>
      <c r="CR2" s="400">
        <f>CL2/(CR5*CR6*(1/CR7))</f>
        <v>188.05299333352156</v>
      </c>
      <c r="CS2" s="415" t="s">
        <v>304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((DD5)/(DD6*(DD7+DD10)*DD20))/DD23</f>
        <v>2.7275454818209118E-3</v>
      </c>
      <c r="DE2" s="672" t="s">
        <v>303</v>
      </c>
      <c r="DF2" s="670" t="s">
        <v>510</v>
      </c>
      <c r="DG2" s="668">
        <f>(DD2/((1/DG24)*(DG5+DG6+DG7)))</f>
        <v>0.2450945023121667</v>
      </c>
      <c r="DH2" s="666" t="s">
        <v>304</v>
      </c>
      <c r="DI2" s="680" t="s">
        <v>510</v>
      </c>
      <c r="DJ2" s="668">
        <f>(DD2/(DJ5+DJ6))*CU11</f>
        <v>1.3233223986705182E-2</v>
      </c>
      <c r="DK2" s="666" t="s">
        <v>304</v>
      </c>
      <c r="DL2" s="680" t="s">
        <v>554</v>
      </c>
      <c r="DM2" s="668">
        <f>(DD2/(DM5+DM6))*((DM9*DD21)/(1-EXP(-DD21*DM9)))</f>
        <v>1.3233223986705182E-2</v>
      </c>
      <c r="DN2" s="666" t="s">
        <v>304</v>
      </c>
      <c r="DO2" s="680" t="s">
        <v>553</v>
      </c>
      <c r="DP2" s="668">
        <f>-(DP5+DP6+DP7)/(DP23+DP24)</f>
        <v>-39.016043743831744</v>
      </c>
      <c r="DQ2" s="678" t="s">
        <v>19</v>
      </c>
      <c r="DR2" s="556" t="s">
        <v>510</v>
      </c>
      <c r="DS2" s="460">
        <f>(DS5/(DS6*DS7*DS16))/DS20</f>
        <v>5.4550909636418236E-3</v>
      </c>
      <c r="DT2" s="466" t="s">
        <v>303</v>
      </c>
      <c r="DU2" s="464" t="s">
        <v>510</v>
      </c>
      <c r="DV2" s="462">
        <f>DS2/(DV5*(1/DV8)*DV6*(1/DV7))</f>
        <v>13.27680456651956</v>
      </c>
      <c r="DW2" s="480" t="s">
        <v>304</v>
      </c>
      <c r="DX2" s="478" t="s">
        <v>510</v>
      </c>
      <c r="DY2" s="462">
        <f>(DS2/(DY9*(1/DY14)*((DY10*DY12*DY13*(DY5+DY6))+(DY11*DY12))))*CU11</f>
        <v>0.278761342591068</v>
      </c>
      <c r="DZ2" s="480" t="s">
        <v>304</v>
      </c>
      <c r="EA2" s="478" t="s">
        <v>554</v>
      </c>
      <c r="EB2" s="462">
        <f>(DS2/(EB9*(1/EB14)*((EB10*EB12*EB13*(EB5+EB6))+(EB11*EB12))))*((EB15*DS18)/(1-EXP(-DS18*EB15)))</f>
        <v>0.278761342591068</v>
      </c>
      <c r="EC2" s="480" t="s">
        <v>304</v>
      </c>
      <c r="ED2" s="478" t="s">
        <v>553</v>
      </c>
      <c r="EE2" s="462">
        <f>-EE15/((EE10*EE12*EE13*(EE5+EE6))+(EE11*EE12))</f>
        <v>-15.172254564045053</v>
      </c>
      <c r="EF2" s="476" t="s">
        <v>19</v>
      </c>
      <c r="EG2" s="474" t="s">
        <v>510</v>
      </c>
      <c r="EH2" s="472">
        <f>(EH5/(EH6*EH7*EH16))/EH20</f>
        <v>5.4550909636418236E-3</v>
      </c>
      <c r="EI2" s="470" t="s">
        <v>303</v>
      </c>
      <c r="EJ2" s="468" t="s">
        <v>510</v>
      </c>
      <c r="EK2" s="502">
        <f>EH2/(EK5*EK6*(1/EK7))</f>
        <v>4.6784656635007069</v>
      </c>
      <c r="EL2" s="500" t="s">
        <v>304</v>
      </c>
      <c r="EM2" s="504" t="s">
        <v>510</v>
      </c>
      <c r="EN2" s="502">
        <f>(EH2/(EN9*((EN10*EN12*EN13*(EN5+EN6))+(EN11*EN12))))*CU11</f>
        <v>9.0685231095283189E-2</v>
      </c>
      <c r="EO2" s="500" t="s">
        <v>303</v>
      </c>
      <c r="EP2" s="504" t="s">
        <v>554</v>
      </c>
      <c r="EQ2" s="502">
        <f>(EH2/(EQ9*((EQ10*EQ12*EQ13*(EQ5+EQ6))+(EQ11*EQ12))))*((EQ14*EH18)/(1-EXP(-EH18*EQ14)))</f>
        <v>9.0685231095283189E-2</v>
      </c>
      <c r="ER2" s="500" t="s">
        <v>304</v>
      </c>
      <c r="ES2" s="504" t="s">
        <v>553</v>
      </c>
      <c r="ET2" s="502">
        <f>-ET15/((ET10*ET12*ET13*(ET5+ET6))+(ET11*ET12))</f>
        <v>-14.006971771987642</v>
      </c>
      <c r="EU2" s="514" t="s">
        <v>19</v>
      </c>
      <c r="EV2" s="512" t="s">
        <v>510</v>
      </c>
      <c r="EW2" s="510">
        <f>(EW5/(EW6*EW7*EW16))/EW20</f>
        <v>5.4550909636418236E-3</v>
      </c>
      <c r="EX2" s="508" t="s">
        <v>303</v>
      </c>
      <c r="EY2" s="506" t="s">
        <v>510</v>
      </c>
      <c r="EZ2" s="494">
        <f>EW2/(EZ5*EZ6*(1/EZ7))</f>
        <v>34.094318522761391</v>
      </c>
      <c r="FA2" s="498" t="s">
        <v>304</v>
      </c>
      <c r="FB2" s="496" t="s">
        <v>510</v>
      </c>
      <c r="FC2" s="494">
        <f>(EW2/(FC9*((FC10*FC12*FC13*(FC5+FC6))+(FC11*FC12))))*CU11</f>
        <v>0.24257792273315668</v>
      </c>
      <c r="FD2" s="498" t="s">
        <v>303</v>
      </c>
      <c r="FE2" s="496" t="s">
        <v>554</v>
      </c>
      <c r="FF2" s="494">
        <f>(EW2/(FF9*((FF10*FF12*FF13*(FF5+FF6))+(FF11*FF12))))*((FF14*EW18)/(1-EXP(-EW18*FF14)))</f>
        <v>0.24257792273315668</v>
      </c>
      <c r="FG2" s="498" t="s">
        <v>304</v>
      </c>
      <c r="FH2" s="496" t="s">
        <v>553</v>
      </c>
      <c r="FI2" s="494">
        <f>-FI15/((FI10*FI12*FI13*(FI5+FI6))+(FI11*FI12))</f>
        <v>-5.1413881748071981</v>
      </c>
      <c r="FJ2" s="492" t="s">
        <v>19</v>
      </c>
      <c r="FK2" s="490" t="s">
        <v>510</v>
      </c>
      <c r="FL2" s="488">
        <f>(FL5/(FL6*FL7*FL16))/FL20</f>
        <v>5.4550909636418236E-3</v>
      </c>
      <c r="FM2" s="486" t="s">
        <v>303</v>
      </c>
      <c r="FN2" s="484" t="s">
        <v>510</v>
      </c>
      <c r="FO2" s="430">
        <f>FL2/(FO5*(1/FO6))</f>
        <v>2.1820363854567295E-3</v>
      </c>
      <c r="FP2" s="428" t="s">
        <v>304</v>
      </c>
      <c r="FQ2" s="482" t="s">
        <v>510</v>
      </c>
      <c r="FR2" s="430">
        <f>((FL2*FR6)/FR5)*CU11</f>
        <v>3.019609982182335E-5</v>
      </c>
      <c r="FS2" s="428" t="s">
        <v>303</v>
      </c>
      <c r="FT2" s="426" t="s">
        <v>554</v>
      </c>
      <c r="FU2" s="430">
        <f>((FL2*FU6)/FU5)*((FU7*FL18)/(1-EXP(-FL18*FU7)))</f>
        <v>3.019609982182335E-5</v>
      </c>
      <c r="FV2" s="428" t="s">
        <v>304</v>
      </c>
      <c r="FW2" s="426" t="s">
        <v>553</v>
      </c>
      <c r="FX2" s="430">
        <f>-FX5/FX6</f>
        <v>-0.01</v>
      </c>
      <c r="FY2" s="438" t="s">
        <v>19</v>
      </c>
      <c r="FZ2" s="436" t="s">
        <v>510</v>
      </c>
      <c r="GA2" s="434">
        <f>(GA5/(GA6*GA7*GA16))/GA20</f>
        <v>5.4550909636418236E-3</v>
      </c>
      <c r="GB2" s="432" t="s">
        <v>303</v>
      </c>
      <c r="GC2" s="458" t="s">
        <v>510</v>
      </c>
      <c r="GD2" s="417">
        <f>(GA2/(GD5*GD6*(1/GD7)))</f>
        <v>5.0510101515202068</v>
      </c>
      <c r="GE2" s="421" t="s">
        <v>304</v>
      </c>
      <c r="GF2" s="419" t="s">
        <v>510</v>
      </c>
      <c r="GG2" s="417">
        <f>(GA2/((GG9)*((GG10*GG12*GG13*(GG5+GG6))+(GG11*GG12))))*CU11</f>
        <v>3.5937470034541737E-2</v>
      </c>
      <c r="GH2" s="421" t="s">
        <v>303</v>
      </c>
      <c r="GI2" s="419" t="s">
        <v>554</v>
      </c>
      <c r="GJ2" s="417">
        <f>(GA2/((GJ9)*((GJ10*GJ12*GJ13*(GJ5+GJ6))+(GJ11*GJ12))))*((GJ14*GA18)/(1-EXP(-GA18*GJ14)))</f>
        <v>3.5937470034541737E-2</v>
      </c>
      <c r="GK2" s="421" t="s">
        <v>304</v>
      </c>
      <c r="GL2" s="419" t="s">
        <v>553</v>
      </c>
      <c r="GM2" s="417">
        <f>-GM15/((GM10*GM12*GM13*(GM5+GM6))+(GM11*GM12))</f>
        <v>-5.1413881748071981</v>
      </c>
      <c r="GN2" s="456" t="s">
        <v>19</v>
      </c>
      <c r="GO2" s="454" t="s">
        <v>510</v>
      </c>
      <c r="GP2" s="452">
        <f>(GP5/(GP6*GP7*GP15))/GP19</f>
        <v>5.4550909636418236E-3</v>
      </c>
      <c r="GQ2" s="450" t="s">
        <v>303</v>
      </c>
      <c r="GR2" s="448" t="s">
        <v>510</v>
      </c>
      <c r="GS2" s="442">
        <f>GP2/(GS5*GS6*(1/GS7))</f>
        <v>2.3925837559832557</v>
      </c>
      <c r="GT2" s="446" t="s">
        <v>304</v>
      </c>
      <c r="GU2" s="444" t="s">
        <v>510</v>
      </c>
      <c r="GV2" s="442">
        <f>(GP2/((GV9)*((GV10*GV12*GV13*(GV5+GV6))+(GV11*GV12))))*CU11</f>
        <v>2.2449964180859566E-2</v>
      </c>
      <c r="GW2" s="446" t="s">
        <v>303</v>
      </c>
      <c r="GX2" s="444" t="s">
        <v>554</v>
      </c>
      <c r="GY2" s="442">
        <f>(GP2/((GY9)*((GY10*GY12*GY13*(GY5+GY6))+(GY11*GY12))))*((GY14*GP17)/(1-EXP(-GP17*GY14)))</f>
        <v>2.2449964180859566E-2</v>
      </c>
      <c r="GZ2" s="446" t="s">
        <v>304</v>
      </c>
      <c r="HA2" s="444" t="s">
        <v>553</v>
      </c>
      <c r="HB2" s="442">
        <f>-HB15/((HB10*HB12*HB13*(HB5+HB6))+(HB11*HB12))</f>
        <v>-6.7804674953904707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362">
        <v>8.5099999999999995E-2</v>
      </c>
      <c r="C3" s="240"/>
      <c r="D3" s="317" t="s">
        <v>15</v>
      </c>
      <c r="E3" s="285">
        <f>1/((1/E20)+(1/E21))</f>
        <v>5.4314170666619815E-3</v>
      </c>
      <c r="F3" s="253" t="s">
        <v>302</v>
      </c>
      <c r="G3" s="627"/>
      <c r="H3" s="623"/>
      <c r="I3" s="625"/>
      <c r="J3" s="619"/>
      <c r="K3" s="623"/>
      <c r="L3" s="621"/>
      <c r="M3" s="617"/>
      <c r="N3" s="647"/>
      <c r="O3" s="689"/>
      <c r="P3" s="639"/>
      <c r="Q3" s="647"/>
      <c r="R3" s="637"/>
      <c r="S3" s="639"/>
      <c r="T3" s="647"/>
      <c r="U3" s="643"/>
      <c r="V3" s="319" t="s">
        <v>16</v>
      </c>
      <c r="W3" s="358">
        <f>1/((1/W18)+(1/W19))</f>
        <v>0.11038682859643265</v>
      </c>
      <c r="X3" s="254" t="s">
        <v>302</v>
      </c>
      <c r="Y3" s="321" t="s">
        <v>16</v>
      </c>
      <c r="Z3" s="358">
        <f>1/((1/Z18)+(1/Z19))</f>
        <v>0.11038682859643265</v>
      </c>
      <c r="AA3" s="255" t="s">
        <v>302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7.3533031056346843E-2</v>
      </c>
      <c r="BU3" s="250" t="s">
        <v>302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3.0013394764447076E-5</v>
      </c>
      <c r="CV3" s="71" t="s">
        <v>303</v>
      </c>
      <c r="CW3" s="326" t="s">
        <v>15</v>
      </c>
      <c r="CX3" s="117">
        <f>1/((1/CX20)+(1/CX21))</f>
        <v>5.7801115005473563E-3</v>
      </c>
      <c r="CY3" s="256" t="s">
        <v>302</v>
      </c>
      <c r="CZ3" s="338" t="s">
        <v>285</v>
      </c>
      <c r="DA3" s="336">
        <f>1/((1/DA13)+(1/DA15)+(1/DA16)+(1/DA17)+(1/DA18)+(1/DA19)+(1/DA20)+(1/DA21)+(1/DA22))</f>
        <v>2.127206989063431E-3</v>
      </c>
      <c r="DB3" s="72" t="s">
        <v>303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9.5065442615912835E-2</v>
      </c>
      <c r="HF3" s="252" t="s">
        <v>303</v>
      </c>
    </row>
    <row r="4" spans="1:214" ht="13.5" customHeight="1" thickBot="1" x14ac:dyDescent="0.25">
      <c r="A4" s="279" t="s">
        <v>457</v>
      </c>
      <c r="B4" s="364">
        <v>0.74199999999999999</v>
      </c>
      <c r="C4" s="242"/>
      <c r="D4" s="318" t="s">
        <v>16</v>
      </c>
      <c r="E4" s="286">
        <f>1/((1/E22)+(1/E23))</f>
        <v>6.7743315551531992E-3</v>
      </c>
      <c r="F4" s="257" t="s">
        <v>302</v>
      </c>
      <c r="G4" s="628"/>
      <c r="H4" s="624"/>
      <c r="I4" s="626"/>
      <c r="J4" s="620"/>
      <c r="K4" s="624"/>
      <c r="L4" s="622"/>
      <c r="M4" s="618"/>
      <c r="N4" s="648"/>
      <c r="O4" s="690"/>
      <c r="P4" s="640"/>
      <c r="Q4" s="648"/>
      <c r="R4" s="638"/>
      <c r="S4" s="640"/>
      <c r="T4" s="648"/>
      <c r="U4" s="644"/>
      <c r="V4" s="320" t="s">
        <v>15</v>
      </c>
      <c r="W4" s="359">
        <f>1/((1/W16)+(1/W17))</f>
        <v>0.10428320767991006</v>
      </c>
      <c r="X4" s="258" t="s">
        <v>302</v>
      </c>
      <c r="Y4" s="322" t="s">
        <v>15</v>
      </c>
      <c r="Z4" s="359">
        <f>1/((1/Z16)+(1/Z17))</f>
        <v>0.10428320767991006</v>
      </c>
      <c r="AA4" s="259" t="s">
        <v>302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9.7665782880564558E-2</v>
      </c>
      <c r="BU4" s="260" t="s">
        <v>302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9.0505275377277764E-3</v>
      </c>
      <c r="CV4" s="73" t="s">
        <v>303</v>
      </c>
      <c r="CW4" s="327" t="s">
        <v>16</v>
      </c>
      <c r="CX4" s="106">
        <f>1/((1/CX22)+(1/CX23))</f>
        <v>7.9988044660980438E-3</v>
      </c>
      <c r="CY4" s="261" t="s">
        <v>302</v>
      </c>
      <c r="CZ4" s="339" t="s">
        <v>11</v>
      </c>
      <c r="DA4" s="337">
        <f>1/((1/DA15)+(1/DA16)+(1/DA13))</f>
        <v>9.1927277698527085E-2</v>
      </c>
      <c r="DB4" s="74" t="s">
        <v>303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1.8043988259536047E-4</v>
      </c>
      <c r="HF4" s="75" t="s">
        <v>303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2.7</v>
      </c>
      <c r="CQ5" s="262" t="s">
        <v>264</v>
      </c>
      <c r="CR5" s="287">
        <f>CO5</f>
        <v>2.7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0.66252863179360322</v>
      </c>
      <c r="DH5" s="249" t="s">
        <v>19</v>
      </c>
      <c r="DI5" s="262" t="s">
        <v>20</v>
      </c>
      <c r="DJ5" s="305">
        <f>DJ7</f>
        <v>2.5229999999999999E-2</v>
      </c>
      <c r="DK5" s="262"/>
      <c r="DL5" s="262" t="s">
        <v>20</v>
      </c>
      <c r="DM5" s="305">
        <f>DM7</f>
        <v>2.5229999999999999E-2</v>
      </c>
      <c r="DO5" s="249" t="s">
        <v>18</v>
      </c>
      <c r="DP5" s="118">
        <f>(DP8*DP9*DP10*((1-EXP(-DP11*DP12))))/(DP13*DP11)</f>
        <v>0.66252863179360322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4.5999999999999999E-3</v>
      </c>
      <c r="DW5" s="262"/>
      <c r="DX5" s="262" t="s">
        <v>21</v>
      </c>
      <c r="DY5" s="305">
        <f>DY7</f>
        <v>2.9000000000000001E-2</v>
      </c>
      <c r="DZ5" s="262"/>
      <c r="EA5" s="262" t="s">
        <v>21</v>
      </c>
      <c r="EB5" s="305">
        <f>EB7</f>
        <v>2.9000000000000001E-2</v>
      </c>
      <c r="EC5" s="263"/>
      <c r="ED5" s="262" t="s">
        <v>21</v>
      </c>
      <c r="EE5" s="305">
        <f>EE7</f>
        <v>2.9000000000000001E-2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2.1999999999999999E-2</v>
      </c>
      <c r="EL5" s="262"/>
      <c r="EM5" s="262" t="s">
        <v>21</v>
      </c>
      <c r="EN5" s="305">
        <f>EN7</f>
        <v>2.9000000000000001E-2</v>
      </c>
      <c r="EO5" s="262"/>
      <c r="EP5" s="262" t="s">
        <v>21</v>
      </c>
      <c r="EQ5" s="305">
        <f>EQ7</f>
        <v>2.9000000000000001E-2</v>
      </c>
      <c r="ER5" s="263"/>
      <c r="ES5" s="262" t="s">
        <v>21</v>
      </c>
      <c r="ET5" s="305">
        <f>ET7</f>
        <v>2.9000000000000001E-2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0.4</v>
      </c>
      <c r="FA5" s="262"/>
      <c r="FB5" s="262" t="s">
        <v>21</v>
      </c>
      <c r="FC5" s="305">
        <f>FC7</f>
        <v>2.9000000000000001E-2</v>
      </c>
      <c r="FD5" s="262"/>
      <c r="FE5" s="262" t="s">
        <v>21</v>
      </c>
      <c r="FF5" s="305">
        <f>FF7</f>
        <v>2.9000000000000001E-2</v>
      </c>
      <c r="FG5" s="263"/>
      <c r="FH5" s="263" t="s">
        <v>21</v>
      </c>
      <c r="FI5" s="290">
        <f>FI7</f>
        <v>2.9000000000000001E-2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2500</v>
      </c>
      <c r="FP5" s="263"/>
      <c r="FQ5" s="263" t="s">
        <v>122</v>
      </c>
      <c r="FR5" s="298">
        <f>B36</f>
        <v>2500</v>
      </c>
      <c r="FS5" s="263"/>
      <c r="FT5" s="263" t="s">
        <v>122</v>
      </c>
      <c r="FU5" s="298">
        <f>B36</f>
        <v>2500</v>
      </c>
      <c r="FV5" s="263"/>
      <c r="FW5" s="262" t="s">
        <v>181</v>
      </c>
      <c r="FX5" s="305">
        <f>B46</f>
        <v>10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2.7</v>
      </c>
      <c r="GE5" s="262"/>
      <c r="GF5" s="262" t="s">
        <v>21</v>
      </c>
      <c r="GG5" s="305">
        <f>GG7</f>
        <v>2.9000000000000001E-2</v>
      </c>
      <c r="GH5" s="262"/>
      <c r="GI5" s="262" t="s">
        <v>21</v>
      </c>
      <c r="GJ5" s="305">
        <f>GJ7</f>
        <v>2.9000000000000001E-2</v>
      </c>
      <c r="GK5" s="262"/>
      <c r="GL5" s="262" t="s">
        <v>21</v>
      </c>
      <c r="GM5" s="305">
        <f>GM7</f>
        <v>2.9000000000000001E-2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0.2</v>
      </c>
      <c r="GT5" s="262"/>
      <c r="GU5" s="262" t="s">
        <v>21</v>
      </c>
      <c r="GV5" s="305">
        <f>GV7</f>
        <v>2.9000000000000001E-2</v>
      </c>
      <c r="GW5" s="262"/>
      <c r="GX5" s="262" t="s">
        <v>21</v>
      </c>
      <c r="GY5" s="305">
        <f>GY7</f>
        <v>2.9000000000000001E-2</v>
      </c>
      <c r="GZ5" s="262"/>
      <c r="HA5" s="262" t="s">
        <v>21</v>
      </c>
      <c r="HB5" s="305">
        <f>HB7</f>
        <v>2.9000000000000001E-2</v>
      </c>
      <c r="HC5" s="263"/>
      <c r="HD5" s="265" t="s">
        <v>22</v>
      </c>
      <c r="HE5" s="305">
        <f>B47</f>
        <v>7.4000074000074001</v>
      </c>
      <c r="HF5" s="262" t="s">
        <v>304</v>
      </c>
    </row>
    <row r="6" spans="1:214" ht="13.5" thickTop="1" x14ac:dyDescent="0.2">
      <c r="A6" s="278" t="s">
        <v>454</v>
      </c>
      <c r="B6" s="362">
        <v>4.3299999999999998E-2</v>
      </c>
      <c r="C6" s="240"/>
      <c r="D6" s="262" t="s">
        <v>23</v>
      </c>
      <c r="E6" s="288">
        <f>0.693/E7</f>
        <v>2.2972045705420805E-2</v>
      </c>
      <c r="G6" s="262" t="s">
        <v>439</v>
      </c>
      <c r="H6" s="287">
        <f>B20</f>
        <v>3.0487999999999999E-11</v>
      </c>
      <c r="I6" s="262" t="s">
        <v>35</v>
      </c>
      <c r="J6" s="262" t="s">
        <v>316</v>
      </c>
      <c r="K6" s="287">
        <f>B21</f>
        <v>4.2549999999999998E-11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2.2972045705420805E-2</v>
      </c>
      <c r="Y6" s="262" t="s">
        <v>23</v>
      </c>
      <c r="Z6" s="288">
        <f>0.693/Z7</f>
        <v>2.2972045705420805E-2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BK12</f>
        <v>5</v>
      </c>
      <c r="BR6" s="249" t="s">
        <v>69</v>
      </c>
      <c r="BS6" s="262" t="s">
        <v>23</v>
      </c>
      <c r="BT6" s="288">
        <f>0.693/BT7</f>
        <v>2.2972045705420805E-2</v>
      </c>
      <c r="BV6" s="262" t="s">
        <v>163</v>
      </c>
      <c r="BW6" s="287">
        <f>B20</f>
        <v>3.0487999999999999E-11</v>
      </c>
      <c r="BX6" s="262" t="s">
        <v>35</v>
      </c>
      <c r="BY6" s="262" t="s">
        <v>45</v>
      </c>
      <c r="BZ6" s="287">
        <f>B21</f>
        <v>4.2549999999999998E-11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3.7370000000000003E-11</v>
      </c>
      <c r="CM6" s="266" t="s">
        <v>13</v>
      </c>
      <c r="CN6" s="263" t="s">
        <v>21</v>
      </c>
      <c r="CO6" s="290">
        <f>CO8</f>
        <v>2.9000000000000001E-2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4.2549999999999998E-11</v>
      </c>
      <c r="CV6" s="262" t="s">
        <v>35</v>
      </c>
      <c r="CW6" s="262" t="s">
        <v>23</v>
      </c>
      <c r="CX6" s="288">
        <f>0.693/CX7</f>
        <v>2.2972045705420805E-2</v>
      </c>
      <c r="CZ6" s="262" t="s">
        <v>163</v>
      </c>
      <c r="DA6" s="287">
        <f>B20</f>
        <v>3.0487999999999999E-11</v>
      </c>
      <c r="DB6" s="262" t="s">
        <v>35</v>
      </c>
      <c r="DC6" s="262" t="s">
        <v>438</v>
      </c>
      <c r="DD6" s="287">
        <f>B30</f>
        <v>3.7370000000000003E-11</v>
      </c>
      <c r="DE6" s="267" t="s">
        <v>35</v>
      </c>
      <c r="DF6" s="249" t="s">
        <v>27</v>
      </c>
      <c r="DG6" s="118">
        <f>(DG8*DG9*DG14*((1-EXP(-DG11*DG12))))/(DG13*DG11)</f>
        <v>6.8274849094862002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6.8274849094862002</v>
      </c>
      <c r="DQ6" s="249" t="s">
        <v>19</v>
      </c>
      <c r="DR6" s="262" t="s">
        <v>438</v>
      </c>
      <c r="DS6" s="287">
        <f>B30</f>
        <v>3.7370000000000003E-11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3.7370000000000003E-11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3.7370000000000003E-11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3.7370000000000003E-11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10</v>
      </c>
      <c r="FS6" s="249" t="s">
        <v>19</v>
      </c>
      <c r="FT6" s="262" t="s">
        <v>181</v>
      </c>
      <c r="FU6" s="305">
        <f>B46</f>
        <v>10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3.7370000000000003E-11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3.7370000000000003E-11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1.4045655600183655E-2</v>
      </c>
      <c r="HF6" s="262" t="s">
        <v>304</v>
      </c>
    </row>
    <row r="7" spans="1:214" x14ac:dyDescent="0.2">
      <c r="A7" s="279" t="s">
        <v>455</v>
      </c>
      <c r="B7" s="363">
        <v>0.65300000000000002</v>
      </c>
      <c r="C7" s="241"/>
      <c r="D7" s="266" t="s">
        <v>270</v>
      </c>
      <c r="E7" s="287">
        <f>B31</f>
        <v>30.167100000000001</v>
      </c>
      <c r="F7" s="249" t="s">
        <v>69</v>
      </c>
      <c r="G7" s="262" t="s">
        <v>43</v>
      </c>
      <c r="H7" s="290">
        <f>B19</f>
        <v>1.1248E-10</v>
      </c>
      <c r="I7" s="263" t="s">
        <v>35</v>
      </c>
      <c r="J7" s="262" t="s">
        <v>43</v>
      </c>
      <c r="K7" s="290">
        <f>B19</f>
        <v>1.1248E-10</v>
      </c>
      <c r="L7" s="263" t="s">
        <v>35</v>
      </c>
      <c r="M7" s="262" t="s">
        <v>23</v>
      </c>
      <c r="N7" s="288">
        <f>0.693/N8</f>
        <v>2.2972045705420805E-2</v>
      </c>
      <c r="P7" s="262" t="s">
        <v>23</v>
      </c>
      <c r="Q7" s="288">
        <f>0.693/Q8</f>
        <v>2.2972045705420805E-2</v>
      </c>
      <c r="S7" s="262" t="s">
        <v>23</v>
      </c>
      <c r="T7" s="288">
        <f>0.693/T8</f>
        <v>2.2972045705420805E-2</v>
      </c>
      <c r="V7" s="266" t="s">
        <v>270</v>
      </c>
      <c r="W7" s="287">
        <f>B31</f>
        <v>30.167100000000001</v>
      </c>
      <c r="X7" s="249" t="s">
        <v>69</v>
      </c>
      <c r="Y7" s="266" t="s">
        <v>270</v>
      </c>
      <c r="Z7" s="287">
        <f>B31</f>
        <v>30.167100000000001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2.2972045705420805E-2</v>
      </c>
      <c r="AL7" s="262" t="s">
        <v>23</v>
      </c>
      <c r="AM7" s="288">
        <f>0.693/AM8</f>
        <v>2.2972045705420805E-2</v>
      </c>
      <c r="AO7" s="262" t="s">
        <v>23</v>
      </c>
      <c r="AP7" s="288">
        <f>0.693/AP8</f>
        <v>2.2972045705420805E-2</v>
      </c>
      <c r="AR7" s="262" t="s">
        <v>23</v>
      </c>
      <c r="AS7" s="288">
        <f>0.693/AS8</f>
        <v>2.2972045705420805E-2</v>
      </c>
      <c r="AU7" s="262" t="s">
        <v>23</v>
      </c>
      <c r="AV7" s="288">
        <f>0.693/AV8</f>
        <v>2.2972045705420805E-2</v>
      </c>
      <c r="AX7" s="262" t="s">
        <v>23</v>
      </c>
      <c r="AY7" s="288">
        <f>0.693/AY8</f>
        <v>2.2972045705420805E-2</v>
      </c>
      <c r="BA7" s="262" t="s">
        <v>23</v>
      </c>
      <c r="BB7" s="288">
        <f>0.693/BB8</f>
        <v>2.2972045705420805E-2</v>
      </c>
      <c r="BD7" s="262" t="s">
        <v>23</v>
      </c>
      <c r="BE7" s="288">
        <f>0.693/BE8</f>
        <v>2.2972045705420805E-2</v>
      </c>
      <c r="BG7" s="262" t="s">
        <v>23</v>
      </c>
      <c r="BH7" s="288">
        <f>0.693/BH8</f>
        <v>2.2972045705420805E-2</v>
      </c>
      <c r="BJ7" s="262" t="s">
        <v>23</v>
      </c>
      <c r="BK7" s="288">
        <f>0.693/BK8</f>
        <v>2.2972045705420805E-2</v>
      </c>
      <c r="BM7" s="262" t="s">
        <v>23</v>
      </c>
      <c r="BN7" s="288">
        <f>0.693/BN8</f>
        <v>2.2972045705420805E-2</v>
      </c>
      <c r="BP7" s="262" t="s">
        <v>23</v>
      </c>
      <c r="BQ7" s="288">
        <f>0.693/BQ8</f>
        <v>2.2972045705420805E-2</v>
      </c>
      <c r="BS7" s="266" t="s">
        <v>270</v>
      </c>
      <c r="BT7" s="287">
        <f>B31</f>
        <v>30.167100000000001</v>
      </c>
      <c r="BU7" s="249" t="s">
        <v>69</v>
      </c>
      <c r="BV7" s="262" t="s">
        <v>43</v>
      </c>
      <c r="BW7" s="290">
        <f>E10</f>
        <v>1.1248E-10</v>
      </c>
      <c r="BX7" s="263" t="s">
        <v>35</v>
      </c>
      <c r="BY7" s="262" t="s">
        <v>43</v>
      </c>
      <c r="BZ7" s="290">
        <f>B19</f>
        <v>1.1248E-10</v>
      </c>
      <c r="CA7" s="263" t="s">
        <v>35</v>
      </c>
      <c r="CB7" s="262" t="s">
        <v>23</v>
      </c>
      <c r="CC7" s="288">
        <f>0.693/CC8</f>
        <v>2.2972045705420805E-2</v>
      </c>
      <c r="CE7" s="262" t="s">
        <v>23</v>
      </c>
      <c r="CF7" s="288">
        <f>0.693/CF8</f>
        <v>2.2972045705420805E-2</v>
      </c>
      <c r="CH7" s="262" t="s">
        <v>23</v>
      </c>
      <c r="CI7" s="288">
        <f>0.693/CI8</f>
        <v>2.2972045705420805E-2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1.1248E-10</v>
      </c>
      <c r="CV7" s="263" t="s">
        <v>35</v>
      </c>
      <c r="CW7" s="266" t="s">
        <v>270</v>
      </c>
      <c r="CX7" s="287">
        <f>B31</f>
        <v>30.167100000000001</v>
      </c>
      <c r="CY7" s="249" t="s">
        <v>69</v>
      </c>
      <c r="CZ7" s="263" t="s">
        <v>43</v>
      </c>
      <c r="DA7" s="290">
        <f>B19</f>
        <v>1.1248E-10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3.6385326157733249</v>
      </c>
      <c r="DH7" s="249" t="s">
        <v>19</v>
      </c>
      <c r="DI7" s="262" t="s">
        <v>37</v>
      </c>
      <c r="DJ7" s="287">
        <f>B44</f>
        <v>2.5229999999999999E-2</v>
      </c>
      <c r="DL7" s="262" t="s">
        <v>37</v>
      </c>
      <c r="DM7" s="287">
        <f>B44</f>
        <v>2.5229999999999999E-2</v>
      </c>
      <c r="DO7" s="249" t="s">
        <v>36</v>
      </c>
      <c r="DP7" s="118">
        <f>(DP8*DP9*DP15*DP21*((1-EXP(-DP16*DP17))))/(DP18*DP16)</f>
        <v>3.6385326157733249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2.9000000000000001E-2</v>
      </c>
      <c r="EA7" s="262" t="s">
        <v>38</v>
      </c>
      <c r="EB7" s="287">
        <f>B45</f>
        <v>2.9000000000000001E-2</v>
      </c>
      <c r="EC7" s="263"/>
      <c r="ED7" s="262" t="s">
        <v>38</v>
      </c>
      <c r="EE7" s="287">
        <f>B45</f>
        <v>2.9000000000000001E-2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2.9000000000000001E-2</v>
      </c>
      <c r="EP7" s="262" t="s">
        <v>38</v>
      </c>
      <c r="EQ7" s="287">
        <f>B45</f>
        <v>2.9000000000000001E-2</v>
      </c>
      <c r="ER7" s="263"/>
      <c r="ES7" s="262" t="s">
        <v>38</v>
      </c>
      <c r="ET7" s="287">
        <f>B45</f>
        <v>2.9000000000000001E-2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2.9000000000000001E-2</v>
      </c>
      <c r="FD7" s="262"/>
      <c r="FE7" s="262" t="s">
        <v>38</v>
      </c>
      <c r="FF7" s="305">
        <f>B45</f>
        <v>2.9000000000000001E-2</v>
      </c>
      <c r="FG7" s="263"/>
      <c r="FH7" s="263" t="s">
        <v>38</v>
      </c>
      <c r="FI7" s="290">
        <f>B45</f>
        <v>2.9000000000000001E-2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2.9000000000000001E-2</v>
      </c>
      <c r="GH7" s="262"/>
      <c r="GI7" s="262" t="s">
        <v>38</v>
      </c>
      <c r="GJ7" s="305">
        <f>B45</f>
        <v>2.9000000000000001E-2</v>
      </c>
      <c r="GK7" s="262"/>
      <c r="GL7" s="262" t="s">
        <v>38</v>
      </c>
      <c r="GM7" s="305">
        <f>B45</f>
        <v>2.9000000000000001E-2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2.9000000000000001E-2</v>
      </c>
      <c r="GW7" s="262"/>
      <c r="GX7" s="262" t="s">
        <v>38</v>
      </c>
      <c r="GY7" s="305">
        <f>B45</f>
        <v>2.9000000000000001E-2</v>
      </c>
      <c r="GZ7" s="262"/>
      <c r="HA7" s="262" t="s">
        <v>38</v>
      </c>
      <c r="HB7" s="305">
        <f>B45</f>
        <v>2.9000000000000001E-2</v>
      </c>
      <c r="HC7" s="263"/>
      <c r="HD7" s="262" t="s">
        <v>23</v>
      </c>
      <c r="HE7" s="288">
        <f>0.693/HE8</f>
        <v>2.2972045705420805E-2</v>
      </c>
    </row>
    <row r="8" spans="1:214" x14ac:dyDescent="0.2">
      <c r="A8" s="279" t="s">
        <v>458</v>
      </c>
      <c r="B8" s="363">
        <v>5.0099999999999999E-2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5.1609299040000001E-12</v>
      </c>
      <c r="I8" s="263" t="s">
        <v>35</v>
      </c>
      <c r="J8" s="262" t="s">
        <v>71</v>
      </c>
      <c r="K8" s="287">
        <f>B23</f>
        <v>2.5337597040000001E-6</v>
      </c>
      <c r="L8" s="262" t="s">
        <v>445</v>
      </c>
      <c r="M8" s="266" t="s">
        <v>270</v>
      </c>
      <c r="N8" s="287">
        <f>B31</f>
        <v>30.167100000000001</v>
      </c>
      <c r="O8" s="249" t="s">
        <v>69</v>
      </c>
      <c r="P8" s="266" t="s">
        <v>270</v>
      </c>
      <c r="Q8" s="287">
        <f>B31</f>
        <v>30.167100000000001</v>
      </c>
      <c r="R8" s="249" t="s">
        <v>69</v>
      </c>
      <c r="S8" s="266" t="s">
        <v>270</v>
      </c>
      <c r="T8" s="287">
        <f>B31</f>
        <v>30.167100000000001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30.167100000000001</v>
      </c>
      <c r="AK8" s="249" t="s">
        <v>69</v>
      </c>
      <c r="AL8" s="266" t="s">
        <v>270</v>
      </c>
      <c r="AM8" s="287">
        <f>B31</f>
        <v>30.167100000000001</v>
      </c>
      <c r="AN8" s="249" t="s">
        <v>69</v>
      </c>
      <c r="AO8" s="266" t="s">
        <v>270</v>
      </c>
      <c r="AP8" s="287">
        <f>B31</f>
        <v>30.167100000000001</v>
      </c>
      <c r="AQ8" s="249" t="s">
        <v>69</v>
      </c>
      <c r="AR8" s="266" t="s">
        <v>270</v>
      </c>
      <c r="AS8" s="287">
        <f>B31</f>
        <v>30.167100000000001</v>
      </c>
      <c r="AT8" s="249" t="s">
        <v>69</v>
      </c>
      <c r="AU8" s="266" t="s">
        <v>270</v>
      </c>
      <c r="AV8" s="287">
        <f>B31</f>
        <v>30.167100000000001</v>
      </c>
      <c r="AW8" s="249" t="s">
        <v>69</v>
      </c>
      <c r="AX8" s="266" t="s">
        <v>270</v>
      </c>
      <c r="AY8" s="287">
        <f>B31</f>
        <v>30.167100000000001</v>
      </c>
      <c r="AZ8" s="249" t="s">
        <v>69</v>
      </c>
      <c r="BA8" s="266" t="s">
        <v>270</v>
      </c>
      <c r="BB8" s="287">
        <f>B31</f>
        <v>30.167100000000001</v>
      </c>
      <c r="BC8" s="249" t="s">
        <v>69</v>
      </c>
      <c r="BD8" s="266" t="s">
        <v>270</v>
      </c>
      <c r="BE8" s="287">
        <f>B31</f>
        <v>30.167100000000001</v>
      </c>
      <c r="BF8" s="249" t="s">
        <v>69</v>
      </c>
      <c r="BG8" s="266" t="s">
        <v>270</v>
      </c>
      <c r="BH8" s="287">
        <f>B31</f>
        <v>30.167100000000001</v>
      </c>
      <c r="BI8" s="249" t="s">
        <v>69</v>
      </c>
      <c r="BJ8" s="266" t="s">
        <v>270</v>
      </c>
      <c r="BK8" s="287">
        <f>B31</f>
        <v>30.167100000000001</v>
      </c>
      <c r="BL8" s="249" t="s">
        <v>69</v>
      </c>
      <c r="BM8" s="266" t="s">
        <v>270</v>
      </c>
      <c r="BN8" s="287">
        <f>B31</f>
        <v>30.167100000000001</v>
      </c>
      <c r="BO8" s="249" t="s">
        <v>69</v>
      </c>
      <c r="BP8" s="266" t="s">
        <v>270</v>
      </c>
      <c r="BQ8" s="287">
        <f>B31</f>
        <v>30.167100000000001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5.1609299040000001E-12</v>
      </c>
      <c r="BX8" s="263" t="s">
        <v>35</v>
      </c>
      <c r="BY8" s="262" t="s">
        <v>71</v>
      </c>
      <c r="BZ8" s="287">
        <f>B23</f>
        <v>2.5337597040000001E-6</v>
      </c>
      <c r="CA8" s="262" t="s">
        <v>95</v>
      </c>
      <c r="CB8" s="266" t="s">
        <v>270</v>
      </c>
      <c r="CC8" s="287">
        <f>B31</f>
        <v>30.167100000000001</v>
      </c>
      <c r="CD8" s="249" t="s">
        <v>69</v>
      </c>
      <c r="CE8" s="266" t="s">
        <v>270</v>
      </c>
      <c r="CF8" s="287">
        <f>B31</f>
        <v>30.167100000000001</v>
      </c>
      <c r="CG8" s="249" t="s">
        <v>69</v>
      </c>
      <c r="CH8" s="266" t="s">
        <v>270</v>
      </c>
      <c r="CI8" s="287">
        <f>B31</f>
        <v>30.167100000000001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2.9000000000000001E-2</v>
      </c>
      <c r="CT8" s="262" t="s">
        <v>71</v>
      </c>
      <c r="CU8" s="287">
        <f>B23</f>
        <v>2.5337597040000001E-6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5.1609299040000001E-12</v>
      </c>
      <c r="DB8" s="262" t="s">
        <v>35</v>
      </c>
      <c r="DC8" s="262" t="s">
        <v>380</v>
      </c>
      <c r="DD8" s="311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30.167100000000001</v>
      </c>
      <c r="HF8" s="249" t="s">
        <v>69</v>
      </c>
    </row>
    <row r="9" spans="1:214" x14ac:dyDescent="0.2">
      <c r="A9" s="279" t="s">
        <v>459</v>
      </c>
      <c r="B9" s="363">
        <v>0.72599999999999998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3.7370000000000003E-11</v>
      </c>
      <c r="I9" s="267" t="s">
        <v>35</v>
      </c>
      <c r="J9" s="262" t="s">
        <v>438</v>
      </c>
      <c r="K9" s="287">
        <f>B30</f>
        <v>3.7370000000000003E-11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3.1782999999999999E-11</v>
      </c>
      <c r="AD9" s="287">
        <f>B22</f>
        <v>3.1782999999999999E-11</v>
      </c>
      <c r="AE9" s="287">
        <f>B22</f>
        <v>3.1782999999999999E-11</v>
      </c>
      <c r="AF9" s="287">
        <f>B22</f>
        <v>3.1782999999999999E-11</v>
      </c>
      <c r="AG9" s="287">
        <f>B22</f>
        <v>3.1782999999999999E-11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3.7370000000000003E-11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3.7370000000000003E-11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3.7370000000000003E-11</v>
      </c>
      <c r="DB9" s="263" t="s">
        <v>35</v>
      </c>
      <c r="DC9" s="262" t="s">
        <v>381</v>
      </c>
      <c r="DD9" s="311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4.5999999999999999E-3</v>
      </c>
      <c r="EA9" s="262" t="s">
        <v>278</v>
      </c>
      <c r="EB9" s="287">
        <f>B37</f>
        <v>4.5999999999999999E-3</v>
      </c>
      <c r="EC9" s="263"/>
      <c r="ED9" s="262" t="s">
        <v>278</v>
      </c>
      <c r="EE9" s="287">
        <f>B37</f>
        <v>4.5999999999999999E-3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2.1999999999999999E-2</v>
      </c>
      <c r="EP9" s="262" t="s">
        <v>275</v>
      </c>
      <c r="EQ9" s="310">
        <f>B38</f>
        <v>2.1999999999999999E-2</v>
      </c>
      <c r="ER9" s="263"/>
      <c r="ES9" s="262" t="s">
        <v>275</v>
      </c>
      <c r="ET9" s="310">
        <f>B38</f>
        <v>2.1999999999999999E-2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0.4</v>
      </c>
      <c r="FD9" s="262"/>
      <c r="FE9" s="262" t="s">
        <v>201</v>
      </c>
      <c r="FF9" s="310">
        <f>B40</f>
        <v>0.4</v>
      </c>
      <c r="FG9" s="263"/>
      <c r="FH9" s="262" t="s">
        <v>201</v>
      </c>
      <c r="FI9" s="310">
        <f>B40</f>
        <v>0.4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2.7</v>
      </c>
      <c r="GH9" s="262"/>
      <c r="GI9" s="262" t="s">
        <v>276</v>
      </c>
      <c r="GJ9" s="310">
        <f>B39</f>
        <v>2.7</v>
      </c>
      <c r="GK9" s="262"/>
      <c r="GL9" s="262" t="s">
        <v>276</v>
      </c>
      <c r="GM9" s="310">
        <f>B39</f>
        <v>2.7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0.2</v>
      </c>
      <c r="GW9" s="262"/>
      <c r="GX9" s="262" t="s">
        <v>277</v>
      </c>
      <c r="GY9" s="310">
        <f>B41</f>
        <v>0.2</v>
      </c>
      <c r="GZ9" s="262"/>
      <c r="HA9" s="262" t="s">
        <v>277</v>
      </c>
      <c r="HB9" s="310">
        <f>B41</f>
        <v>0.2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7.2400000000000006E-2</v>
      </c>
      <c r="C10" s="241"/>
      <c r="D10" s="88" t="s">
        <v>43</v>
      </c>
      <c r="E10" s="187">
        <f>B19</f>
        <v>1.1248E-10</v>
      </c>
      <c r="F10" s="188" t="s">
        <v>35</v>
      </c>
      <c r="G10" s="266" t="s">
        <v>80</v>
      </c>
      <c r="H10" s="294">
        <f>(H5/(H6*H15))/H68</f>
        <v>0.22065313327449276</v>
      </c>
      <c r="I10" s="271" t="s">
        <v>304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1.1248E-10</v>
      </c>
      <c r="X10" s="263" t="s">
        <v>44</v>
      </c>
      <c r="Y10" s="249" t="s">
        <v>43</v>
      </c>
      <c r="Z10" s="290">
        <f>B19</f>
        <v>1.1248E-10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1.1248E-10</v>
      </c>
      <c r="BU10" s="263" t="s">
        <v>35</v>
      </c>
      <c r="BV10" s="266" t="s">
        <v>80</v>
      </c>
      <c r="BW10" s="294">
        <f>(BW5/(BW6*BW12))/BW32</f>
        <v>0.12447099825740614</v>
      </c>
      <c r="BX10" s="271" t="s">
        <v>304</v>
      </c>
      <c r="BY10" s="188" t="s">
        <v>16</v>
      </c>
      <c r="BZ10" s="191">
        <f>(BZ33*BZ11)/(1-EXP(-BZ11*BZ33))</f>
        <v>1.3281892705568645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299</v>
      </c>
      <c r="CL10" s="289">
        <f>B293</f>
        <v>27.027027027027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1.1248E-10</v>
      </c>
      <c r="CY10" s="263" t="s">
        <v>35</v>
      </c>
      <c r="CZ10" s="263" t="s">
        <v>16</v>
      </c>
      <c r="DA10" s="288">
        <f>(DA38*DA11)/(1-EXP(-DA11*DA38))</f>
        <v>1.3838495097093857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2.5229999999999999E-2</v>
      </c>
      <c r="DL10" s="267"/>
      <c r="DO10" s="267" t="s">
        <v>37</v>
      </c>
      <c r="DP10" s="287">
        <f>B44</f>
        <v>2.5229999999999999E-2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0.73599999999999999</v>
      </c>
      <c r="C11" s="241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(H5/(H7*H16*H28))/H68</f>
        <v>1.7398869073510237E-2</v>
      </c>
      <c r="I11" s="271" t="s">
        <v>304</v>
      </c>
      <c r="J11" s="188" t="s">
        <v>16</v>
      </c>
      <c r="K11" s="109">
        <f>(K46*K12)/(1-EXP(-K12*K46))</f>
        <v>1.2472493774661533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(BW5/(BW8*(1/BW31)*BW15))/BW32</f>
        <v>32206.479783141185</v>
      </c>
      <c r="BX11" s="271" t="s">
        <v>304</v>
      </c>
      <c r="BY11" s="266" t="s">
        <v>23</v>
      </c>
      <c r="BZ11" s="109">
        <f>0.693/BZ12</f>
        <v>2.2972045705420805E-2</v>
      </c>
      <c r="CA11" s="88"/>
      <c r="CB11" s="249" t="s">
        <v>456</v>
      </c>
      <c r="CC11" s="287">
        <f>B3</f>
        <v>8.5099999999999995E-2</v>
      </c>
      <c r="CE11" s="249" t="s">
        <v>454</v>
      </c>
      <c r="CF11" s="287">
        <f>B6</f>
        <v>4.3299999999999998E-2</v>
      </c>
      <c r="CH11" s="249" t="s">
        <v>460</v>
      </c>
      <c r="CI11" s="287">
        <f>B10</f>
        <v>7.2400000000000006E-2</v>
      </c>
      <c r="CK11" s="266" t="s">
        <v>270</v>
      </c>
      <c r="CL11" s="287">
        <f>B31</f>
        <v>30.167100000000001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1.3838495097093857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2.2972045705420805E-2</v>
      </c>
      <c r="DC11" s="262" t="s">
        <v>382</v>
      </c>
      <c r="DD11" s="311">
        <f>B141</f>
        <v>55</v>
      </c>
      <c r="DE11" s="267" t="s">
        <v>254</v>
      </c>
      <c r="DF11" s="267" t="s">
        <v>55</v>
      </c>
      <c r="DG11" s="288">
        <f>DG19+DG20</f>
        <v>8.9999999999999992E-5</v>
      </c>
      <c r="DL11" s="267"/>
      <c r="DO11" s="267" t="s">
        <v>55</v>
      </c>
      <c r="DP11" s="288">
        <f>DP19+DP20</f>
        <v>8.9999999999999992E-5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2.6599999999999999E-2</v>
      </c>
      <c r="C12" s="241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(H5/(H8*(1/H45)*H21))/H68</f>
        <v>14273.326267528479</v>
      </c>
      <c r="I12" s="271" t="s">
        <v>304</v>
      </c>
      <c r="J12" s="266" t="s">
        <v>23</v>
      </c>
      <c r="K12" s="109">
        <f>0.693/K13</f>
        <v>2.2972045705420805E-2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30.167100000000001</v>
      </c>
      <c r="CA12" s="88" t="s">
        <v>69</v>
      </c>
      <c r="CB12" s="249" t="s">
        <v>457</v>
      </c>
      <c r="CC12" s="287">
        <f>B4</f>
        <v>0.74199999999999999</v>
      </c>
      <c r="CE12" s="249" t="s">
        <v>455</v>
      </c>
      <c r="CF12" s="287">
        <f>B7</f>
        <v>0.65300000000000002</v>
      </c>
      <c r="CH12" s="249" t="s">
        <v>461</v>
      </c>
      <c r="CI12" s="287">
        <f>B11</f>
        <v>0.73599999999999999</v>
      </c>
      <c r="CK12" s="249" t="s">
        <v>23</v>
      </c>
      <c r="CL12" s="288">
        <f>693/CL11</f>
        <v>22.972045705420804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2.2972045705420805E-2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30.167100000000001</v>
      </c>
      <c r="DB12" s="249" t="s">
        <v>69</v>
      </c>
      <c r="DC12" s="262" t="s">
        <v>383</v>
      </c>
      <c r="DD12" s="311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0.46500000000000002</v>
      </c>
      <c r="C13" s="242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>
        <f>(H14/((1/H42)*(H50+H51+H52)))/H68</f>
        <v>0.10882195902660213</v>
      </c>
      <c r="I13" s="271" t="s">
        <v>304</v>
      </c>
      <c r="J13" s="266" t="s">
        <v>270</v>
      </c>
      <c r="K13" s="189">
        <f>B31</f>
        <v>30.167100000000001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8.5099999999999995E-2</v>
      </c>
      <c r="BM13" s="249" t="s">
        <v>454</v>
      </c>
      <c r="BN13" s="287">
        <f>B6</f>
        <v>4.3299999999999998E-2</v>
      </c>
      <c r="BP13" s="249" t="s">
        <v>460</v>
      </c>
      <c r="BQ13" s="287">
        <f>B10</f>
        <v>7.2400000000000006E-2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>
        <f>((BZ5/(BZ6*BZ16*(1/BZ36)))*BZ10)/BZ37</f>
        <v>10.768738384975094</v>
      </c>
      <c r="CA13" s="271" t="s">
        <v>303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597.27318834094092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30.167100000000001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>
        <f>(DA5/(DA6*DA23))/DA50</f>
        <v>0.14710208884966183</v>
      </c>
      <c r="DB13" s="266" t="s">
        <v>304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>
        <f>(H5/(H9*(H22+H25)*H43))/H68</f>
        <v>3.2730545781850945E-2</v>
      </c>
      <c r="I14" s="271" t="s">
        <v>303</v>
      </c>
      <c r="J14" s="266" t="s">
        <v>80</v>
      </c>
      <c r="K14" s="294">
        <f>((K5/(K6*K19*(1/K49)))*K11)/K54</f>
        <v>17.92668886045497</v>
      </c>
      <c r="L14" s="271" t="s">
        <v>303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2.381967648E-9</v>
      </c>
      <c r="X14" s="262" t="s">
        <v>64</v>
      </c>
      <c r="Y14" s="262" t="s">
        <v>63</v>
      </c>
      <c r="Z14" s="287">
        <f>B28</f>
        <v>2.381967648E-9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0.74199999999999999</v>
      </c>
      <c r="BM14" s="249" t="s">
        <v>455</v>
      </c>
      <c r="BN14" s="287">
        <f>B7</f>
        <v>0.65300000000000002</v>
      </c>
      <c r="BP14" s="249" t="s">
        <v>461</v>
      </c>
      <c r="BQ14" s="287">
        <f>B11</f>
        <v>0.73599999999999999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((BZ5/(BZ7*BZ17*(1/BZ9)*BZ35))*BZ10)/BZ37</f>
        <v>132901.49023199346</v>
      </c>
      <c r="CA14" s="271" t="s">
        <v>303</v>
      </c>
      <c r="CB14" s="249" t="s">
        <v>71</v>
      </c>
      <c r="CC14" s="290">
        <f>B23</f>
        <v>2.5337597040000001E-6</v>
      </c>
      <c r="CD14" s="263" t="s">
        <v>72</v>
      </c>
      <c r="CE14" s="249" t="s">
        <v>71</v>
      </c>
      <c r="CF14" s="290">
        <f>B25</f>
        <v>5.1749414784E-7</v>
      </c>
      <c r="CG14" s="263" t="s">
        <v>72</v>
      </c>
      <c r="CH14" s="249" t="s">
        <v>71</v>
      </c>
      <c r="CI14" s="290">
        <f>B27</f>
        <v>2.2652045279999998E-6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((CU5/(CU6*CU24*(1/CU47)))*CU11)/CU48</f>
        <v>13.260026443496345</v>
      </c>
      <c r="CV14" s="271" t="s">
        <v>303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(DA5/(DA7*DA24*DA46))/DA50</f>
        <v>1.1599246049006825E-2</v>
      </c>
      <c r="DB14" s="266" t="s">
        <v>304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((K5/(K7*K20*(1/K10)*K48))*K11)/K54</f>
        <v>14749.382761518056</v>
      </c>
      <c r="L15" s="271" t="s">
        <v>303</v>
      </c>
      <c r="M15" s="249" t="s">
        <v>448</v>
      </c>
      <c r="N15" s="290">
        <f>B23</f>
        <v>2.5337597040000001E-6</v>
      </c>
      <c r="O15" s="263" t="s">
        <v>446</v>
      </c>
      <c r="P15" s="249" t="s">
        <v>449</v>
      </c>
      <c r="Q15" s="290">
        <f>B25</f>
        <v>5.1749414784E-7</v>
      </c>
      <c r="R15" s="263" t="s">
        <v>446</v>
      </c>
      <c r="S15" s="249" t="s">
        <v>453</v>
      </c>
      <c r="T15" s="290">
        <f>B27</f>
        <v>2.2652045279999998E-6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2.5337597040000001E-6</v>
      </c>
      <c r="AK15" s="263" t="s">
        <v>72</v>
      </c>
      <c r="AL15" s="262" t="s">
        <v>449</v>
      </c>
      <c r="AM15" s="290">
        <f>B25</f>
        <v>5.1749414784E-7</v>
      </c>
      <c r="AN15" s="263" t="s">
        <v>72</v>
      </c>
      <c r="AO15" s="262" t="s">
        <v>452</v>
      </c>
      <c r="AP15" s="290">
        <f>B27</f>
        <v>2.2652045279999998E-6</v>
      </c>
      <c r="AQ15" s="263" t="s">
        <v>72</v>
      </c>
      <c r="AR15" s="249" t="s">
        <v>448</v>
      </c>
      <c r="AS15" s="290">
        <f>B23</f>
        <v>2.5337597040000001E-6</v>
      </c>
      <c r="AT15" s="263" t="s">
        <v>72</v>
      </c>
      <c r="AU15" s="262" t="s">
        <v>449</v>
      </c>
      <c r="AV15" s="290">
        <f>B25</f>
        <v>5.1749414784E-7</v>
      </c>
      <c r="AW15" s="263" t="s">
        <v>72</v>
      </c>
      <c r="AX15" s="262" t="s">
        <v>452</v>
      </c>
      <c r="AY15" s="290">
        <f>B27</f>
        <v>2.2652045279999998E-6</v>
      </c>
      <c r="AZ15" s="263" t="s">
        <v>72</v>
      </c>
      <c r="BA15" s="249" t="s">
        <v>448</v>
      </c>
      <c r="BB15" s="290">
        <f>B23</f>
        <v>2.5337597040000001E-6</v>
      </c>
      <c r="BC15" s="263" t="s">
        <v>72</v>
      </c>
      <c r="BD15" s="262" t="s">
        <v>449</v>
      </c>
      <c r="BE15" s="290">
        <f>B25</f>
        <v>5.1749414784E-7</v>
      </c>
      <c r="BF15" s="263" t="s">
        <v>72</v>
      </c>
      <c r="BG15" s="262" t="s">
        <v>452</v>
      </c>
      <c r="BH15" s="290">
        <f>B27</f>
        <v>2.2652045279999998E-6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(((BZ5)/(BZ8*BZ22*(1/BZ34)*BZ25*BZ28*(1/24)*BZ31*BZ32))*BZ10)/BZ37</f>
        <v>1.3798513286285545</v>
      </c>
      <c r="CA15" s="271" t="s">
        <v>303</v>
      </c>
      <c r="CB15" s="95" t="s">
        <v>299</v>
      </c>
      <c r="CC15" s="289">
        <f>B293</f>
        <v>27.027027027027</v>
      </c>
      <c r="CE15" s="95" t="s">
        <v>299</v>
      </c>
      <c r="CF15" s="289">
        <f>B293</f>
        <v>27.027027027027</v>
      </c>
      <c r="CH15" s="95" t="s">
        <v>299</v>
      </c>
      <c r="CI15" s="289">
        <f>B293</f>
        <v>27.027027027027</v>
      </c>
      <c r="CT15" s="266" t="s">
        <v>74</v>
      </c>
      <c r="CU15" s="295">
        <f>((CU5/(CU7*CU25*(1/CU10)*CU46))*CU11)/CU48</f>
        <v>10909.834323861574</v>
      </c>
      <c r="CV15" s="271" t="s">
        <v>303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(DA5/(DA8*DA25*(DA47/DA48)))/DA50</f>
        <v>9515.5508450189845</v>
      </c>
      <c r="DB15" s="266" t="s">
        <v>304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x14ac:dyDescent="0.2">
      <c r="A16" s="585"/>
      <c r="B16" s="586"/>
      <c r="C16" s="6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((K5/(K8*K45*((K40*K44*(1/24))+(K41*K43*(1/24)))*K32*(1/K47)*K34))*K11)/K54</f>
        <v>2.9108449153770217E-2</v>
      </c>
      <c r="L16" s="271" t="s">
        <v>303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((W5)/((W11/W12)*W8*W9*W10*W13))/W20</f>
        <v>0.10439321444106144</v>
      </c>
      <c r="X16" s="88" t="s">
        <v>15</v>
      </c>
      <c r="Y16" s="88" t="s">
        <v>74</v>
      </c>
      <c r="Z16" s="294">
        <f>((Z5)/((Z11/Z12)*Z8*Z9*Z10*Z13))/Z20</f>
        <v>0.10439321444106144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8.5099999999999995E-2</v>
      </c>
      <c r="AG16" s="305">
        <f>B3</f>
        <v>8.5099999999999995E-2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2.5337597040000001E-6</v>
      </c>
      <c r="BL16" s="263" t="s">
        <v>72</v>
      </c>
      <c r="BM16" s="262" t="s">
        <v>449</v>
      </c>
      <c r="BN16" s="290">
        <f>B25</f>
        <v>5.1749414784E-7</v>
      </c>
      <c r="BO16" s="263" t="s">
        <v>72</v>
      </c>
      <c r="BP16" s="262" t="s">
        <v>452</v>
      </c>
      <c r="BQ16" s="290">
        <f>B27</f>
        <v>2.2652045279999998E-6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B16" s="262"/>
      <c r="CC16" s="293"/>
      <c r="CD16" s="262"/>
      <c r="CE16" s="262"/>
      <c r="CF16" s="293"/>
      <c r="CG16" s="262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((CU5*CU44*CU12)/((1-EXP(-CU12*CU44))*CU8*CU31*(1/365)*CU32*((CU38*(1/24)*CU42)+(CU39*(1/24)*CU41))*CU43))/CU48</f>
        <v>2.8696120950925618E-2</v>
      </c>
      <c r="CV16" s="271" t="s">
        <v>303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>
        <f>DG2</f>
        <v>0.2450945023121667</v>
      </c>
      <c r="DB16" s="266" t="s">
        <v>304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4.9562999999999996E-2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4.9562999999999996E-2</v>
      </c>
      <c r="DQ16" s="262" t="s">
        <v>82</v>
      </c>
      <c r="DR16" s="267" t="s">
        <v>400</v>
      </c>
      <c r="DS16" s="297">
        <f>B175</f>
        <v>2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4.9562999999999996E-2</v>
      </c>
      <c r="EF16" s="262" t="s">
        <v>82</v>
      </c>
      <c r="EG16" s="267" t="s">
        <v>401</v>
      </c>
      <c r="EH16" s="297">
        <f>B176</f>
        <v>2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4.9562999999999996E-2</v>
      </c>
      <c r="EU16" s="262" t="s">
        <v>82</v>
      </c>
      <c r="EV16" s="267" t="s">
        <v>402</v>
      </c>
      <c r="EW16" s="297">
        <f>B177</f>
        <v>2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4.9562999999999996E-2</v>
      </c>
      <c r="FJ16" s="262" t="s">
        <v>82</v>
      </c>
      <c r="FK16" s="267" t="s">
        <v>403</v>
      </c>
      <c r="FL16" s="297">
        <f>B178</f>
        <v>2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2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4.9562999999999996E-2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4.9562999999999996E-2</v>
      </c>
      <c r="HC16" s="262" t="s">
        <v>82</v>
      </c>
      <c r="HD16" s="262"/>
      <c r="HE16" s="293"/>
      <c r="HF16" s="262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>
        <f>(K18/(K50+K51))*K11</f>
        <v>0.14312362952894514</v>
      </c>
      <c r="L17" s="271" t="s">
        <v>303</v>
      </c>
      <c r="M17" s="95" t="s">
        <v>299</v>
      </c>
      <c r="N17" s="293">
        <f>B293</f>
        <v>27.027027027027</v>
      </c>
      <c r="O17" s="262"/>
      <c r="P17" s="95" t="s">
        <v>299</v>
      </c>
      <c r="Q17" s="293">
        <f>B293</f>
        <v>27.027027027027</v>
      </c>
      <c r="R17" s="262"/>
      <c r="S17" s="95" t="s">
        <v>299</v>
      </c>
      <c r="T17" s="293">
        <f>B293</f>
        <v>27.027027027027</v>
      </c>
      <c r="U17" s="262"/>
      <c r="V17" s="88" t="s">
        <v>78</v>
      </c>
      <c r="W17" s="296">
        <f>((W5)/((W11/W12)*W8*W9*W14*(1/365)))/W20</f>
        <v>98.961728788197448</v>
      </c>
      <c r="X17" s="88" t="s">
        <v>15</v>
      </c>
      <c r="Y17" s="88" t="s">
        <v>78</v>
      </c>
      <c r="Z17" s="296">
        <f>((Z5)/((Z11/Z12)*Z8*Z9*Z14*(1/365)))/Z20</f>
        <v>98.961728788197448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95" t="s">
        <v>299</v>
      </c>
      <c r="AJ17" s="293">
        <f>B293</f>
        <v>27.027027027027</v>
      </c>
      <c r="AK17" s="262"/>
      <c r="AL17" s="95" t="s">
        <v>299</v>
      </c>
      <c r="AM17" s="293">
        <f>B293</f>
        <v>27.027027027027</v>
      </c>
      <c r="AN17" s="262"/>
      <c r="AO17" s="95" t="s">
        <v>299</v>
      </c>
      <c r="AP17" s="293">
        <f>B293</f>
        <v>27.027027027027</v>
      </c>
      <c r="AQ17" s="262"/>
      <c r="AR17" s="95" t="s">
        <v>299</v>
      </c>
      <c r="AS17" s="293">
        <f>B293</f>
        <v>27.027027027027</v>
      </c>
      <c r="AT17" s="262"/>
      <c r="AU17" s="95" t="s">
        <v>299</v>
      </c>
      <c r="AV17" s="293">
        <f>B293</f>
        <v>27.027027027027</v>
      </c>
      <c r="AW17" s="262"/>
      <c r="AX17" s="95" t="s">
        <v>299</v>
      </c>
      <c r="AY17" s="293">
        <f>B293</f>
        <v>27.027027027027</v>
      </c>
      <c r="AZ17" s="262"/>
      <c r="BA17" s="95" t="s">
        <v>299</v>
      </c>
      <c r="BB17" s="293">
        <f>B293</f>
        <v>27.027027027027</v>
      </c>
      <c r="BC17" s="262"/>
      <c r="BD17" s="95" t="s">
        <v>299</v>
      </c>
      <c r="BE17" s="293">
        <f>B293</f>
        <v>27.027027027027</v>
      </c>
      <c r="BF17" s="262"/>
      <c r="BG17" s="95" t="s">
        <v>299</v>
      </c>
      <c r="BH17" s="293">
        <f>B293</f>
        <v>27.027027027027</v>
      </c>
      <c r="BI17" s="262"/>
      <c r="BJ17" s="95" t="s">
        <v>299</v>
      </c>
      <c r="BK17" s="293">
        <f>B293</f>
        <v>27.027027027027</v>
      </c>
      <c r="BL17" s="262"/>
      <c r="BM17" s="95" t="s">
        <v>299</v>
      </c>
      <c r="BN17" s="293">
        <f>B293</f>
        <v>27.027027027027</v>
      </c>
      <c r="BO17" s="262"/>
      <c r="BP17" s="95" t="s">
        <v>299</v>
      </c>
      <c r="BQ17" s="293">
        <f>B293</f>
        <v>27.027027027027</v>
      </c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1.3233223986705182E-2</v>
      </c>
      <c r="CV17" s="271" t="s">
        <v>303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>
        <f>EZ2</f>
        <v>34.094318522761391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2.2972045705420805E-2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2.381967648E-9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>
        <f>(K5/(K9*(K25+K28)*K39))/K54</f>
        <v>3.2730545781850945E-2</v>
      </c>
      <c r="L18" s="271" t="s">
        <v>303</v>
      </c>
      <c r="V18" s="88" t="s">
        <v>74</v>
      </c>
      <c r="W18" s="294">
        <f>((W5*W6*W9)/((W11/W12)*(1-EXP(-W6*W9))*W10*W13*W8*W9))/W20</f>
        <v>0.1105032739739563</v>
      </c>
      <c r="X18" s="88" t="s">
        <v>16</v>
      </c>
      <c r="Y18" s="88" t="s">
        <v>74</v>
      </c>
      <c r="Z18" s="294">
        <f>((Z5*Z6*Z9)/((Z11/Z12)*(1-EXP(-Z6*Z9))*Z10*Z13*Z8*Z9))/Z20</f>
        <v>0.1105032739739563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0.24257792273315668</v>
      </c>
      <c r="CV18" s="271" t="s">
        <v>303</v>
      </c>
      <c r="CW18" s="266" t="s">
        <v>63</v>
      </c>
      <c r="CX18" s="189">
        <f>B28</f>
        <v>2.381967648E-9</v>
      </c>
      <c r="CY18" s="266" t="s">
        <v>64</v>
      </c>
      <c r="CZ18" s="266" t="s">
        <v>258</v>
      </c>
      <c r="DA18" s="295">
        <f>GS2</f>
        <v>2.3925837559832557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2.2972045705420805E-2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2.2972045705420805E-2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2.2972045705420805E-2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2.2972045705420805E-2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2.2972045705420805E-2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30.167100000000001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1.1248E-10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((W5*W6*W9)/((W11/W12)*(1-EXP(-W6*W9))*W14*W8*W9*(1/365)))/W20</f>
        <v>104.75388738405583</v>
      </c>
      <c r="X19" s="88" t="s">
        <v>16</v>
      </c>
      <c r="Y19" s="88" t="s">
        <v>78</v>
      </c>
      <c r="Z19" s="296">
        <f>((Z5*Z6*Z9)/((Z11/Z12)*(1-EXP(-Z6*Z9))*Z14*Z8*Z9*(1/365)))/Z20</f>
        <v>104.75388738405583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0.74199999999999999</v>
      </c>
      <c r="AG19" s="305">
        <f>B4</f>
        <v>0.74199999999999999</v>
      </c>
      <c r="AH19" s="267"/>
      <c r="BS19" s="262" t="s">
        <v>63</v>
      </c>
      <c r="BT19" s="287">
        <f>E18</f>
        <v>2.381967648E-9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((CC22*CC23*CC24)/((1-EXP(-CC24*CC23))*CC27*CC31*(CC26/365)*CC29*(CC30/24)*CC28))/CC32</f>
        <v>35.22095895593305</v>
      </c>
      <c r="CD19" s="404" t="s">
        <v>307</v>
      </c>
      <c r="CE19" s="402" t="s">
        <v>562</v>
      </c>
      <c r="CF19" s="400">
        <f>((CF22*CF23*CF24)/((1-EXP(-CF24*CF23))*CF27*CF31*(CF26/365)*CF29*(CF30/24)*CF28))/CF32</f>
        <v>4.1652067486719062</v>
      </c>
      <c r="CG19" s="398" t="s">
        <v>303</v>
      </c>
      <c r="CK19" s="410" t="s">
        <v>510</v>
      </c>
      <c r="CL19" s="400">
        <f>(CL22/(CL23*CL24*CL25*CL26))/CL27</f>
        <v>0.50774308200050822</v>
      </c>
      <c r="CM19" s="404" t="s">
        <v>303</v>
      </c>
      <c r="CN19" s="402" t="s">
        <v>7</v>
      </c>
      <c r="CO19" s="400">
        <f>(CL19/(CO22*((CO27*CO29*CO30*(CO23+CO24))+(CO28*CO29))))*CL30</f>
        <v>10777.643380641814</v>
      </c>
      <c r="CP19" s="412" t="s">
        <v>303</v>
      </c>
      <c r="CQ19" s="402" t="s">
        <v>6</v>
      </c>
      <c r="CR19" s="400">
        <f>CL19/(CR22*CR23*(1/CR24))</f>
        <v>23079.231000023101</v>
      </c>
      <c r="CS19" s="415" t="s">
        <v>304</v>
      </c>
      <c r="CT19" s="266" t="s">
        <v>258</v>
      </c>
      <c r="CU19" s="295">
        <f>GV2</f>
        <v>2.2449964180859566E-2</v>
      </c>
      <c r="CV19" s="271" t="s">
        <v>303</v>
      </c>
      <c r="CW19" s="266" t="s">
        <v>255</v>
      </c>
      <c r="CX19" s="304">
        <f>B173</f>
        <v>2</v>
      </c>
      <c r="CY19" s="88"/>
      <c r="CZ19" s="266" t="s">
        <v>184</v>
      </c>
      <c r="DA19" s="295">
        <f>EK2</f>
        <v>4.6784656635007069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30.167100000000001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30.167100000000001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30.167100000000001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30.167100000000001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30.167100000000001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299</v>
      </c>
      <c r="GP19" s="344">
        <f>B293</f>
        <v>27.027027027027</v>
      </c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3.0487999999999999E-11</v>
      </c>
      <c r="C20" s="263" t="s">
        <v>35</v>
      </c>
      <c r="D20" s="88" t="s">
        <v>74</v>
      </c>
      <c r="E20" s="294">
        <f>((E5)/(E10*E11))/E26</f>
        <v>5.4371465854719499E-3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299</v>
      </c>
      <c r="W20" s="289">
        <f>B293</f>
        <v>27.027027027027</v>
      </c>
      <c r="Y20" s="95" t="s">
        <v>299</v>
      </c>
      <c r="Z20" s="289">
        <f>B293</f>
        <v>27.027027027027</v>
      </c>
      <c r="AB20" s="262" t="s">
        <v>71</v>
      </c>
      <c r="AC20" s="287">
        <f>B23</f>
        <v>2.5337597040000001E-6</v>
      </c>
      <c r="AD20" s="287">
        <f>B23</f>
        <v>2.5337597040000001E-6</v>
      </c>
      <c r="AE20" s="287">
        <f>B23</f>
        <v>2.5337597040000001E-6</v>
      </c>
      <c r="AF20" s="287">
        <f>B23</f>
        <v>2.5337597040000001E-6</v>
      </c>
      <c r="AG20" s="287">
        <f>B23</f>
        <v>2.5337597040000001E-6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9.0685231095283189E-2</v>
      </c>
      <c r="CV20" s="271" t="s">
        <v>303</v>
      </c>
      <c r="CW20" s="88" t="s">
        <v>74</v>
      </c>
      <c r="CX20" s="294">
        <f>((CX5)/((CX14/CX15)*CX10*CX11))/CX26</f>
        <v>5.7996230245034126E-3</v>
      </c>
      <c r="CY20" s="88" t="s">
        <v>15</v>
      </c>
      <c r="CZ20" s="266" t="s">
        <v>493</v>
      </c>
      <c r="DA20" s="295">
        <f>DV2</f>
        <v>13.27680456651956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6.3E-5</v>
      </c>
      <c r="DH20" s="249" t="s">
        <v>82</v>
      </c>
      <c r="DL20" s="267"/>
      <c r="DO20" s="267" t="s">
        <v>90</v>
      </c>
      <c r="DP20" s="288">
        <f>0.693/B35</f>
        <v>6.3E-5</v>
      </c>
      <c r="DQ20" s="249" t="s">
        <v>82</v>
      </c>
      <c r="DR20" s="95" t="s">
        <v>299</v>
      </c>
      <c r="DS20" s="289">
        <f>B293</f>
        <v>27.027027027027</v>
      </c>
      <c r="DU20" s="267"/>
      <c r="EA20" s="267"/>
      <c r="EB20" s="307"/>
      <c r="EC20" s="263"/>
      <c r="ED20" s="267" t="s">
        <v>90</v>
      </c>
      <c r="EE20" s="299">
        <f>0.693/B35</f>
        <v>6.3E-5</v>
      </c>
      <c r="EF20" s="263" t="s">
        <v>82</v>
      </c>
      <c r="EG20" s="95" t="s">
        <v>299</v>
      </c>
      <c r="EH20" s="345">
        <f>B293</f>
        <v>27.027027027027</v>
      </c>
      <c r="EJ20" s="267"/>
      <c r="EP20" s="267"/>
      <c r="EQ20" s="307"/>
      <c r="ER20" s="263"/>
      <c r="ES20" s="267" t="s">
        <v>90</v>
      </c>
      <c r="ET20" s="299">
        <f>0.693/B35</f>
        <v>6.3E-5</v>
      </c>
      <c r="EU20" s="263" t="s">
        <v>82</v>
      </c>
      <c r="EV20" s="95" t="s">
        <v>299</v>
      </c>
      <c r="EW20" s="345">
        <f>B293</f>
        <v>27.027027027027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6.3E-5</v>
      </c>
      <c r="FJ20" s="263" t="s">
        <v>82</v>
      </c>
      <c r="FK20" s="95" t="s">
        <v>299</v>
      </c>
      <c r="FL20" s="345">
        <f>B293</f>
        <v>27.027027027027</v>
      </c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299</v>
      </c>
      <c r="GA20" s="344">
        <f>B293</f>
        <v>27.027027027027</v>
      </c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6.3E-5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6.3E-5</v>
      </c>
      <c r="HC20" s="263" t="s">
        <v>82</v>
      </c>
    </row>
    <row r="21" spans="1:214" ht="15" thickTop="1" thickBot="1" x14ac:dyDescent="0.25">
      <c r="A21" s="262" t="s">
        <v>316</v>
      </c>
      <c r="B21" s="315">
        <v>4.2549999999999998E-11</v>
      </c>
      <c r="C21" s="262" t="s">
        <v>35</v>
      </c>
      <c r="D21" s="88" t="s">
        <v>78</v>
      </c>
      <c r="E21" s="295">
        <f>((E5)/((E14/E15)*E8*E9*E18*(1/365)*E19))/E26</f>
        <v>5.1542567077186181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((N24*N25*N26)/((1-EXP(-N26*N25))*N29*N34*(N28/365)*N32*(((N33/24)*N31)+((N35/24)*N30))))/N36</f>
        <v>9.2840590037591916E-2</v>
      </c>
      <c r="O21" s="637" t="s">
        <v>307</v>
      </c>
      <c r="P21" s="639" t="s">
        <v>516</v>
      </c>
      <c r="Q21" s="647">
        <f>((Q24*Q25*Q26)/((1-EXP(-Q26*Q25))*Q29*Q34*(Q28/365)*Q32*(((Q33/24)*Q31)+((Q35/24)*Q30))))/Q36</f>
        <v>3.2285910317560007E-2</v>
      </c>
      <c r="R21" s="643" t="s">
        <v>303</v>
      </c>
      <c r="AB21" s="262" t="s">
        <v>43</v>
      </c>
      <c r="AC21" s="290">
        <f>B19</f>
        <v>1.1248E-10</v>
      </c>
      <c r="AD21" s="290">
        <f>B19</f>
        <v>1.1248E-10</v>
      </c>
      <c r="AE21" s="290">
        <f>B19</f>
        <v>1.1248E-10</v>
      </c>
      <c r="AF21" s="290">
        <f>B19</f>
        <v>1.1248E-10</v>
      </c>
      <c r="AG21" s="290">
        <f>B19</f>
        <v>1.1248E-10</v>
      </c>
      <c r="AH21" s="263" t="s">
        <v>35</v>
      </c>
      <c r="AI21" s="381" t="s">
        <v>516</v>
      </c>
      <c r="AJ21" s="387">
        <f>((AJ24*AJ25*AJ26)/((1-EXP(-AJ26*AJ25))*AJ34*(AJ28/365)*AJ29*(AJ35/24)*AJ30*AJ32))/AJ36</f>
        <v>1.2309788609647117</v>
      </c>
      <c r="AK21" s="629" t="s">
        <v>307</v>
      </c>
      <c r="AL21" s="383" t="s">
        <v>516</v>
      </c>
      <c r="AM21" s="387">
        <f>((AM24*AM25*AM26)/((1-EXP(-AM26*AM25))*AM34*(AM28/365)*AM29*(AM35/24)*AM30*AM32))/AM36</f>
        <v>0.42808078979061276</v>
      </c>
      <c r="AN21" s="635" t="s">
        <v>303</v>
      </c>
      <c r="AR21" s="381" t="s">
        <v>516</v>
      </c>
      <c r="AS21" s="387">
        <f>((AS24*AS25*AS26)/((1-EXP(-AS26*AS25))*AS34*(AS28/365)*AS29*(AS33/24)*AS31*AS32))/AS36</f>
        <v>0.49239154438588462</v>
      </c>
      <c r="AT21" s="391" t="s">
        <v>307</v>
      </c>
      <c r="AU21" s="383" t="s">
        <v>516</v>
      </c>
      <c r="AV21" s="387">
        <f>((AV24*AV25*AV26)/((1-EXP(-AV26*AV25))*AV34*(AV28/365)*AV29*(AV33/24)*AV31*AV32))/AV36</f>
        <v>0.17123231591624513</v>
      </c>
      <c r="AW21" s="385" t="s">
        <v>303</v>
      </c>
      <c r="BA21" s="381" t="s">
        <v>516</v>
      </c>
      <c r="BB21" s="387">
        <f>((BB24*BB25*BB26)/((1-EXP(-BB26*BB25))*BB34*(BB28/365)*BB29*((BB33+BB35)/24)*BB31*BB32))/BB36</f>
        <v>0.49239154438588462</v>
      </c>
      <c r="BC21" s="391" t="s">
        <v>307</v>
      </c>
      <c r="BD21" s="383" t="s">
        <v>516</v>
      </c>
      <c r="BE21" s="387">
        <f>((BE24*BE25*BE26)/((1-EXP(-BE26*BE25))*BE34*(BE28/365)*BE29*((BE33+BE35)/24)*BE31*BE32))/BE36</f>
        <v>0.17123231591624513</v>
      </c>
      <c r="BF21" s="385" t="s">
        <v>303</v>
      </c>
      <c r="BJ21" s="381" t="s">
        <v>561</v>
      </c>
      <c r="BK21" s="389">
        <f>((BK24*BK25*BK26)/((1-EXP(-BK26*BK25))*BK31*BK35*(BK28/365)*BK33*(BK34/24)*BK32))/BK36</f>
        <v>39.80851680700821</v>
      </c>
      <c r="BL21" s="391" t="s">
        <v>307</v>
      </c>
      <c r="BM21" s="383" t="s">
        <v>562</v>
      </c>
      <c r="BN21" s="389">
        <f>((BN24*BN25*BN26)/((1-EXP(-BN26*BN25))*BN31*BN35*(BN28/365)*BN33*(BN34/24)*BN32))/BN36</f>
        <v>4.7077282326873835</v>
      </c>
      <c r="BO21" s="385" t="s">
        <v>303</v>
      </c>
      <c r="BS21" s="88" t="s">
        <v>74</v>
      </c>
      <c r="BT21" s="294">
        <f>((BT5)/(BT10*BT11))/BT29</f>
        <v>7.3610599926389478E-2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0.278761342591068</v>
      </c>
      <c r="CV21" s="271" t="s">
        <v>303</v>
      </c>
      <c r="CW21" s="88" t="s">
        <v>78</v>
      </c>
      <c r="CX21" s="296">
        <f>((CX5)/((CX14/CX15)*CX8*CX9*CX18*(1/365)*CX19))/CX26</f>
        <v>1.7180855692395394</v>
      </c>
      <c r="CY21" s="88" t="s">
        <v>15</v>
      </c>
      <c r="CZ21" s="266" t="s">
        <v>492</v>
      </c>
      <c r="DA21" s="295">
        <f>GD2</f>
        <v>5.0510101515202068</v>
      </c>
      <c r="DB21" s="88"/>
      <c r="DC21" s="249" t="s">
        <v>23</v>
      </c>
      <c r="DD21" s="287">
        <f>0.693/DD22</f>
        <v>2.2972045705420805E-2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3.1782999999999999E-11</v>
      </c>
      <c r="C22" s="262" t="s">
        <v>35</v>
      </c>
      <c r="D22" s="88" t="s">
        <v>74</v>
      </c>
      <c r="E22" s="295">
        <f>((E5*E9*E6)/((1-EXP(-E6*E9))*E10*E11))/E26</f>
        <v>6.7814776939221109E-3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((BT5)/((BT14/24)*(BT8/365)*BT9*BT19*BT20))/BT29</f>
        <v>69.780706196805895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2.1999999999999999E-2</v>
      </c>
      <c r="CQ22" s="262" t="s">
        <v>265</v>
      </c>
      <c r="CR22" s="287">
        <f>CO22</f>
        <v>2.1999999999999999E-2</v>
      </c>
      <c r="CT22" s="266" t="s">
        <v>492</v>
      </c>
      <c r="CU22" s="295">
        <f>GG2</f>
        <v>3.5937470034541737E-2</v>
      </c>
      <c r="CV22" s="271" t="s">
        <v>303</v>
      </c>
      <c r="CW22" s="88" t="s">
        <v>74</v>
      </c>
      <c r="CX22" s="294">
        <f>((CX5*CX9*CX6)/((CX14/CX15)*(1-EXP(-CX6*CX9))*CX10*CX11))/CX26</f>
        <v>8.0258054789583144E-3</v>
      </c>
      <c r="CY22" s="88" t="s">
        <v>16</v>
      </c>
      <c r="CZ22" s="266" t="s">
        <v>183</v>
      </c>
      <c r="DA22" s="296">
        <f>FO2</f>
        <v>2.1820363854567295E-3</v>
      </c>
      <c r="DB22" s="88"/>
      <c r="DC22" s="266" t="s">
        <v>270</v>
      </c>
      <c r="DD22" s="287">
        <f>B31</f>
        <v>30.167100000000001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2.5337597040000001E-6</v>
      </c>
      <c r="C23" s="262" t="s">
        <v>95</v>
      </c>
      <c r="D23" s="88" t="s">
        <v>78</v>
      </c>
      <c r="E23" s="296">
        <f>((E5*E9*E6)/((E14/E15)*E8*E9*(1-EXP(-E6*E9))*E18*(1/365)*E19))/E26</f>
        <v>6.4286434700027906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((BT5*BT28*BT6)/((1-EXP(-BT6*BT28))*BT10*BT11))/BT29</f>
        <v>9.7768809021484424E-2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3.7370000000000003E-11</v>
      </c>
      <c r="CM23" s="266" t="s">
        <v>13</v>
      </c>
      <c r="CN23" s="249" t="s">
        <v>21</v>
      </c>
      <c r="CO23" s="290">
        <f>CO25</f>
        <v>2.9000000000000001E-2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3.019609982182335E-5</v>
      </c>
      <c r="CV23" s="271" t="s">
        <v>303</v>
      </c>
      <c r="CW23" s="88" t="s">
        <v>78</v>
      </c>
      <c r="CX23" s="296">
        <f>((CX5*CX9*CX6)/((CX14/CX15)*CX8*CX9*(1-EXP(-CX6*CX9))*CX18*(1/365)*CX19))/CX26</f>
        <v>2.3775718726309076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C23" s="95" t="s">
        <v>299</v>
      </c>
      <c r="DD23" s="345">
        <f>B293</f>
        <v>27.027027027027</v>
      </c>
      <c r="DF23" s="262" t="s">
        <v>17</v>
      </c>
      <c r="DG23" s="287">
        <f>B35</f>
        <v>11000</v>
      </c>
      <c r="DH23" s="249" t="s">
        <v>257</v>
      </c>
      <c r="DO23" s="262" t="s">
        <v>20</v>
      </c>
      <c r="DP23" s="305">
        <f>DP25</f>
        <v>2.5229999999999999E-2</v>
      </c>
      <c r="EA23" s="262"/>
      <c r="EB23" s="293"/>
      <c r="EC23" s="263"/>
      <c r="ED23" s="262" t="s">
        <v>20</v>
      </c>
      <c r="EE23" s="305">
        <f>EE25</f>
        <v>2.9000000000000001E-2</v>
      </c>
      <c r="EF23" s="263"/>
      <c r="EP23" s="262"/>
      <c r="EQ23" s="293"/>
      <c r="ER23" s="263"/>
      <c r="ES23" s="262" t="s">
        <v>20</v>
      </c>
      <c r="ET23" s="305">
        <f>ET25</f>
        <v>2.9000000000000001E-2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2.5229999999999999E-2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2.5229999999999999E-2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2.5229999999999999E-2</v>
      </c>
      <c r="HC23" s="263"/>
      <c r="HD23" s="219" t="s">
        <v>574</v>
      </c>
      <c r="HE23" s="348">
        <f>(HE25*HE33*HE38*HE32*10^-3*HE31*HE27)/(HE30*HE41*(1-EXP(-HE27*HE31)))</f>
        <v>0.13009145912897729</v>
      </c>
      <c r="HF23" s="252" t="s">
        <v>303</v>
      </c>
    </row>
    <row r="24" spans="1:214" ht="14.25" thickTop="1" thickBot="1" x14ac:dyDescent="0.25">
      <c r="A24" s="262" t="s">
        <v>450</v>
      </c>
      <c r="B24" s="315">
        <v>5.0675194079999996E-7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((BT5*BT28*BT6)/((BT14/24)*(BT8/365)*BT9*(1-EXP(-BT6*BT28))*BT19*BT20))/BT29</f>
        <v>92.681985262478491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2.2972045705420805E-2</v>
      </c>
      <c r="CE24" s="262" t="s">
        <v>23</v>
      </c>
      <c r="CF24" s="288">
        <f>0.693/CF25</f>
        <v>2.2972045705420805E-2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2.4692135192312854E-4</v>
      </c>
      <c r="HF24" s="75" t="s">
        <v>303</v>
      </c>
    </row>
    <row r="25" spans="1:214" ht="13.5" thickTop="1" x14ac:dyDescent="0.2">
      <c r="A25" s="262" t="s">
        <v>449</v>
      </c>
      <c r="B25" s="315">
        <v>5.1749414784E-7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0.11038682859643265</v>
      </c>
      <c r="X25" s="254" t="s">
        <v>302</v>
      </c>
      <c r="Y25" s="321" t="s">
        <v>16</v>
      </c>
      <c r="Z25" s="358">
        <f>1/((1/Z38)+(1/Z39))</f>
        <v>0.10506730403420529</v>
      </c>
      <c r="AA25" s="255" t="s">
        <v>302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30.167100000000001</v>
      </c>
      <c r="CD25" s="249" t="s">
        <v>69</v>
      </c>
      <c r="CE25" s="266" t="s">
        <v>270</v>
      </c>
      <c r="CF25" s="287">
        <f>B31</f>
        <v>30.167100000000001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2.9000000000000001E-2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2.5229999999999999E-2</v>
      </c>
      <c r="EA25" s="262"/>
      <c r="EC25" s="263"/>
      <c r="ED25" s="262" t="s">
        <v>38</v>
      </c>
      <c r="EE25" s="287">
        <f>B45</f>
        <v>2.9000000000000001E-2</v>
      </c>
      <c r="EF25" s="263"/>
      <c r="EP25" s="262"/>
      <c r="ER25" s="263"/>
      <c r="ES25" s="263" t="s">
        <v>37</v>
      </c>
      <c r="ET25" s="287">
        <f>B45</f>
        <v>2.9000000000000001E-2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2.5229999999999999E-2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2.5229999999999999E-2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2.5229999999999999E-2</v>
      </c>
      <c r="HC25" s="263"/>
      <c r="HD25" s="265" t="s">
        <v>22</v>
      </c>
      <c r="HE25" s="305">
        <f>B47</f>
        <v>7.4000074000074001</v>
      </c>
      <c r="HF25" s="262" t="s">
        <v>304</v>
      </c>
    </row>
    <row r="26" spans="1:214" ht="13.5" thickBot="1" x14ac:dyDescent="0.25">
      <c r="A26" s="262" t="s">
        <v>451</v>
      </c>
      <c r="B26" s="315">
        <v>1.4572037375999999E-6</v>
      </c>
      <c r="C26" s="262" t="s">
        <v>95</v>
      </c>
      <c r="D26" s="95" t="s">
        <v>299</v>
      </c>
      <c r="E26" s="289">
        <f>B293</f>
        <v>27.027027027027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2.2972045705420805E-2</v>
      </c>
      <c r="P26" s="262" t="s">
        <v>23</v>
      </c>
      <c r="Q26" s="288">
        <f>0.693/Q27</f>
        <v>2.2972045705420805E-2</v>
      </c>
      <c r="V26" s="320" t="s">
        <v>15</v>
      </c>
      <c r="W26" s="359">
        <f>1/((1/W38)+(1/W39))</f>
        <v>0.10428320767991006</v>
      </c>
      <c r="X26" s="258" t="s">
        <v>302</v>
      </c>
      <c r="Y26" s="322" t="s">
        <v>15</v>
      </c>
      <c r="Z26" s="360">
        <f>1/((1/Z40)+(1/Z41))</f>
        <v>0.10428320767991003</v>
      </c>
      <c r="AA26" s="259" t="s">
        <v>302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2.2972045705420805E-2</v>
      </c>
      <c r="AL26" s="262" t="s">
        <v>23</v>
      </c>
      <c r="AM26" s="288">
        <f>0.693/AM27</f>
        <v>2.2972045705420805E-2</v>
      </c>
      <c r="AR26" s="262" t="s">
        <v>23</v>
      </c>
      <c r="AS26" s="288">
        <f>0.693/AS27</f>
        <v>2.2972045705420805E-2</v>
      </c>
      <c r="AU26" s="262" t="s">
        <v>23</v>
      </c>
      <c r="AV26" s="288">
        <f>0.693/AV27</f>
        <v>2.2972045705420805E-2</v>
      </c>
      <c r="BA26" s="262" t="s">
        <v>23</v>
      </c>
      <c r="BB26" s="288">
        <f>0.693/BB27</f>
        <v>2.2972045705420805E-2</v>
      </c>
      <c r="BD26" s="262" t="s">
        <v>23</v>
      </c>
      <c r="BE26" s="288">
        <f>0.693/BE27</f>
        <v>2.2972045705420805E-2</v>
      </c>
      <c r="BJ26" s="262" t="s">
        <v>23</v>
      </c>
      <c r="BK26" s="288">
        <f>0.693/BK27</f>
        <v>2.2972045705420805E-2</v>
      </c>
      <c r="BM26" s="262" t="s">
        <v>23</v>
      </c>
      <c r="BN26" s="288">
        <f>0.693/BN27</f>
        <v>2.2972045705420805E-2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95" t="s">
        <v>299</v>
      </c>
      <c r="CX26" s="346">
        <f>B293</f>
        <v>27.027027027027</v>
      </c>
      <c r="CY26" s="88"/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2.9000000000000001E-2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1.4045655600183655E-2</v>
      </c>
      <c r="HF26" s="262" t="s">
        <v>304</v>
      </c>
    </row>
    <row r="27" spans="1:214" ht="15" thickTop="1" x14ac:dyDescent="0.2">
      <c r="A27" s="262" t="s">
        <v>452</v>
      </c>
      <c r="B27" s="315">
        <v>2.2652045279999998E-6</v>
      </c>
      <c r="C27" s="262" t="s">
        <v>95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30.167100000000001</v>
      </c>
      <c r="O27" s="249" t="s">
        <v>69</v>
      </c>
      <c r="P27" s="266" t="s">
        <v>270</v>
      </c>
      <c r="Q27" s="287">
        <f>B31</f>
        <v>30.167100000000001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2.2972045705420805E-2</v>
      </c>
      <c r="AD27" s="288">
        <f>0.693/AD28</f>
        <v>2.2972045705420805E-2</v>
      </c>
      <c r="AE27" s="288">
        <f>0.693/AE28</f>
        <v>2.2972045705420805E-2</v>
      </c>
      <c r="AF27" s="288">
        <f>0.693/AF28</f>
        <v>2.2972045705420805E-2</v>
      </c>
      <c r="AG27" s="288">
        <f>0.693/AG28</f>
        <v>2.2972045705420805E-2</v>
      </c>
      <c r="AI27" s="266" t="s">
        <v>270</v>
      </c>
      <c r="AJ27" s="287">
        <f>B31</f>
        <v>30.167100000000001</v>
      </c>
      <c r="AK27" s="249" t="s">
        <v>69</v>
      </c>
      <c r="AL27" s="266" t="s">
        <v>270</v>
      </c>
      <c r="AM27" s="287">
        <f>B31</f>
        <v>30.167100000000001</v>
      </c>
      <c r="AN27" s="249" t="s">
        <v>69</v>
      </c>
      <c r="AR27" s="266" t="s">
        <v>270</v>
      </c>
      <c r="AS27" s="287">
        <f>B31</f>
        <v>30.167100000000001</v>
      </c>
      <c r="AT27" s="249" t="s">
        <v>69</v>
      </c>
      <c r="AU27" s="266" t="s">
        <v>270</v>
      </c>
      <c r="AV27" s="287">
        <f>B31</f>
        <v>30.167100000000001</v>
      </c>
      <c r="AW27" s="249" t="s">
        <v>69</v>
      </c>
      <c r="BA27" s="266" t="s">
        <v>270</v>
      </c>
      <c r="BB27" s="287">
        <f>B31</f>
        <v>30.167100000000001</v>
      </c>
      <c r="BC27" s="249" t="s">
        <v>69</v>
      </c>
      <c r="BD27" s="266" t="s">
        <v>270</v>
      </c>
      <c r="BE27" s="287">
        <f>B31</f>
        <v>30.167100000000001</v>
      </c>
      <c r="BF27" s="249" t="s">
        <v>69</v>
      </c>
      <c r="BJ27" s="266" t="s">
        <v>270</v>
      </c>
      <c r="BK27" s="287">
        <f>B31</f>
        <v>30.167100000000001</v>
      </c>
      <c r="BL27" s="249" t="s">
        <v>69</v>
      </c>
      <c r="BM27" s="266" t="s">
        <v>270</v>
      </c>
      <c r="BN27" s="287">
        <f>B31</f>
        <v>30.167100000000001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299</v>
      </c>
      <c r="CL27" s="289">
        <f>B293</f>
        <v>27.027027027027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4.5999999999999999E-3</v>
      </c>
      <c r="EP27" s="262"/>
      <c r="EQ27" s="310"/>
      <c r="ES27" s="262" t="s">
        <v>275</v>
      </c>
      <c r="ET27" s="310">
        <f>B38</f>
        <v>2.1999999999999999E-2</v>
      </c>
      <c r="FH27" s="262" t="s">
        <v>201</v>
      </c>
      <c r="FI27" s="310">
        <f>B40</f>
        <v>0.4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2.7</v>
      </c>
      <c r="GS27" s="328"/>
      <c r="GT27" s="264"/>
      <c r="GU27" s="264"/>
      <c r="GV27" s="328"/>
      <c r="GW27" s="264"/>
      <c r="HA27" s="262" t="s">
        <v>277</v>
      </c>
      <c r="HB27" s="310">
        <f>B41</f>
        <v>0.2</v>
      </c>
      <c r="HD27" s="262" t="s">
        <v>23</v>
      </c>
      <c r="HE27" s="288">
        <f>0.693/HE28</f>
        <v>2.2972045705420805E-2</v>
      </c>
    </row>
    <row r="28" spans="1:214" ht="15.75" thickBot="1" x14ac:dyDescent="0.25">
      <c r="A28" s="262" t="s">
        <v>63</v>
      </c>
      <c r="B28" s="315">
        <v>2.381967648E-9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2.2972045705420805E-2</v>
      </c>
      <c r="Y28" s="262" t="s">
        <v>23</v>
      </c>
      <c r="Z28" s="288">
        <f>0.693/Z29</f>
        <v>2.2972045705420805E-2</v>
      </c>
      <c r="AB28" s="266" t="s">
        <v>270</v>
      </c>
      <c r="AC28" s="287">
        <f>B31</f>
        <v>30.167100000000001</v>
      </c>
      <c r="AD28" s="287">
        <f>B31</f>
        <v>30.167100000000001</v>
      </c>
      <c r="AE28" s="287">
        <f>B31</f>
        <v>30.167100000000001</v>
      </c>
      <c r="AF28" s="287">
        <f>B31</f>
        <v>30.167100000000001</v>
      </c>
      <c r="AG28" s="287">
        <f>B31</f>
        <v>30.167100000000001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2.6599999999999999E-2</v>
      </c>
      <c r="CE28" s="249" t="s">
        <v>458</v>
      </c>
      <c r="CF28" s="287">
        <f>B8</f>
        <v>5.0099999999999999E-2</v>
      </c>
      <c r="CK28" s="266" t="s">
        <v>270</v>
      </c>
      <c r="CL28" s="287">
        <f>B31</f>
        <v>30.167100000000001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30.167100000000001</v>
      </c>
      <c r="HF28" s="249" t="s">
        <v>69</v>
      </c>
    </row>
    <row r="29" spans="1:214" ht="18.75" thickTop="1" x14ac:dyDescent="0.2">
      <c r="A29" s="266" t="s">
        <v>161</v>
      </c>
      <c r="B29" s="315">
        <v>5.1609299040000001E-12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30.167100000000001</v>
      </c>
      <c r="X29" s="249" t="s">
        <v>69</v>
      </c>
      <c r="Y29" s="266" t="s">
        <v>270</v>
      </c>
      <c r="Z29" s="287">
        <f>B31</f>
        <v>30.167100000000001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95" t="s">
        <v>299</v>
      </c>
      <c r="BT29" s="313">
        <f>B293</f>
        <v>27.027027027027</v>
      </c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0.46500000000000002</v>
      </c>
      <c r="CE29" s="249" t="s">
        <v>459</v>
      </c>
      <c r="CF29" s="287">
        <f>B9</f>
        <v>0.72599999999999998</v>
      </c>
      <c r="CK29" s="249" t="s">
        <v>23</v>
      </c>
      <c r="CL29" s="288">
        <f>693/CL28</f>
        <v>22.972045705420804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3.7370000000000003E-11</v>
      </c>
      <c r="C30" s="267" t="s">
        <v>35</v>
      </c>
      <c r="D30" s="203" t="s">
        <v>510</v>
      </c>
      <c r="E30" s="204">
        <f>E37</f>
        <v>1.6365272890925472E-2</v>
      </c>
      <c r="F30" s="184" t="s">
        <v>303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354">
        <f>(AC26*AC27)/(1-EXP(-AC27*AC26))</f>
        <v>1.0585292786088552</v>
      </c>
      <c r="AD30" s="354">
        <f>(AD26*AD27)/(1-EXP(-AD27*AD26))</f>
        <v>1.0585292786088552</v>
      </c>
      <c r="AE30" s="354">
        <f>(AE26*AE27)/(1-EXP(-AE27*AE26))</f>
        <v>1.0585292786088552</v>
      </c>
      <c r="AF30" s="354">
        <f>(AF26*AF27)/(1-EXP(-AF27*AF26))</f>
        <v>1.0585292786088552</v>
      </c>
      <c r="AG30" s="354">
        <f>(AG26*AG27)/(1-EXP(-AG27*AG26))</f>
        <v>1.0585292786088552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597.27318834094092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207">
        <v>30.167100000000001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8.5099999999999995E-2</v>
      </c>
      <c r="CB31" s="249" t="s">
        <v>71</v>
      </c>
      <c r="CC31" s="290">
        <f>B24</f>
        <v>5.0675194079999996E-7</v>
      </c>
      <c r="CD31" s="262" t="s">
        <v>282</v>
      </c>
      <c r="CE31" s="249" t="s">
        <v>71</v>
      </c>
      <c r="CF31" s="290">
        <f>B26</f>
        <v>1.4572037375999999E-6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1.1248E-10</v>
      </c>
      <c r="X32" s="263" t="s">
        <v>44</v>
      </c>
      <c r="Y32" s="249" t="s">
        <v>43</v>
      </c>
      <c r="Z32" s="290">
        <f>B19</f>
        <v>1.1248E-10</v>
      </c>
      <c r="AA32" s="263" t="s">
        <v>44</v>
      </c>
      <c r="AB32" s="266" t="s">
        <v>80</v>
      </c>
      <c r="AC32" s="294">
        <f>((AC5/(AC9*AC14*AC8*AC11*(1/AC6)))*AC30)/AC38</f>
        <v>81.473116240014349</v>
      </c>
      <c r="AD32" s="294">
        <f>((AD5/(AD9*AD14*AD8*AD11*(1/AD6)))*AD30)/AD38</f>
        <v>81.473116240014349</v>
      </c>
      <c r="AE32" s="294">
        <f>((AE5/(AE9*AE14*AE8*AE11*(1/AE6)))*AE30)/AE38</f>
        <v>81.473116240014349</v>
      </c>
      <c r="AF32" s="294">
        <f>((AF5/(AF9*AF14*AF8*AF11*(1/AF6)))*AF30)/AF38</f>
        <v>81.473116240014349</v>
      </c>
      <c r="AG32" s="294">
        <f>((AG5/(AG9*AG14*AG8*AG11*(1/AG6)))*AG30)/AG38</f>
        <v>81.473116240014349</v>
      </c>
      <c r="AH32" s="266" t="s">
        <v>303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2.6599999999999999E-2</v>
      </c>
      <c r="BM32" s="249" t="s">
        <v>458</v>
      </c>
      <c r="BN32" s="287">
        <f>B8</f>
        <v>5.0099999999999999E-2</v>
      </c>
      <c r="BV32" s="95" t="s">
        <v>299</v>
      </c>
      <c r="BW32" s="289">
        <f>B293</f>
        <v>27.027027027027</v>
      </c>
      <c r="BY32" s="262" t="s">
        <v>62</v>
      </c>
      <c r="BZ32" s="305">
        <f>B4</f>
        <v>0.74199999999999999</v>
      </c>
      <c r="CB32" s="95" t="s">
        <v>299</v>
      </c>
      <c r="CC32" s="289">
        <f>B293</f>
        <v>27.027027027027</v>
      </c>
      <c r="CE32" s="95" t="s">
        <v>299</v>
      </c>
      <c r="CF32" s="289">
        <f>B293</f>
        <v>27.027027027027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((AC5/(AC21*AC17*AC8*AC11*(1/AC35)*((8/1)/(24/1))*AC31))*AC30)/AC38</f>
        <v>93882.509243220353</v>
      </c>
      <c r="AD33" s="295">
        <f>((AD5/(AD21*AD17*AD8*((8/1)/(24/1))*AD11*(1/AD35)*AD31))*AD30)/AD38</f>
        <v>93882.509243220338</v>
      </c>
      <c r="AE33" s="295">
        <f>((AE5/(AE21*AE17*AE8*((8/1)/(24/1))*AE11*(1/AE35)*AE31))*AE30)/AE38</f>
        <v>93882.509243220338</v>
      </c>
      <c r="AF33" s="295">
        <f>((AF5/(AF21*AF17*AF8*AF11*(1/AF36)*(AF23/24)*AF31))*AF30)/AF38</f>
        <v>85.494354196541352</v>
      </c>
      <c r="AG33" s="295">
        <f>((AG5/(AG21*AG17*AG8*AG11*(1/AG37)*(AG23/24)*AG31))*AG30)/AG38</f>
        <v>3984.2906819247951</v>
      </c>
      <c r="AH33" s="88" t="s">
        <v>303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0.46500000000000002</v>
      </c>
      <c r="BM33" s="249" t="s">
        <v>459</v>
      </c>
      <c r="BN33" s="287">
        <f>B9</f>
        <v>0.72599999999999998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3.7370000000000003E-11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5.0675194079999996E-7</v>
      </c>
      <c r="O34" s="263" t="s">
        <v>447</v>
      </c>
      <c r="P34" s="249" t="s">
        <v>451</v>
      </c>
      <c r="Q34" s="290">
        <f>B26</f>
        <v>1.4572037375999999E-6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((AC5/(AC20*(AC8/365)*AC11*((AC23+AC24)/24)*AC16*AC19))*AC30)/AC38</f>
        <v>9.8478308877176929E-2</v>
      </c>
      <c r="AD34" s="296">
        <f>((AD5/(AD20*(AD8/365)*AD11*(AD24/24)*AD18*AD19))*AD30)/AD38</f>
        <v>0.24619577219294228</v>
      </c>
      <c r="AE34" s="296">
        <f>((AE5/(AE20*(AE8/365)*AE11*(AE23/24)*AE16*AE19))*AE30)/AE38</f>
        <v>9.8478308877176929E-2</v>
      </c>
      <c r="AF34" s="296">
        <f>((AF5/(AF20*(AF8/365)*AF11*(AF23/24)*AF16*AF19))*AF30)/AF38</f>
        <v>1.5595780590644417</v>
      </c>
      <c r="AG34" s="296">
        <f>((AG5/(AG20*(AG8/365)*AG11*(AG23/24)*AG16*AG19))*AG30)/AG38</f>
        <v>1.5595780590644417</v>
      </c>
      <c r="AH34" s="266" t="s">
        <v>303</v>
      </c>
      <c r="AI34" s="262" t="s">
        <v>450</v>
      </c>
      <c r="AJ34" s="290">
        <f>B24</f>
        <v>5.0675194079999996E-7</v>
      </c>
      <c r="AK34" s="262" t="s">
        <v>282</v>
      </c>
      <c r="AL34" s="262" t="s">
        <v>451</v>
      </c>
      <c r="AM34" s="290">
        <f>B26</f>
        <v>1.4572037375999999E-6</v>
      </c>
      <c r="AN34" s="263" t="s">
        <v>72</v>
      </c>
      <c r="AR34" s="262" t="s">
        <v>450</v>
      </c>
      <c r="AS34" s="290">
        <f>B24</f>
        <v>5.0675194079999996E-7</v>
      </c>
      <c r="AT34" s="262" t="s">
        <v>282</v>
      </c>
      <c r="AU34" s="262" t="s">
        <v>451</v>
      </c>
      <c r="AV34" s="290">
        <f>B26</f>
        <v>1.4572037375999999E-6</v>
      </c>
      <c r="AW34" s="263" t="s">
        <v>72</v>
      </c>
      <c r="BA34" s="262" t="s">
        <v>450</v>
      </c>
      <c r="BB34" s="290">
        <f>B24</f>
        <v>5.0675194079999996E-7</v>
      </c>
      <c r="BC34" s="262" t="s">
        <v>282</v>
      </c>
      <c r="BD34" s="262" t="s">
        <v>451</v>
      </c>
      <c r="BE34" s="290">
        <f>B26</f>
        <v>1.4572037375999999E-6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10</v>
      </c>
      <c r="HF34" s="249" t="s">
        <v>19</v>
      </c>
    </row>
    <row r="35" spans="1:214" ht="12.75" customHeight="1" x14ac:dyDescent="0.2">
      <c r="A35" s="266" t="s">
        <v>270</v>
      </c>
      <c r="B35" s="315">
        <v>11000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5.0675194079999996E-7</v>
      </c>
      <c r="BL35" s="262" t="s">
        <v>282</v>
      </c>
      <c r="BM35" s="262" t="s">
        <v>451</v>
      </c>
      <c r="BN35" s="290">
        <f>B26</f>
        <v>1.4572037375999999E-6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x14ac:dyDescent="0.2">
      <c r="A36" s="262" t="s">
        <v>122</v>
      </c>
      <c r="B36" s="315">
        <v>2500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95" t="s">
        <v>299</v>
      </c>
      <c r="N36" s="361">
        <f>B293</f>
        <v>27.027027027027</v>
      </c>
      <c r="O36" s="281"/>
      <c r="P36" s="95" t="s">
        <v>299</v>
      </c>
      <c r="Q36" s="361">
        <f>B293</f>
        <v>27.027027027027</v>
      </c>
      <c r="R36" s="281"/>
      <c r="V36" s="262" t="s">
        <v>63</v>
      </c>
      <c r="W36" s="287">
        <f>B28</f>
        <v>2.381967648E-9</v>
      </c>
      <c r="X36" s="262" t="s">
        <v>64</v>
      </c>
      <c r="Y36" s="262" t="s">
        <v>63</v>
      </c>
      <c r="Z36" s="287">
        <f>B28</f>
        <v>2.381967648E-9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299</v>
      </c>
      <c r="AJ36" s="289">
        <f>B293</f>
        <v>27.027027027027</v>
      </c>
      <c r="AL36" s="95" t="s">
        <v>299</v>
      </c>
      <c r="AM36" s="289">
        <f>B293</f>
        <v>27.027027027027</v>
      </c>
      <c r="AR36" s="95" t="s">
        <v>299</v>
      </c>
      <c r="AS36" s="289">
        <f>B293</f>
        <v>27.027027027027</v>
      </c>
      <c r="AU36" s="95" t="s">
        <v>299</v>
      </c>
      <c r="AV36" s="289">
        <f>B293</f>
        <v>27.027027027027</v>
      </c>
      <c r="BA36" s="95" t="s">
        <v>299</v>
      </c>
      <c r="BB36" s="289">
        <f>B293</f>
        <v>27.027027027027</v>
      </c>
      <c r="BD36" s="95" t="s">
        <v>299</v>
      </c>
      <c r="BE36" s="289">
        <f>B293</f>
        <v>27.027027027027</v>
      </c>
      <c r="BJ36" s="95" t="s">
        <v>299</v>
      </c>
      <c r="BK36" s="289">
        <f>B293</f>
        <v>27.027027027027</v>
      </c>
      <c r="BM36" s="95" t="s">
        <v>299</v>
      </c>
      <c r="BN36" s="289">
        <f>B293</f>
        <v>27.027027027027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ht="12.75" customHeight="1" x14ac:dyDescent="0.2">
      <c r="A37" s="262" t="s">
        <v>278</v>
      </c>
      <c r="B37" s="315">
        <v>4.5999999999999999E-3</v>
      </c>
      <c r="C37" s="263" t="s">
        <v>298</v>
      </c>
      <c r="D37" s="262" t="s">
        <v>80</v>
      </c>
      <c r="E37" s="300">
        <f>(E32/(E34*E33*E35*E36))/E38</f>
        <v>1.6365272890925472E-2</v>
      </c>
      <c r="F37" s="263" t="s">
        <v>303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BY37" s="95" t="s">
        <v>299</v>
      </c>
      <c r="BZ37" s="345">
        <f>B293</f>
        <v>27.027027027027</v>
      </c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2.1999999999999999E-2</v>
      </c>
      <c r="C38" s="263" t="s">
        <v>298</v>
      </c>
      <c r="D38" s="95" t="s">
        <v>299</v>
      </c>
      <c r="E38" s="289">
        <f>B293</f>
        <v>27.027027027027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((W27)/((W33/W34)*W30*W31*W32*W35))/W42</f>
        <v>0.10439321444106144</v>
      </c>
      <c r="X38" s="88" t="s">
        <v>15</v>
      </c>
      <c r="Y38" s="88" t="s">
        <v>74</v>
      </c>
      <c r="Z38" s="294">
        <f>((Z27*Z31*Z28)/((1-EXP(-Z28))*Z31*Z32*Z30*Z44*(Z33/Z34)*Z35))/Z46</f>
        <v>0.10559686806850874</v>
      </c>
      <c r="AA38" s="88" t="s">
        <v>16</v>
      </c>
      <c r="AB38" s="95" t="s">
        <v>299</v>
      </c>
      <c r="AC38" s="345">
        <f>B293</f>
        <v>27.027027027027</v>
      </c>
      <c r="AD38" s="345">
        <f>B293</f>
        <v>27.027027027027</v>
      </c>
      <c r="AE38" s="345">
        <f>B293</f>
        <v>27.027027027027</v>
      </c>
      <c r="AF38" s="345">
        <f>B293</f>
        <v>27.027027027027</v>
      </c>
      <c r="AG38" s="345">
        <f>B293</f>
        <v>27.027027027027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x14ac:dyDescent="0.2">
      <c r="A39" s="262" t="s">
        <v>276</v>
      </c>
      <c r="B39" s="315">
        <v>2.7</v>
      </c>
      <c r="C39" s="263" t="s">
        <v>298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((W27)/((W33/W34)*W30*W31*W36*(1/365)))/W42</f>
        <v>98.961728788197448</v>
      </c>
      <c r="X39" s="88" t="s">
        <v>15</v>
      </c>
      <c r="Y39" s="88" t="s">
        <v>78</v>
      </c>
      <c r="Z39" s="296">
        <f>((Z27*Z31*Z28)/((1-EXP(-Z28*Z31))*Z36*Z30*Z44*(Z33/Z34)*Z37*(Z44/Z45)))/Z46</f>
        <v>20.950777476811169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0.4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((W27*W28*W31)/((W33/W34)*(1-EXP(-W28*W31))*W32*W35*W30*W31))/W42</f>
        <v>0.1105032739739563</v>
      </c>
      <c r="X40" s="88" t="s">
        <v>16</v>
      </c>
      <c r="Y40" s="88" t="s">
        <v>74</v>
      </c>
      <c r="Z40" s="294">
        <f>(Z27/((Z32*Z30*Z44*(Z33/Z34)*Z35)))/Z46</f>
        <v>0.10439321444106142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0.2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((W27*W28*W31)/((W33/W34)*(1-EXP(-W28*W31))*W36*W30*W31*(1/365)))/W42</f>
        <v>104.75388738405583</v>
      </c>
      <c r="X41" s="88" t="s">
        <v>16</v>
      </c>
      <c r="Y41" s="88" t="s">
        <v>78</v>
      </c>
      <c r="Z41" s="296">
        <f>(Z27/(Z36*Z30*(1/Z45)*Z44*(Z33/Z34)*Z37))/Z46</f>
        <v>98.961728788197448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2.1999999999999999E-2</v>
      </c>
      <c r="C42" s="263" t="s">
        <v>298</v>
      </c>
      <c r="D42" s="203" t="s">
        <v>510</v>
      </c>
      <c r="E42" s="204">
        <f>E52</f>
        <v>6.546109156370189E-3</v>
      </c>
      <c r="F42" s="184" t="s">
        <v>304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299</v>
      </c>
      <c r="W42" s="289">
        <f>B293</f>
        <v>27.027027027027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8.5099999999999995E-2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2.7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0.74199999999999999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2.5229999999999999E-2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8.5099999999999995E-2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2.9000000000000001E-2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0.74199999999999999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10</v>
      </c>
      <c r="C46" s="249" t="s">
        <v>19</v>
      </c>
      <c r="D46" s="262" t="s">
        <v>438</v>
      </c>
      <c r="E46" s="287">
        <f>B30</f>
        <v>3.7370000000000003E-11</v>
      </c>
      <c r="F46" s="262" t="s">
        <v>289</v>
      </c>
      <c r="G46" s="249" t="s">
        <v>20</v>
      </c>
      <c r="H46" s="287">
        <f>H48</f>
        <v>2.5229999999999999E-2</v>
      </c>
      <c r="I46" s="263"/>
      <c r="J46" s="269" t="s">
        <v>107</v>
      </c>
      <c r="K46" s="292">
        <f>K34</f>
        <v>20</v>
      </c>
      <c r="L46" s="269" t="s">
        <v>69</v>
      </c>
      <c r="Y46" s="95" t="s">
        <v>299</v>
      </c>
      <c r="Z46" s="289">
        <f>B293</f>
        <v>27.027027027027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347">
        <f>200/27.027</f>
        <v>7.4000074000074001</v>
      </c>
      <c r="C47" s="262" t="s">
        <v>581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2.5229999999999999E-2</v>
      </c>
      <c r="K48" s="289">
        <v>1000</v>
      </c>
      <c r="L48" s="249" t="s">
        <v>115</v>
      </c>
      <c r="CT48" s="95" t="s">
        <v>299</v>
      </c>
      <c r="CU48" s="289">
        <f>B293</f>
        <v>27.027027027027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249" customFormat="1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262"/>
      <c r="BZ49" s="293"/>
      <c r="CC49" s="289"/>
      <c r="CF49" s="289"/>
      <c r="CI49" s="289"/>
      <c r="CL49" s="289"/>
      <c r="CO49" s="289"/>
      <c r="CR49" s="289"/>
      <c r="CU49" s="289"/>
      <c r="CX49" s="289"/>
      <c r="DA49" s="292">
        <v>1000</v>
      </c>
      <c r="DB49" s="267" t="s">
        <v>115</v>
      </c>
      <c r="DD49" s="289"/>
      <c r="DG49" s="289"/>
      <c r="DJ49" s="289"/>
      <c r="DM49" s="289"/>
      <c r="DP49" s="289"/>
      <c r="DS49" s="289"/>
      <c r="DV49" s="289"/>
      <c r="DW49" s="264"/>
      <c r="DX49" s="264"/>
      <c r="DY49" s="328"/>
      <c r="DZ49" s="264"/>
    </row>
    <row r="50" spans="1:130" s="249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2500</v>
      </c>
      <c r="F50" s="263" t="s">
        <v>19</v>
      </c>
      <c r="G50" s="249" t="s">
        <v>18</v>
      </c>
      <c r="H50" s="288">
        <f>(H53*H54*H48*((1-EXP(-H55*H56))))/(H57*H55)</f>
        <v>0.66252863179360322</v>
      </c>
      <c r="I50" s="249" t="s">
        <v>19</v>
      </c>
      <c r="J50" s="249" t="s">
        <v>20</v>
      </c>
      <c r="K50" s="287">
        <f>K52</f>
        <v>2.5229999999999999E-2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263"/>
      <c r="BZ50" s="307"/>
      <c r="CC50" s="289"/>
      <c r="CF50" s="289"/>
      <c r="CI50" s="289"/>
      <c r="CL50" s="289"/>
      <c r="CO50" s="289"/>
      <c r="CR50" s="289"/>
      <c r="CT50" s="263"/>
      <c r="CU50" s="307"/>
      <c r="CX50" s="289"/>
      <c r="CZ50" s="95" t="s">
        <v>299</v>
      </c>
      <c r="DA50" s="289">
        <f>B293</f>
        <v>27.027027027027</v>
      </c>
      <c r="DD50" s="289"/>
      <c r="DG50" s="289"/>
      <c r="DJ50" s="289"/>
      <c r="DM50" s="289"/>
      <c r="DP50" s="289"/>
      <c r="DS50" s="289"/>
      <c r="DV50" s="289"/>
      <c r="DW50" s="264"/>
      <c r="DX50" s="264"/>
      <c r="DY50" s="328"/>
      <c r="DZ50" s="264"/>
    </row>
    <row r="51" spans="1:130" s="249" customFormat="1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6.8274849094862002</v>
      </c>
      <c r="I51" s="249" t="s">
        <v>19</v>
      </c>
      <c r="J51" s="262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262"/>
      <c r="BZ51" s="293"/>
      <c r="CC51" s="289"/>
      <c r="CF51" s="289"/>
      <c r="CI51" s="289"/>
      <c r="CL51" s="289"/>
      <c r="CO51" s="289"/>
      <c r="CR51" s="289"/>
      <c r="CT51" s="262"/>
      <c r="CU51" s="293"/>
      <c r="CX51" s="289"/>
      <c r="CZ51" s="267"/>
      <c r="DA51" s="289"/>
      <c r="DD51" s="289"/>
      <c r="DG51" s="289"/>
      <c r="DJ51" s="289"/>
      <c r="DM51" s="289"/>
      <c r="DP51" s="289"/>
      <c r="DS51" s="289"/>
      <c r="DV51" s="289"/>
      <c r="DW51" s="264"/>
      <c r="DX51" s="264"/>
      <c r="DY51" s="328"/>
      <c r="DZ51" s="264"/>
    </row>
    <row r="52" spans="1:130" s="249" customFormat="1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>
        <f>(E44/(E46*E45*E47*E48*E50*E51*(1/E49)))/E53</f>
        <v>6.546109156370189E-3</v>
      </c>
      <c r="F52" s="249" t="s">
        <v>304</v>
      </c>
      <c r="G52" s="249" t="s">
        <v>36</v>
      </c>
      <c r="H52" s="288">
        <f>(H53*H54*H58*H64*((1-EXP(-H59*H60))))/(H61*H59)</f>
        <v>3.6385326157733249</v>
      </c>
      <c r="I52" s="249" t="s">
        <v>19</v>
      </c>
      <c r="J52" s="263" t="s">
        <v>37</v>
      </c>
      <c r="K52" s="290">
        <f>B44</f>
        <v>2.5229999999999999E-2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267"/>
      <c r="DA52" s="289"/>
      <c r="DD52" s="289"/>
      <c r="DG52" s="289"/>
      <c r="DJ52" s="289"/>
      <c r="DM52" s="289"/>
      <c r="DP52" s="289"/>
      <c r="DS52" s="289"/>
      <c r="DV52" s="289"/>
      <c r="DW52" s="264"/>
      <c r="DX52" s="264"/>
      <c r="DY52" s="328"/>
      <c r="DZ52" s="264"/>
    </row>
    <row r="53" spans="1:130" s="249" customFormat="1" x14ac:dyDescent="0.2">
      <c r="A53" s="262" t="s">
        <v>320</v>
      </c>
      <c r="B53" s="283">
        <v>55</v>
      </c>
      <c r="C53" s="263" t="s">
        <v>54</v>
      </c>
      <c r="D53" s="95" t="s">
        <v>299</v>
      </c>
      <c r="E53" s="289">
        <f>B293</f>
        <v>27.027027027027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262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267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249" customFormat="1" x14ac:dyDescent="0.2">
      <c r="A54" s="262" t="s">
        <v>321</v>
      </c>
      <c r="B54" s="283">
        <v>55</v>
      </c>
      <c r="C54" s="263" t="s">
        <v>54</v>
      </c>
      <c r="E54" s="289"/>
      <c r="G54" s="262" t="s">
        <v>46</v>
      </c>
      <c r="H54" s="287">
        <f>B86</f>
        <v>0.25</v>
      </c>
      <c r="I54" s="249" t="s">
        <v>47</v>
      </c>
      <c r="J54" s="95" t="s">
        <v>299</v>
      </c>
      <c r="K54" s="289">
        <f>B293</f>
        <v>27.027027027027</v>
      </c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262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267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249" customFormat="1" x14ac:dyDescent="0.2">
      <c r="A55" s="262" t="s">
        <v>322</v>
      </c>
      <c r="B55" s="283">
        <v>5</v>
      </c>
      <c r="C55" s="262" t="s">
        <v>30</v>
      </c>
      <c r="E55" s="289"/>
      <c r="G55" s="267" t="s">
        <v>55</v>
      </c>
      <c r="H55" s="303">
        <f>H62+H63</f>
        <v>8.9999999999999992E-5</v>
      </c>
      <c r="K55" s="289"/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267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267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249" customFormat="1" x14ac:dyDescent="0.2">
      <c r="A56" s="262" t="s">
        <v>323</v>
      </c>
      <c r="B56" s="283">
        <v>5</v>
      </c>
      <c r="C56" s="262" t="s">
        <v>30</v>
      </c>
      <c r="E56" s="289"/>
      <c r="G56" s="267" t="s">
        <v>60</v>
      </c>
      <c r="H56" s="289">
        <f>B87</f>
        <v>10950</v>
      </c>
      <c r="I56" s="249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267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267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249" customFormat="1" x14ac:dyDescent="0.2">
      <c r="A57" s="262" t="s">
        <v>337</v>
      </c>
      <c r="B57" s="283">
        <v>55</v>
      </c>
      <c r="C57" s="249" t="s">
        <v>54</v>
      </c>
      <c r="E57" s="289"/>
      <c r="G57" s="267" t="s">
        <v>65</v>
      </c>
      <c r="H57" s="289">
        <f>B88</f>
        <v>240</v>
      </c>
      <c r="I57" s="249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267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267"/>
      <c r="DA57" s="293"/>
      <c r="DB57" s="262"/>
      <c r="DD57" s="289"/>
      <c r="DG57" s="289"/>
      <c r="DJ57" s="289"/>
      <c r="DM57" s="289"/>
      <c r="DP57" s="289"/>
      <c r="DS57" s="289"/>
      <c r="DV57" s="289"/>
      <c r="DY57" s="289"/>
    </row>
    <row r="58" spans="1:130" s="249" customFormat="1" x14ac:dyDescent="0.2">
      <c r="A58" s="249" t="s">
        <v>357</v>
      </c>
      <c r="B58" s="283">
        <v>55</v>
      </c>
      <c r="C58" s="249" t="s">
        <v>54</v>
      </c>
      <c r="E58" s="289"/>
      <c r="G58" s="267" t="s">
        <v>76</v>
      </c>
      <c r="H58" s="289">
        <f>B89</f>
        <v>0.42</v>
      </c>
      <c r="I58" s="249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267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267"/>
      <c r="DA58" s="293"/>
      <c r="DB58" s="262"/>
      <c r="DD58" s="289"/>
      <c r="DG58" s="289"/>
      <c r="DJ58" s="289"/>
      <c r="DM58" s="289"/>
      <c r="DP58" s="289"/>
      <c r="DS58" s="289"/>
      <c r="DV58" s="289"/>
      <c r="DY58" s="289"/>
    </row>
    <row r="59" spans="1:130" s="249" customFormat="1" x14ac:dyDescent="0.2">
      <c r="A59" s="249" t="s">
        <v>336</v>
      </c>
      <c r="B59" s="283">
        <v>55</v>
      </c>
      <c r="C59" s="249" t="s">
        <v>54</v>
      </c>
      <c r="E59" s="289"/>
      <c r="G59" s="267" t="s">
        <v>81</v>
      </c>
      <c r="H59" s="299">
        <f>H63+(0.693/H65)</f>
        <v>4.9562999999999996E-2</v>
      </c>
      <c r="I59" s="262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267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267"/>
      <c r="DA59" s="293"/>
      <c r="DB59" s="262"/>
      <c r="DD59" s="289"/>
      <c r="DG59" s="289"/>
      <c r="DJ59" s="289"/>
      <c r="DM59" s="289"/>
      <c r="DP59" s="289"/>
      <c r="DS59" s="289"/>
      <c r="DV59" s="289"/>
      <c r="DY59" s="289"/>
    </row>
    <row r="60" spans="1:130" s="249" customFormat="1" x14ac:dyDescent="0.2">
      <c r="A60" s="262" t="s">
        <v>332</v>
      </c>
      <c r="B60" s="283">
        <v>55</v>
      </c>
      <c r="C60" s="267" t="s">
        <v>254</v>
      </c>
      <c r="E60" s="289"/>
      <c r="G60" s="267" t="s">
        <v>85</v>
      </c>
      <c r="H60" s="293">
        <f>B90</f>
        <v>60</v>
      </c>
      <c r="I60" s="262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267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267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249" customFormat="1" x14ac:dyDescent="0.2">
      <c r="A61" s="262" t="s">
        <v>333</v>
      </c>
      <c r="B61" s="283">
        <v>55</v>
      </c>
      <c r="C61" s="267" t="s">
        <v>254</v>
      </c>
      <c r="E61" s="289"/>
      <c r="G61" s="267" t="s">
        <v>87</v>
      </c>
      <c r="H61" s="293">
        <f>B91</f>
        <v>2</v>
      </c>
      <c r="I61" s="262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267"/>
      <c r="BW61" s="293"/>
      <c r="BX61" s="262"/>
      <c r="BZ61" s="289"/>
      <c r="CC61" s="289"/>
      <c r="CF61" s="289"/>
      <c r="CI61" s="289"/>
      <c r="CL61" s="289"/>
      <c r="CO61" s="289"/>
      <c r="CR61" s="289"/>
      <c r="CU61" s="289"/>
      <c r="CX61" s="289"/>
      <c r="CZ61" s="267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249" customFormat="1" x14ac:dyDescent="0.2">
      <c r="A62" s="262" t="s">
        <v>334</v>
      </c>
      <c r="B62" s="283">
        <v>55</v>
      </c>
      <c r="C62" s="267" t="s">
        <v>254</v>
      </c>
      <c r="E62" s="289"/>
      <c r="G62" s="267" t="s">
        <v>89</v>
      </c>
      <c r="H62" s="289">
        <f>B92</f>
        <v>2.6999999999999999E-5</v>
      </c>
      <c r="I62" s="249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267"/>
      <c r="BW62" s="293"/>
      <c r="BX62" s="262"/>
      <c r="BZ62" s="289"/>
      <c r="CC62" s="289"/>
      <c r="CF62" s="289"/>
      <c r="CI62" s="289"/>
      <c r="CL62" s="289"/>
      <c r="CO62" s="289"/>
      <c r="CR62" s="289"/>
      <c r="CU62" s="289"/>
      <c r="CX62" s="289"/>
      <c r="CZ62" s="267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249" customFormat="1" x14ac:dyDescent="0.2">
      <c r="A63" s="262" t="s">
        <v>335</v>
      </c>
      <c r="B63" s="283">
        <v>55</v>
      </c>
      <c r="C63" s="267" t="s">
        <v>254</v>
      </c>
      <c r="E63" s="289"/>
      <c r="G63" s="267" t="s">
        <v>90</v>
      </c>
      <c r="H63" s="288">
        <f>0.693/H67</f>
        <v>6.3E-5</v>
      </c>
      <c r="I63" s="249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267"/>
      <c r="BW63" s="293"/>
      <c r="BX63" s="262"/>
      <c r="BZ63" s="289"/>
      <c r="CC63" s="289"/>
      <c r="CF63" s="289"/>
      <c r="CI63" s="289"/>
      <c r="CL63" s="289"/>
      <c r="CO63" s="289"/>
      <c r="CR63" s="289"/>
      <c r="CU63" s="289"/>
      <c r="CX63" s="289"/>
      <c r="CZ63" s="267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249" customFormat="1" x14ac:dyDescent="0.2">
      <c r="A64" s="262" t="s">
        <v>343</v>
      </c>
      <c r="B64" s="283">
        <v>5</v>
      </c>
      <c r="C64" s="264" t="s">
        <v>69</v>
      </c>
      <c r="E64" s="289"/>
      <c r="G64" s="267" t="s">
        <v>91</v>
      </c>
      <c r="H64" s="289">
        <f>B93</f>
        <v>1</v>
      </c>
      <c r="I64" s="249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275"/>
      <c r="AJ64" s="353"/>
      <c r="AK64" s="275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267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249" customFormat="1" x14ac:dyDescent="0.2">
      <c r="A65" s="262" t="s">
        <v>342</v>
      </c>
      <c r="B65" s="283">
        <v>15</v>
      </c>
      <c r="C65" s="264" t="s">
        <v>69</v>
      </c>
      <c r="E65" s="289"/>
      <c r="G65" s="267" t="s">
        <v>92</v>
      </c>
      <c r="H65" s="289">
        <f>B94</f>
        <v>14</v>
      </c>
      <c r="I65" s="249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275"/>
      <c r="AJ65" s="353"/>
      <c r="AK65" s="275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267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249" customFormat="1" x14ac:dyDescent="0.2">
      <c r="A66" s="262" t="s">
        <v>341</v>
      </c>
      <c r="B66" s="283">
        <v>20</v>
      </c>
      <c r="C66" s="264" t="s">
        <v>69</v>
      </c>
      <c r="E66" s="289"/>
      <c r="G66" s="249" t="s">
        <v>38</v>
      </c>
      <c r="H66" s="287">
        <f>B45</f>
        <v>2.9000000000000001E-2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275"/>
      <c r="AJ66" s="353"/>
      <c r="AK66" s="275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267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262"/>
      <c r="DA66" s="287"/>
    </row>
    <row r="67" spans="1:105" s="249" customFormat="1" x14ac:dyDescent="0.2">
      <c r="A67" s="262" t="s">
        <v>340</v>
      </c>
      <c r="B67" s="283">
        <v>55</v>
      </c>
      <c r="C67" s="264" t="s">
        <v>26</v>
      </c>
      <c r="E67" s="289"/>
      <c r="G67" s="262" t="s">
        <v>273</v>
      </c>
      <c r="H67" s="287">
        <f>B35</f>
        <v>11000</v>
      </c>
      <c r="I67" s="249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275"/>
      <c r="AJ67" s="353"/>
      <c r="AK67" s="275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267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249" customFormat="1" x14ac:dyDescent="0.2">
      <c r="A68" s="262" t="s">
        <v>339</v>
      </c>
      <c r="B68" s="283">
        <v>55</v>
      </c>
      <c r="C68" s="264" t="s">
        <v>26</v>
      </c>
      <c r="E68" s="289"/>
      <c r="G68" s="95" t="s">
        <v>299</v>
      </c>
      <c r="H68" s="345">
        <f>B293</f>
        <v>27.027027027027</v>
      </c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275"/>
      <c r="AJ68" s="353"/>
      <c r="AK68" s="275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249" customFormat="1" x14ac:dyDescent="0.2">
      <c r="A69" s="262" t="s">
        <v>338</v>
      </c>
      <c r="B69" s="283">
        <v>55</v>
      </c>
      <c r="C69" s="264" t="s">
        <v>26</v>
      </c>
      <c r="E69" s="289"/>
      <c r="H69" s="289"/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275"/>
      <c r="AJ69" s="353"/>
      <c r="AK69" s="275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262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249" customFormat="1" x14ac:dyDescent="0.2">
      <c r="A70" s="249" t="s">
        <v>344</v>
      </c>
      <c r="B70" s="284">
        <v>2</v>
      </c>
      <c r="C70" s="92" t="s">
        <v>104</v>
      </c>
      <c r="E70" s="289"/>
      <c r="H70" s="289"/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275"/>
      <c r="AJ70" s="353"/>
      <c r="AK70" s="275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262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249" customFormat="1" x14ac:dyDescent="0.2">
      <c r="A71" s="249" t="s">
        <v>345</v>
      </c>
      <c r="B71" s="284">
        <v>2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275"/>
      <c r="AJ71" s="353"/>
      <c r="AK71" s="275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262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249" customFormat="1" x14ac:dyDescent="0.2">
      <c r="A72" s="262" t="s">
        <v>347</v>
      </c>
      <c r="B72" s="283">
        <v>15</v>
      </c>
      <c r="C72" s="264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275"/>
      <c r="AI72" s="275"/>
      <c r="AJ72" s="353"/>
      <c r="AK72" s="275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249" customFormat="1" x14ac:dyDescent="0.2">
      <c r="A73" s="262" t="s">
        <v>348</v>
      </c>
      <c r="B73" s="283">
        <v>15</v>
      </c>
      <c r="C73" s="264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275"/>
      <c r="AI73" s="275"/>
      <c r="AJ73" s="353"/>
      <c r="AK73" s="275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249" customFormat="1" x14ac:dyDescent="0.2">
      <c r="A74" s="262" t="s">
        <v>346</v>
      </c>
      <c r="B74" s="283">
        <v>15</v>
      </c>
      <c r="C74" s="264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275"/>
      <c r="AI74" s="275"/>
      <c r="AJ74" s="353"/>
      <c r="AK74" s="275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249" customFormat="1" x14ac:dyDescent="0.2">
      <c r="A75" s="249" t="s">
        <v>349</v>
      </c>
      <c r="B75" s="284">
        <v>2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275"/>
      <c r="AI75" s="275"/>
      <c r="AJ75" s="353"/>
      <c r="AK75" s="275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249" customFormat="1" x14ac:dyDescent="0.2">
      <c r="A76" s="249" t="s">
        <v>350</v>
      </c>
      <c r="B76" s="284">
        <v>2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275"/>
      <c r="AI76" s="275"/>
      <c r="AJ76" s="353"/>
      <c r="AK76" s="275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249" customFormat="1" x14ac:dyDescent="0.2">
      <c r="A77" s="262" t="s">
        <v>103</v>
      </c>
      <c r="B77" s="283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275"/>
      <c r="AI77" s="275"/>
      <c r="AJ77" s="353"/>
      <c r="AK77" s="275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249" customFormat="1" x14ac:dyDescent="0.2">
      <c r="A78" s="249" t="s">
        <v>353</v>
      </c>
      <c r="B78" s="284">
        <v>1</v>
      </c>
      <c r="C78" s="247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249" customFormat="1" x14ac:dyDescent="0.2">
      <c r="A79" s="249" t="s">
        <v>158</v>
      </c>
      <c r="B79" s="284">
        <v>0.4</v>
      </c>
      <c r="C79" s="247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275"/>
      <c r="AI79" s="275"/>
      <c r="AJ79" s="353"/>
      <c r="AK79" s="275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249" customFormat="1" x14ac:dyDescent="0.2">
      <c r="A80" s="249" t="s">
        <v>159</v>
      </c>
      <c r="B80" s="282">
        <f>B3</f>
        <v>8.5099999999999995E-2</v>
      </c>
      <c r="C80" s="247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275"/>
      <c r="AI80" s="275"/>
      <c r="AJ80" s="353"/>
      <c r="AK80" s="275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249" customFormat="1" x14ac:dyDescent="0.2">
      <c r="A81" s="249" t="s">
        <v>62</v>
      </c>
      <c r="B81" s="282">
        <f>B4</f>
        <v>0.74199999999999999</v>
      </c>
      <c r="C81" s="247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249" customFormat="1" x14ac:dyDescent="0.2">
      <c r="A82" s="262" t="s">
        <v>124</v>
      </c>
      <c r="B82" s="284">
        <v>1</v>
      </c>
      <c r="C82" s="263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249" customFormat="1" x14ac:dyDescent="0.2">
      <c r="A83" s="249" t="s">
        <v>83</v>
      </c>
      <c r="B83" s="284">
        <v>0.5</v>
      </c>
      <c r="C83" s="249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249" customFormat="1" x14ac:dyDescent="0.2">
      <c r="A84" s="249" t="s">
        <v>355</v>
      </c>
      <c r="B84" s="284">
        <v>0.25</v>
      </c>
      <c r="C84" s="24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249" customFormat="1" x14ac:dyDescent="0.2">
      <c r="A85" s="262" t="s">
        <v>41</v>
      </c>
      <c r="B85" s="284">
        <v>3.62</v>
      </c>
      <c r="C85" s="249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249" customFormat="1" x14ac:dyDescent="0.2">
      <c r="A86" s="262" t="s">
        <v>46</v>
      </c>
      <c r="B86" s="284">
        <v>0.25</v>
      </c>
      <c r="C86" s="249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249" customFormat="1" x14ac:dyDescent="0.2">
      <c r="A87" s="267" t="s">
        <v>60</v>
      </c>
      <c r="B87" s="284">
        <v>10950</v>
      </c>
      <c r="C87" s="249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249" customFormat="1" x14ac:dyDescent="0.2">
      <c r="A88" s="267" t="s">
        <v>65</v>
      </c>
      <c r="B88" s="284">
        <v>240</v>
      </c>
      <c r="C88" s="249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249" customFormat="1" x14ac:dyDescent="0.2">
      <c r="A89" s="267" t="s">
        <v>76</v>
      </c>
      <c r="B89" s="284">
        <v>0.42</v>
      </c>
      <c r="C89" s="24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249" customFormat="1" x14ac:dyDescent="0.2">
      <c r="A90" s="267" t="s">
        <v>85</v>
      </c>
      <c r="B90" s="284">
        <v>60</v>
      </c>
      <c r="C90" s="262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249" customFormat="1" x14ac:dyDescent="0.2">
      <c r="A91" s="267" t="s">
        <v>87</v>
      </c>
      <c r="B91" s="284">
        <v>2</v>
      </c>
      <c r="C91" s="262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249" customFormat="1" x14ac:dyDescent="0.2">
      <c r="A92" s="267" t="s">
        <v>89</v>
      </c>
      <c r="B92" s="284">
        <v>2.6999999999999999E-5</v>
      </c>
      <c r="C92" s="249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249" customFormat="1" x14ac:dyDescent="0.2">
      <c r="A93" s="267" t="s">
        <v>91</v>
      </c>
      <c r="B93" s="284">
        <v>1</v>
      </c>
      <c r="C93" s="249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249" customFormat="1" x14ac:dyDescent="0.2">
      <c r="A94" s="267" t="s">
        <v>92</v>
      </c>
      <c r="B94" s="284">
        <v>14</v>
      </c>
      <c r="C94" s="249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249" customFormat="1" x14ac:dyDescent="0.2">
      <c r="A95" s="262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249" customFormat="1" x14ac:dyDescent="0.2">
      <c r="A96" s="262" t="s">
        <v>351</v>
      </c>
      <c r="B96" s="283">
        <v>1.752</v>
      </c>
      <c r="C96" s="264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249" customFormat="1" x14ac:dyDescent="0.2">
      <c r="A97" s="262" t="s">
        <v>352</v>
      </c>
      <c r="B97" s="283">
        <v>16.416</v>
      </c>
      <c r="C97" s="264" t="s">
        <v>224</v>
      </c>
    </row>
    <row r="98" spans="1:3" s="249" customFormat="1" ht="15" x14ac:dyDescent="0.2">
      <c r="A98" s="517" t="s">
        <v>5</v>
      </c>
      <c r="B98" s="517"/>
      <c r="C98" s="517"/>
    </row>
    <row r="99" spans="1:3" s="249" customFormat="1" x14ac:dyDescent="0.2">
      <c r="A99" s="262" t="s">
        <v>358</v>
      </c>
      <c r="B99" s="284">
        <v>55</v>
      </c>
      <c r="C99" s="267" t="s">
        <v>359</v>
      </c>
    </row>
    <row r="100" spans="1:3" s="249" customFormat="1" x14ac:dyDescent="0.2">
      <c r="A100" s="262" t="s">
        <v>360</v>
      </c>
      <c r="B100" s="284">
        <v>55</v>
      </c>
      <c r="C100" s="267" t="s">
        <v>359</v>
      </c>
    </row>
    <row r="101" spans="1:3" s="249" customFormat="1" x14ac:dyDescent="0.2">
      <c r="A101" s="262" t="s">
        <v>305</v>
      </c>
      <c r="B101" s="283">
        <v>5</v>
      </c>
      <c r="C101" s="262" t="s">
        <v>361</v>
      </c>
    </row>
    <row r="102" spans="1:3" s="249" customFormat="1" x14ac:dyDescent="0.2">
      <c r="A102" s="262" t="s">
        <v>306</v>
      </c>
      <c r="B102" s="283">
        <v>5</v>
      </c>
      <c r="C102" s="262" t="s">
        <v>361</v>
      </c>
    </row>
    <row r="103" spans="1:3" s="249" customFormat="1" x14ac:dyDescent="0.2">
      <c r="A103" s="262" t="s">
        <v>362</v>
      </c>
      <c r="B103" s="284">
        <v>55</v>
      </c>
      <c r="C103" s="263" t="s">
        <v>54</v>
      </c>
    </row>
    <row r="104" spans="1:3" s="249" customFormat="1" x14ac:dyDescent="0.2">
      <c r="A104" s="262" t="s">
        <v>363</v>
      </c>
      <c r="B104" s="284">
        <v>55</v>
      </c>
      <c r="C104" s="263" t="s">
        <v>54</v>
      </c>
    </row>
    <row r="105" spans="1:3" s="249" customFormat="1" x14ac:dyDescent="0.2">
      <c r="A105" s="249" t="s">
        <v>187</v>
      </c>
      <c r="B105" s="284">
        <v>1</v>
      </c>
      <c r="C105" s="249" t="s">
        <v>254</v>
      </c>
    </row>
    <row r="106" spans="1:3" s="249" customFormat="1" x14ac:dyDescent="0.2">
      <c r="A106" s="249" t="s">
        <v>188</v>
      </c>
      <c r="B106" s="284">
        <v>1</v>
      </c>
      <c r="C106" s="249" t="s">
        <v>254</v>
      </c>
    </row>
    <row r="107" spans="1:3" s="249" customFormat="1" x14ac:dyDescent="0.2">
      <c r="A107" s="94" t="s">
        <v>373</v>
      </c>
      <c r="B107" s="283">
        <v>6</v>
      </c>
      <c r="C107" s="270" t="s">
        <v>69</v>
      </c>
    </row>
    <row r="108" spans="1:3" s="249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249" customFormat="1" x14ac:dyDescent="0.2">
      <c r="A109" s="94" t="s">
        <v>59</v>
      </c>
      <c r="B109" s="283">
        <v>26</v>
      </c>
      <c r="C109" s="270" t="s">
        <v>69</v>
      </c>
    </row>
    <row r="110" spans="1:3" s="249" customFormat="1" x14ac:dyDescent="0.2">
      <c r="A110" s="94" t="s">
        <v>371</v>
      </c>
      <c r="B110" s="107">
        <v>75</v>
      </c>
      <c r="C110" s="94" t="s">
        <v>26</v>
      </c>
    </row>
    <row r="111" spans="1:3" s="249" customFormat="1" x14ac:dyDescent="0.2">
      <c r="A111" s="94" t="s">
        <v>370</v>
      </c>
      <c r="B111" s="283">
        <v>75</v>
      </c>
      <c r="C111" s="94" t="s">
        <v>26</v>
      </c>
    </row>
    <row r="112" spans="1:3" s="249" customFormat="1" x14ac:dyDescent="0.2">
      <c r="A112" s="94" t="s">
        <v>157</v>
      </c>
      <c r="B112" s="283">
        <v>75</v>
      </c>
      <c r="C112" s="94" t="s">
        <v>26</v>
      </c>
    </row>
    <row r="113" spans="1:3" s="249" customFormat="1" x14ac:dyDescent="0.2">
      <c r="A113" s="94" t="s">
        <v>105</v>
      </c>
      <c r="B113" s="283">
        <v>1</v>
      </c>
      <c r="C113" s="92" t="s">
        <v>224</v>
      </c>
    </row>
    <row r="114" spans="1:3" s="249" customFormat="1" x14ac:dyDescent="0.2">
      <c r="A114" s="92" t="s">
        <v>368</v>
      </c>
      <c r="B114" s="284">
        <v>1</v>
      </c>
      <c r="C114" s="92" t="s">
        <v>224</v>
      </c>
    </row>
    <row r="115" spans="1:3" s="249" customFormat="1" x14ac:dyDescent="0.2">
      <c r="A115" s="92" t="s">
        <v>369</v>
      </c>
      <c r="B115" s="284">
        <v>1</v>
      </c>
      <c r="C115" s="92" t="s">
        <v>224</v>
      </c>
    </row>
    <row r="116" spans="1:3" s="249" customFormat="1" x14ac:dyDescent="0.2">
      <c r="A116" s="249" t="s">
        <v>366</v>
      </c>
      <c r="B116" s="284">
        <v>1</v>
      </c>
      <c r="C116" s="249" t="s">
        <v>104</v>
      </c>
    </row>
    <row r="117" spans="1:3" s="249" customFormat="1" x14ac:dyDescent="0.2">
      <c r="A117" s="249" t="s">
        <v>367</v>
      </c>
      <c r="B117" s="284">
        <v>1</v>
      </c>
      <c r="C117" s="249" t="s">
        <v>104</v>
      </c>
    </row>
    <row r="118" spans="1:3" s="249" customFormat="1" x14ac:dyDescent="0.2">
      <c r="A118" s="94" t="s">
        <v>364</v>
      </c>
      <c r="B118" s="284">
        <v>1</v>
      </c>
      <c r="C118" s="92" t="s">
        <v>98</v>
      </c>
    </row>
    <row r="119" spans="1:3" s="249" customFormat="1" x14ac:dyDescent="0.2">
      <c r="A119" s="94" t="s">
        <v>365</v>
      </c>
      <c r="B119" s="284">
        <v>1</v>
      </c>
      <c r="C119" s="92" t="s">
        <v>98</v>
      </c>
    </row>
    <row r="120" spans="1:3" s="249" customFormat="1" x14ac:dyDescent="0.2">
      <c r="A120" s="263" t="s">
        <v>192</v>
      </c>
      <c r="B120" s="283">
        <v>1</v>
      </c>
      <c r="C120" s="249" t="s">
        <v>283</v>
      </c>
    </row>
    <row r="121" spans="1:3" s="249" customFormat="1" x14ac:dyDescent="0.2">
      <c r="A121" s="263" t="s">
        <v>189</v>
      </c>
      <c r="B121" s="283">
        <v>1</v>
      </c>
      <c r="C121" s="249" t="s">
        <v>283</v>
      </c>
    </row>
    <row r="122" spans="1:3" s="249" customFormat="1" x14ac:dyDescent="0.2">
      <c r="A122" s="263" t="s">
        <v>190</v>
      </c>
      <c r="B122" s="283">
        <v>1</v>
      </c>
      <c r="C122" s="249" t="s">
        <v>47</v>
      </c>
    </row>
    <row r="123" spans="1:3" s="249" customFormat="1" x14ac:dyDescent="0.2">
      <c r="A123" s="263" t="s">
        <v>191</v>
      </c>
      <c r="B123" s="283">
        <v>1</v>
      </c>
      <c r="C123" s="249" t="s">
        <v>47</v>
      </c>
    </row>
    <row r="124" spans="1:3" s="249" customFormat="1" x14ac:dyDescent="0.2">
      <c r="A124" s="263" t="s">
        <v>199</v>
      </c>
      <c r="B124" s="283">
        <v>1</v>
      </c>
      <c r="C124" s="249" t="s">
        <v>30</v>
      </c>
    </row>
    <row r="125" spans="1:3" s="249" customFormat="1" x14ac:dyDescent="0.2">
      <c r="A125" s="249" t="s">
        <v>193</v>
      </c>
      <c r="B125" s="283">
        <v>1</v>
      </c>
      <c r="C125" s="249" t="s">
        <v>283</v>
      </c>
    </row>
    <row r="126" spans="1:3" s="249" customFormat="1" x14ac:dyDescent="0.2">
      <c r="A126" s="249" t="s">
        <v>196</v>
      </c>
      <c r="B126" s="283">
        <v>1</v>
      </c>
      <c r="C126" s="249" t="s">
        <v>283</v>
      </c>
    </row>
    <row r="127" spans="1:3" s="249" customFormat="1" x14ac:dyDescent="0.2">
      <c r="A127" s="268" t="s">
        <v>197</v>
      </c>
      <c r="B127" s="283">
        <v>1</v>
      </c>
      <c r="C127" s="249" t="s">
        <v>47</v>
      </c>
    </row>
    <row r="128" spans="1:3" s="249" customFormat="1" x14ac:dyDescent="0.2">
      <c r="A128" s="262" t="s">
        <v>198</v>
      </c>
      <c r="B128" s="283">
        <v>1</v>
      </c>
      <c r="C128" s="249" t="s">
        <v>47</v>
      </c>
    </row>
    <row r="129" spans="1:3" s="249" customFormat="1" x14ac:dyDescent="0.2">
      <c r="A129" s="263" t="s">
        <v>200</v>
      </c>
      <c r="B129" s="283">
        <v>1</v>
      </c>
      <c r="C129" s="249" t="s">
        <v>30</v>
      </c>
    </row>
    <row r="130" spans="1:3" s="249" customFormat="1" x14ac:dyDescent="0.2">
      <c r="A130" s="262" t="s">
        <v>255</v>
      </c>
      <c r="B130" s="284">
        <v>1</v>
      </c>
    </row>
    <row r="131" spans="1:3" s="249" customFormat="1" x14ac:dyDescent="0.2">
      <c r="A131" s="249" t="s">
        <v>83</v>
      </c>
      <c r="B131" s="284">
        <v>0.5</v>
      </c>
    </row>
    <row r="132" spans="1:3" s="249" customFormat="1" ht="15" x14ac:dyDescent="0.2">
      <c r="A132" s="518" t="s">
        <v>180</v>
      </c>
      <c r="B132" s="518"/>
      <c r="C132" s="518"/>
    </row>
    <row r="133" spans="1:3" s="249" customFormat="1" x14ac:dyDescent="0.2">
      <c r="A133" s="262" t="s">
        <v>374</v>
      </c>
      <c r="B133" s="283">
        <v>55</v>
      </c>
      <c r="C133" s="263" t="s">
        <v>54</v>
      </c>
    </row>
    <row r="134" spans="1:3" s="249" customFormat="1" x14ac:dyDescent="0.2">
      <c r="A134" s="262" t="s">
        <v>375</v>
      </c>
      <c r="B134" s="283">
        <v>55</v>
      </c>
      <c r="C134" s="263" t="s">
        <v>54</v>
      </c>
    </row>
    <row r="135" spans="1:3" s="249" customFormat="1" x14ac:dyDescent="0.2">
      <c r="A135" s="262" t="s">
        <v>376</v>
      </c>
      <c r="B135" s="283">
        <v>55</v>
      </c>
      <c r="C135" s="267" t="s">
        <v>359</v>
      </c>
    </row>
    <row r="136" spans="1:3" s="249" customFormat="1" x14ac:dyDescent="0.2">
      <c r="A136" s="262" t="s">
        <v>377</v>
      </c>
      <c r="B136" s="283">
        <v>55</v>
      </c>
      <c r="C136" s="267" t="s">
        <v>359</v>
      </c>
    </row>
    <row r="137" spans="1:3" s="249" customFormat="1" x14ac:dyDescent="0.2">
      <c r="A137" s="267" t="s">
        <v>378</v>
      </c>
      <c r="B137" s="284">
        <v>5</v>
      </c>
      <c r="C137" s="262" t="s">
        <v>30</v>
      </c>
    </row>
    <row r="138" spans="1:3" s="249" customFormat="1" x14ac:dyDescent="0.2">
      <c r="A138" s="267" t="s">
        <v>379</v>
      </c>
      <c r="B138" s="284">
        <v>5</v>
      </c>
      <c r="C138" s="262" t="s">
        <v>30</v>
      </c>
    </row>
    <row r="139" spans="1:3" s="249" customFormat="1" x14ac:dyDescent="0.2">
      <c r="A139" s="262" t="s">
        <v>380</v>
      </c>
      <c r="B139" s="283">
        <v>55</v>
      </c>
      <c r="C139" s="267" t="s">
        <v>254</v>
      </c>
    </row>
    <row r="140" spans="1:3" s="249" customFormat="1" x14ac:dyDescent="0.2">
      <c r="A140" s="262" t="s">
        <v>381</v>
      </c>
      <c r="B140" s="283">
        <v>55</v>
      </c>
      <c r="C140" s="267" t="s">
        <v>254</v>
      </c>
    </row>
    <row r="141" spans="1:3" s="249" customFormat="1" x14ac:dyDescent="0.2">
      <c r="A141" s="262" t="s">
        <v>382</v>
      </c>
      <c r="B141" s="283">
        <v>55</v>
      </c>
      <c r="C141" s="267" t="s">
        <v>254</v>
      </c>
    </row>
    <row r="142" spans="1:3" s="249" customFormat="1" x14ac:dyDescent="0.2">
      <c r="A142" s="262" t="s">
        <v>383</v>
      </c>
      <c r="B142" s="283">
        <v>55</v>
      </c>
      <c r="C142" s="267" t="s">
        <v>254</v>
      </c>
    </row>
    <row r="143" spans="1:3" s="249" customFormat="1" x14ac:dyDescent="0.2">
      <c r="A143" s="262" t="s">
        <v>479</v>
      </c>
      <c r="B143" s="283">
        <v>55</v>
      </c>
      <c r="C143" s="267" t="s">
        <v>254</v>
      </c>
    </row>
    <row r="144" spans="1:3" s="249" customFormat="1" x14ac:dyDescent="0.2">
      <c r="A144" s="262" t="s">
        <v>480</v>
      </c>
      <c r="B144" s="283">
        <v>55</v>
      </c>
      <c r="C144" s="267" t="s">
        <v>254</v>
      </c>
    </row>
    <row r="145" spans="1:3" s="249" customFormat="1" x14ac:dyDescent="0.2">
      <c r="A145" s="262" t="s">
        <v>481</v>
      </c>
      <c r="B145" s="283">
        <v>55</v>
      </c>
      <c r="C145" s="267" t="s">
        <v>254</v>
      </c>
    </row>
    <row r="146" spans="1:3" s="249" customFormat="1" x14ac:dyDescent="0.2">
      <c r="A146" s="262" t="s">
        <v>482</v>
      </c>
      <c r="B146" s="283">
        <v>55</v>
      </c>
      <c r="C146" s="267" t="s">
        <v>254</v>
      </c>
    </row>
    <row r="147" spans="1:3" s="249" customFormat="1" x14ac:dyDescent="0.2">
      <c r="A147" s="262" t="s">
        <v>326</v>
      </c>
      <c r="B147" s="283">
        <v>55</v>
      </c>
      <c r="C147" s="262" t="s">
        <v>254</v>
      </c>
    </row>
    <row r="148" spans="1:3" s="249" customFormat="1" x14ac:dyDescent="0.2">
      <c r="A148" s="262" t="s">
        <v>327</v>
      </c>
      <c r="B148" s="283">
        <v>55</v>
      </c>
      <c r="C148" s="262" t="s">
        <v>254</v>
      </c>
    </row>
    <row r="149" spans="1:3" s="249" customFormat="1" x14ac:dyDescent="0.2">
      <c r="A149" s="262" t="s">
        <v>483</v>
      </c>
      <c r="B149" s="283">
        <v>55</v>
      </c>
      <c r="C149" s="267" t="s">
        <v>254</v>
      </c>
    </row>
    <row r="150" spans="1:3" s="249" customFormat="1" x14ac:dyDescent="0.2">
      <c r="A150" s="262" t="s">
        <v>484</v>
      </c>
      <c r="B150" s="283">
        <v>55</v>
      </c>
      <c r="C150" s="267" t="s">
        <v>254</v>
      </c>
    </row>
    <row r="151" spans="1:3" s="249" customFormat="1" x14ac:dyDescent="0.2">
      <c r="A151" s="262" t="s">
        <v>324</v>
      </c>
      <c r="B151" s="283">
        <v>55</v>
      </c>
      <c r="C151" s="262" t="s">
        <v>254</v>
      </c>
    </row>
    <row r="152" spans="1:3" s="249" customFormat="1" x14ac:dyDescent="0.2">
      <c r="A152" s="262" t="s">
        <v>325</v>
      </c>
      <c r="B152" s="283">
        <v>55</v>
      </c>
      <c r="C152" s="262" t="s">
        <v>254</v>
      </c>
    </row>
    <row r="153" spans="1:3" s="249" customFormat="1" x14ac:dyDescent="0.2">
      <c r="A153" s="262" t="s">
        <v>328</v>
      </c>
      <c r="B153" s="283">
        <v>55</v>
      </c>
      <c r="C153" s="262" t="s">
        <v>254</v>
      </c>
    </row>
    <row r="154" spans="1:3" s="249" customFormat="1" x14ac:dyDescent="0.2">
      <c r="A154" s="262" t="s">
        <v>329</v>
      </c>
      <c r="B154" s="283">
        <v>55</v>
      </c>
      <c r="C154" s="262" t="s">
        <v>254</v>
      </c>
    </row>
    <row r="155" spans="1:3" s="249" customFormat="1" x14ac:dyDescent="0.2">
      <c r="A155" s="262" t="s">
        <v>384</v>
      </c>
      <c r="B155" s="284">
        <v>10</v>
      </c>
      <c r="C155" s="93" t="s">
        <v>69</v>
      </c>
    </row>
    <row r="156" spans="1:3" s="249" customFormat="1" x14ac:dyDescent="0.2">
      <c r="A156" s="262" t="s">
        <v>385</v>
      </c>
      <c r="B156" s="284">
        <v>20</v>
      </c>
      <c r="C156" s="93" t="s">
        <v>69</v>
      </c>
    </row>
    <row r="157" spans="1:3" s="249" customFormat="1" x14ac:dyDescent="0.2">
      <c r="A157" s="262" t="s">
        <v>386</v>
      </c>
      <c r="B157" s="284">
        <v>30</v>
      </c>
      <c r="C157" s="93" t="s">
        <v>69</v>
      </c>
    </row>
    <row r="158" spans="1:3" s="249" customFormat="1" x14ac:dyDescent="0.2">
      <c r="A158" s="262" t="s">
        <v>387</v>
      </c>
      <c r="B158" s="284">
        <v>55</v>
      </c>
      <c r="C158" s="262" t="s">
        <v>26</v>
      </c>
    </row>
    <row r="159" spans="1:3" s="249" customFormat="1" x14ac:dyDescent="0.2">
      <c r="A159" s="262" t="s">
        <v>388</v>
      </c>
      <c r="B159" s="284">
        <v>55</v>
      </c>
      <c r="C159" s="262" t="s">
        <v>26</v>
      </c>
    </row>
    <row r="160" spans="1:3" s="249" customFormat="1" x14ac:dyDescent="0.2">
      <c r="A160" s="262" t="s">
        <v>389</v>
      </c>
      <c r="B160" s="283">
        <v>15</v>
      </c>
      <c r="C160" s="263" t="s">
        <v>224</v>
      </c>
    </row>
    <row r="161" spans="1:3" s="249" customFormat="1" x14ac:dyDescent="0.2">
      <c r="A161" s="262" t="s">
        <v>390</v>
      </c>
      <c r="B161" s="283">
        <v>15</v>
      </c>
      <c r="C161" s="263" t="s">
        <v>224</v>
      </c>
    </row>
    <row r="162" spans="1:3" s="249" customFormat="1" x14ac:dyDescent="0.2">
      <c r="A162" s="262" t="s">
        <v>396</v>
      </c>
      <c r="B162" s="283">
        <v>15</v>
      </c>
      <c r="C162" s="263" t="s">
        <v>224</v>
      </c>
    </row>
    <row r="163" spans="1:3" s="249" customFormat="1" x14ac:dyDescent="0.2">
      <c r="A163" s="249" t="s">
        <v>393</v>
      </c>
      <c r="B163" s="283">
        <v>2</v>
      </c>
      <c r="C163" s="267" t="s">
        <v>395</v>
      </c>
    </row>
    <row r="164" spans="1:3" s="249" customFormat="1" x14ac:dyDescent="0.2">
      <c r="A164" s="249" t="s">
        <v>394</v>
      </c>
      <c r="B164" s="283">
        <v>2</v>
      </c>
      <c r="C164" s="267" t="s">
        <v>395</v>
      </c>
    </row>
    <row r="165" spans="1:3" s="249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249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249" customFormat="1" x14ac:dyDescent="0.2">
      <c r="A167" s="262" t="s">
        <v>397</v>
      </c>
      <c r="B167" s="283">
        <v>2</v>
      </c>
      <c r="C167" s="267" t="s">
        <v>166</v>
      </c>
    </row>
    <row r="168" spans="1:3" s="249" customFormat="1" x14ac:dyDescent="0.2">
      <c r="A168" s="262" t="s">
        <v>398</v>
      </c>
      <c r="B168" s="283">
        <v>2</v>
      </c>
      <c r="C168" s="267" t="s">
        <v>166</v>
      </c>
    </row>
    <row r="169" spans="1:3" s="249" customFormat="1" x14ac:dyDescent="0.2">
      <c r="A169" s="262" t="s">
        <v>103</v>
      </c>
      <c r="B169" s="283">
        <v>0.4</v>
      </c>
      <c r="C169" s="247"/>
    </row>
    <row r="170" spans="1:3" s="249" customFormat="1" x14ac:dyDescent="0.2">
      <c r="A170" s="262" t="s">
        <v>158</v>
      </c>
      <c r="B170" s="283">
        <v>0.4</v>
      </c>
      <c r="C170" s="247"/>
    </row>
    <row r="171" spans="1:3" s="249" customFormat="1" x14ac:dyDescent="0.2">
      <c r="A171" s="262" t="s">
        <v>159</v>
      </c>
      <c r="B171" s="282">
        <f>B3</f>
        <v>8.5099999999999995E-2</v>
      </c>
      <c r="C171" s="247"/>
    </row>
    <row r="172" spans="1:3" s="249" customFormat="1" x14ac:dyDescent="0.2">
      <c r="A172" s="262" t="s">
        <v>62</v>
      </c>
      <c r="B172" s="282">
        <f>B4</f>
        <v>0.74199999999999999</v>
      </c>
      <c r="C172" s="247"/>
    </row>
    <row r="173" spans="1:3" s="249" customFormat="1" x14ac:dyDescent="0.2">
      <c r="A173" s="262" t="s">
        <v>255</v>
      </c>
      <c r="B173" s="284">
        <v>2</v>
      </c>
      <c r="C173" s="247"/>
    </row>
    <row r="174" spans="1:3" s="249" customFormat="1" x14ac:dyDescent="0.2">
      <c r="A174" s="267" t="s">
        <v>399</v>
      </c>
      <c r="B174" s="283">
        <v>2</v>
      </c>
      <c r="C174" s="247"/>
    </row>
    <row r="175" spans="1:3" s="249" customFormat="1" x14ac:dyDescent="0.2">
      <c r="A175" s="267" t="s">
        <v>400</v>
      </c>
      <c r="B175" s="283">
        <v>2</v>
      </c>
      <c r="C175" s="247"/>
    </row>
    <row r="176" spans="1:3" s="249" customFormat="1" x14ac:dyDescent="0.2">
      <c r="A176" s="267" t="s">
        <v>401</v>
      </c>
      <c r="B176" s="283">
        <v>2</v>
      </c>
      <c r="C176" s="247"/>
    </row>
    <row r="177" spans="1:3" s="249" customFormat="1" x14ac:dyDescent="0.2">
      <c r="A177" s="267" t="s">
        <v>402</v>
      </c>
      <c r="B177" s="283">
        <v>2</v>
      </c>
      <c r="C177" s="247"/>
    </row>
    <row r="178" spans="1:3" s="249" customFormat="1" x14ac:dyDescent="0.2">
      <c r="A178" s="267" t="s">
        <v>403</v>
      </c>
      <c r="B178" s="283">
        <v>2</v>
      </c>
      <c r="C178" s="247"/>
    </row>
    <row r="179" spans="1:3" s="249" customFormat="1" x14ac:dyDescent="0.2">
      <c r="A179" s="267" t="s">
        <v>404</v>
      </c>
      <c r="B179" s="283">
        <v>2</v>
      </c>
      <c r="C179" s="247"/>
    </row>
    <row r="180" spans="1:3" s="249" customFormat="1" x14ac:dyDescent="0.2">
      <c r="A180" s="267" t="s">
        <v>405</v>
      </c>
      <c r="B180" s="284">
        <v>2</v>
      </c>
      <c r="C180" s="247"/>
    </row>
    <row r="181" spans="1:3" s="249" customFormat="1" x14ac:dyDescent="0.2">
      <c r="A181" s="262" t="s">
        <v>41</v>
      </c>
      <c r="B181" s="284">
        <v>3.62</v>
      </c>
      <c r="C181" s="249" t="s">
        <v>42</v>
      </c>
    </row>
    <row r="182" spans="1:3" s="249" customFormat="1" x14ac:dyDescent="0.2">
      <c r="A182" s="262" t="s">
        <v>46</v>
      </c>
      <c r="B182" s="284">
        <v>0.25</v>
      </c>
      <c r="C182" s="249" t="s">
        <v>47</v>
      </c>
    </row>
    <row r="183" spans="1:3" s="249" customFormat="1" x14ac:dyDescent="0.2">
      <c r="A183" s="267" t="s">
        <v>60</v>
      </c>
      <c r="B183" s="284">
        <v>10950</v>
      </c>
      <c r="C183" s="249" t="s">
        <v>61</v>
      </c>
    </row>
    <row r="184" spans="1:3" s="249" customFormat="1" x14ac:dyDescent="0.2">
      <c r="A184" s="267" t="s">
        <v>65</v>
      </c>
      <c r="B184" s="284">
        <v>240</v>
      </c>
      <c r="C184" s="249" t="s">
        <v>66</v>
      </c>
    </row>
    <row r="185" spans="1:3" s="249" customFormat="1" x14ac:dyDescent="0.2">
      <c r="A185" s="267" t="s">
        <v>76</v>
      </c>
      <c r="B185" s="284">
        <v>0.42</v>
      </c>
      <c r="C185" s="249" t="s">
        <v>47</v>
      </c>
    </row>
    <row r="186" spans="1:3" s="249" customFormat="1" x14ac:dyDescent="0.2">
      <c r="A186" s="267" t="s">
        <v>85</v>
      </c>
      <c r="B186" s="284">
        <v>60</v>
      </c>
      <c r="C186" s="262" t="s">
        <v>61</v>
      </c>
    </row>
    <row r="187" spans="1:3" s="249" customFormat="1" x14ac:dyDescent="0.2">
      <c r="A187" s="267" t="s">
        <v>87</v>
      </c>
      <c r="B187" s="284">
        <v>2</v>
      </c>
      <c r="C187" s="262" t="s">
        <v>66</v>
      </c>
    </row>
    <row r="188" spans="1:3" s="249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249" customFormat="1" x14ac:dyDescent="0.2">
      <c r="A189" s="267" t="s">
        <v>91</v>
      </c>
      <c r="B189" s="284">
        <v>1</v>
      </c>
      <c r="C189" s="249" t="s">
        <v>47</v>
      </c>
    </row>
    <row r="190" spans="1:3" s="249" customFormat="1" x14ac:dyDescent="0.2">
      <c r="A190" s="267" t="s">
        <v>92</v>
      </c>
      <c r="B190" s="284">
        <v>14</v>
      </c>
      <c r="C190" s="249" t="s">
        <v>93</v>
      </c>
    </row>
    <row r="191" spans="1:3" s="249" customFormat="1" x14ac:dyDescent="0.2">
      <c r="A191" s="262" t="s">
        <v>29</v>
      </c>
      <c r="B191" s="284">
        <v>92</v>
      </c>
      <c r="C191" s="262" t="s">
        <v>30</v>
      </c>
    </row>
    <row r="192" spans="1:3" s="249" customFormat="1" x14ac:dyDescent="0.2">
      <c r="A192" s="249" t="s">
        <v>287</v>
      </c>
      <c r="B192" s="283">
        <v>1.03</v>
      </c>
      <c r="C192" s="249" t="s">
        <v>288</v>
      </c>
    </row>
    <row r="193" spans="1:3" s="249" customFormat="1" x14ac:dyDescent="0.2">
      <c r="A193" s="262" t="s">
        <v>406</v>
      </c>
      <c r="B193" s="284">
        <v>20.3</v>
      </c>
      <c r="C193" s="249" t="s">
        <v>283</v>
      </c>
    </row>
    <row r="194" spans="1:3" s="249" customFormat="1" x14ac:dyDescent="0.2">
      <c r="A194" s="262" t="s">
        <v>407</v>
      </c>
      <c r="B194" s="284">
        <v>0.4</v>
      </c>
      <c r="C194" s="249" t="s">
        <v>283</v>
      </c>
    </row>
    <row r="195" spans="1:3" s="249" customFormat="1" x14ac:dyDescent="0.2">
      <c r="A195" s="262" t="s">
        <v>408</v>
      </c>
      <c r="B195" s="284">
        <v>1</v>
      </c>
      <c r="C195" s="247"/>
    </row>
    <row r="196" spans="1:3" s="249" customFormat="1" x14ac:dyDescent="0.2">
      <c r="A196" s="262" t="s">
        <v>409</v>
      </c>
      <c r="B196" s="284">
        <v>1</v>
      </c>
      <c r="C196" s="247"/>
    </row>
    <row r="197" spans="1:3" s="249" customFormat="1" x14ac:dyDescent="0.2">
      <c r="A197" s="262" t="s">
        <v>31</v>
      </c>
      <c r="B197" s="284">
        <v>53</v>
      </c>
      <c r="C197" s="262" t="s">
        <v>30</v>
      </c>
    </row>
    <row r="198" spans="1:3" s="249" customFormat="1" x14ac:dyDescent="0.2">
      <c r="A198" s="262" t="s">
        <v>410</v>
      </c>
      <c r="B198" s="284">
        <v>11.77</v>
      </c>
      <c r="C198" s="249" t="s">
        <v>283</v>
      </c>
    </row>
    <row r="199" spans="1:3" s="249" customFormat="1" x14ac:dyDescent="0.2">
      <c r="A199" s="262" t="s">
        <v>411</v>
      </c>
      <c r="B199" s="284">
        <v>0.5</v>
      </c>
      <c r="C199" s="249" t="s">
        <v>283</v>
      </c>
    </row>
    <row r="200" spans="1:3" s="249" customFormat="1" x14ac:dyDescent="0.2">
      <c r="A200" s="262" t="s">
        <v>412</v>
      </c>
      <c r="B200" s="284">
        <v>1</v>
      </c>
      <c r="C200" s="247"/>
    </row>
    <row r="201" spans="1:3" s="249" customFormat="1" x14ac:dyDescent="0.2">
      <c r="A201" s="262" t="s">
        <v>413</v>
      </c>
      <c r="B201" s="284">
        <v>1</v>
      </c>
      <c r="C201" s="247"/>
    </row>
    <row r="202" spans="1:3" s="249" customFormat="1" x14ac:dyDescent="0.2">
      <c r="A202" s="262" t="s">
        <v>173</v>
      </c>
      <c r="B202" s="283">
        <v>0.4</v>
      </c>
      <c r="C202" s="262" t="s">
        <v>30</v>
      </c>
    </row>
    <row r="203" spans="1:3" s="249" customFormat="1" x14ac:dyDescent="0.2">
      <c r="A203" s="262" t="s">
        <v>177</v>
      </c>
      <c r="B203" s="284">
        <v>0.2</v>
      </c>
      <c r="C203" s="249" t="s">
        <v>283</v>
      </c>
    </row>
    <row r="204" spans="1:3" s="249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249" customFormat="1" x14ac:dyDescent="0.2">
      <c r="A205" s="262" t="s">
        <v>178</v>
      </c>
      <c r="B205" s="283">
        <v>1</v>
      </c>
      <c r="C205" s="247"/>
    </row>
    <row r="206" spans="1:3" s="249" customFormat="1" x14ac:dyDescent="0.2">
      <c r="A206" s="262" t="s">
        <v>179</v>
      </c>
      <c r="B206" s="283">
        <v>1</v>
      </c>
      <c r="C206" s="247"/>
    </row>
    <row r="207" spans="1:3" s="249" customFormat="1" x14ac:dyDescent="0.2">
      <c r="A207" s="262" t="s">
        <v>414</v>
      </c>
      <c r="B207" s="283">
        <v>0.4</v>
      </c>
      <c r="C207" s="262" t="s">
        <v>30</v>
      </c>
    </row>
    <row r="208" spans="1:3" s="249" customFormat="1" x14ac:dyDescent="0.2">
      <c r="A208" s="262" t="s">
        <v>415</v>
      </c>
      <c r="B208" s="284">
        <v>0.2</v>
      </c>
      <c r="C208" s="249" t="s">
        <v>283</v>
      </c>
    </row>
    <row r="209" spans="1:3" s="249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249" customFormat="1" x14ac:dyDescent="0.2">
      <c r="A210" s="262" t="s">
        <v>417</v>
      </c>
      <c r="B210" s="284">
        <v>1</v>
      </c>
      <c r="C210" s="247"/>
    </row>
    <row r="211" spans="1:3" s="249" customFormat="1" x14ac:dyDescent="0.2">
      <c r="A211" s="262" t="s">
        <v>418</v>
      </c>
      <c r="B211" s="284">
        <v>1</v>
      </c>
      <c r="C211" s="247"/>
    </row>
    <row r="212" spans="1:3" s="249" customFormat="1" x14ac:dyDescent="0.2">
      <c r="A212" s="262" t="s">
        <v>174</v>
      </c>
      <c r="B212" s="284">
        <v>11.4</v>
      </c>
      <c r="C212" s="262" t="s">
        <v>30</v>
      </c>
    </row>
    <row r="213" spans="1:3" s="249" customFormat="1" x14ac:dyDescent="0.2">
      <c r="A213" s="262" t="s">
        <v>419</v>
      </c>
      <c r="B213" s="284">
        <v>4.7</v>
      </c>
      <c r="C213" s="249" t="s">
        <v>283</v>
      </c>
    </row>
    <row r="214" spans="1:3" s="249" customFormat="1" x14ac:dyDescent="0.2">
      <c r="A214" s="262" t="s">
        <v>420</v>
      </c>
      <c r="B214" s="284">
        <v>0.37</v>
      </c>
      <c r="C214" s="249" t="s">
        <v>283</v>
      </c>
    </row>
    <row r="215" spans="1:3" s="249" customFormat="1" x14ac:dyDescent="0.2">
      <c r="A215" s="262" t="s">
        <v>421</v>
      </c>
      <c r="B215" s="284">
        <v>1</v>
      </c>
      <c r="C215" s="247"/>
    </row>
    <row r="216" spans="1:3" s="249" customFormat="1" x14ac:dyDescent="0.2">
      <c r="A216" s="262" t="s">
        <v>422</v>
      </c>
      <c r="B216" s="284">
        <v>1</v>
      </c>
      <c r="C216" s="247"/>
    </row>
    <row r="217" spans="1:3" s="249" customFormat="1" x14ac:dyDescent="0.2">
      <c r="A217" s="249" t="s">
        <v>83</v>
      </c>
      <c r="B217" s="284">
        <v>0.5</v>
      </c>
    </row>
    <row r="218" spans="1:3" s="249" customFormat="1" x14ac:dyDescent="0.2">
      <c r="A218" s="558" t="s">
        <v>423</v>
      </c>
      <c r="B218" s="558"/>
      <c r="C218" s="558"/>
    </row>
    <row r="219" spans="1:3" s="249" customFormat="1" x14ac:dyDescent="0.2">
      <c r="A219" s="249" t="s">
        <v>424</v>
      </c>
      <c r="B219" s="283">
        <v>55</v>
      </c>
      <c r="C219" s="263" t="s">
        <v>359</v>
      </c>
    </row>
    <row r="220" spans="1:3" s="249" customFormat="1" x14ac:dyDescent="0.2">
      <c r="A220" s="262" t="s">
        <v>425</v>
      </c>
      <c r="B220" s="283">
        <v>55</v>
      </c>
      <c r="C220" s="249" t="s">
        <v>26</v>
      </c>
    </row>
    <row r="221" spans="1:3" s="249" customFormat="1" x14ac:dyDescent="0.2">
      <c r="A221" s="262" t="s">
        <v>75</v>
      </c>
      <c r="B221" s="284">
        <v>5</v>
      </c>
      <c r="C221" s="249" t="s">
        <v>69</v>
      </c>
    </row>
    <row r="222" spans="1:3" s="249" customFormat="1" x14ac:dyDescent="0.2">
      <c r="A222" s="262" t="s">
        <v>426</v>
      </c>
      <c r="B222" s="283">
        <v>55</v>
      </c>
      <c r="C222" s="263" t="s">
        <v>54</v>
      </c>
    </row>
    <row r="223" spans="1:3" s="249" customFormat="1" x14ac:dyDescent="0.2">
      <c r="A223" s="249" t="s">
        <v>353</v>
      </c>
      <c r="B223" s="284">
        <v>1</v>
      </c>
      <c r="C223" s="247"/>
    </row>
    <row r="224" spans="1:3" s="249" customFormat="1" x14ac:dyDescent="0.2">
      <c r="A224" s="262" t="s">
        <v>56</v>
      </c>
      <c r="B224" s="284">
        <v>1</v>
      </c>
      <c r="C224" s="247"/>
    </row>
    <row r="225" spans="1:3" s="249" customFormat="1" x14ac:dyDescent="0.2">
      <c r="A225" s="262" t="s">
        <v>52</v>
      </c>
      <c r="B225" s="284">
        <v>0.4</v>
      </c>
      <c r="C225" s="247"/>
    </row>
    <row r="226" spans="1:3" s="249" customFormat="1" x14ac:dyDescent="0.2">
      <c r="A226" s="262" t="s">
        <v>62</v>
      </c>
      <c r="B226" s="284">
        <v>1</v>
      </c>
      <c r="C226" s="247"/>
    </row>
    <row r="227" spans="1:3" s="249" customFormat="1" x14ac:dyDescent="0.2">
      <c r="A227" s="262" t="s">
        <v>467</v>
      </c>
      <c r="B227" s="283">
        <v>2</v>
      </c>
      <c r="C227" s="249" t="s">
        <v>224</v>
      </c>
    </row>
    <row r="228" spans="1:3" s="249" customFormat="1" x14ac:dyDescent="0.2">
      <c r="A228" s="262" t="s">
        <v>468</v>
      </c>
      <c r="B228" s="283">
        <v>3</v>
      </c>
      <c r="C228" s="249" t="s">
        <v>224</v>
      </c>
    </row>
    <row r="229" spans="1:3" s="249" customFormat="1" x14ac:dyDescent="0.2">
      <c r="A229" s="262" t="s">
        <v>103</v>
      </c>
      <c r="B229" s="283">
        <v>0.4</v>
      </c>
      <c r="C229" s="247"/>
    </row>
    <row r="230" spans="1:3" s="249" customFormat="1" x14ac:dyDescent="0.2">
      <c r="A230" s="558" t="s">
        <v>427</v>
      </c>
      <c r="B230" s="558"/>
      <c r="C230" s="558"/>
    </row>
    <row r="231" spans="1:3" s="249" customFormat="1" x14ac:dyDescent="0.2">
      <c r="A231" s="249" t="s">
        <v>428</v>
      </c>
      <c r="B231" s="283">
        <v>55</v>
      </c>
      <c r="C231" s="263" t="s">
        <v>359</v>
      </c>
    </row>
    <row r="232" spans="1:3" s="249" customFormat="1" x14ac:dyDescent="0.2">
      <c r="A232" s="262" t="s">
        <v>40</v>
      </c>
      <c r="B232" s="283">
        <v>55</v>
      </c>
      <c r="C232" s="249" t="s">
        <v>26</v>
      </c>
    </row>
    <row r="233" spans="1:3" s="249" customFormat="1" x14ac:dyDescent="0.2">
      <c r="A233" s="262" t="s">
        <v>429</v>
      </c>
      <c r="B233" s="284">
        <v>5</v>
      </c>
      <c r="C233" s="249" t="s">
        <v>69</v>
      </c>
    </row>
    <row r="234" spans="1:3" s="249" customFormat="1" x14ac:dyDescent="0.2">
      <c r="A234" s="262" t="s">
        <v>79</v>
      </c>
      <c r="B234" s="283">
        <v>55</v>
      </c>
      <c r="C234" s="263" t="s">
        <v>54</v>
      </c>
    </row>
    <row r="235" spans="1:3" s="249" customFormat="1" x14ac:dyDescent="0.2">
      <c r="A235" s="249" t="s">
        <v>353</v>
      </c>
      <c r="B235" s="284">
        <v>1</v>
      </c>
      <c r="C235" s="247"/>
    </row>
    <row r="236" spans="1:3" s="249" customFormat="1" x14ac:dyDescent="0.2">
      <c r="A236" s="262" t="s">
        <v>56</v>
      </c>
      <c r="B236" s="284">
        <v>1</v>
      </c>
      <c r="C236" s="247"/>
    </row>
    <row r="237" spans="1:3" s="249" customFormat="1" x14ac:dyDescent="0.2">
      <c r="A237" s="262" t="s">
        <v>52</v>
      </c>
      <c r="B237" s="284">
        <v>0.4</v>
      </c>
      <c r="C237" s="247"/>
    </row>
    <row r="238" spans="1:3" s="249" customFormat="1" x14ac:dyDescent="0.2">
      <c r="A238" s="262" t="s">
        <v>62</v>
      </c>
      <c r="B238" s="284">
        <v>1</v>
      </c>
      <c r="C238" s="247"/>
    </row>
    <row r="239" spans="1:3" s="249" customFormat="1" x14ac:dyDescent="0.2">
      <c r="A239" s="262" t="s">
        <v>469</v>
      </c>
      <c r="B239" s="283">
        <v>0</v>
      </c>
      <c r="C239" s="249" t="s">
        <v>224</v>
      </c>
    </row>
    <row r="240" spans="1:3" s="249" customFormat="1" x14ac:dyDescent="0.2">
      <c r="A240" s="262" t="s">
        <v>470</v>
      </c>
      <c r="B240" s="283">
        <v>5</v>
      </c>
      <c r="C240" s="249" t="s">
        <v>224</v>
      </c>
    </row>
    <row r="241" spans="1:3" s="249" customFormat="1" x14ac:dyDescent="0.2">
      <c r="A241" s="262" t="s">
        <v>103</v>
      </c>
      <c r="B241" s="283">
        <v>0.4</v>
      </c>
      <c r="C241" s="247"/>
    </row>
    <row r="242" spans="1:3" s="249" customFormat="1" x14ac:dyDescent="0.2">
      <c r="A242" s="558" t="s">
        <v>430</v>
      </c>
      <c r="B242" s="558"/>
      <c r="C242" s="558"/>
    </row>
    <row r="243" spans="1:3" s="249" customFormat="1" x14ac:dyDescent="0.2">
      <c r="A243" s="249" t="s">
        <v>58</v>
      </c>
      <c r="B243" s="283">
        <v>55</v>
      </c>
      <c r="C243" s="263" t="s">
        <v>359</v>
      </c>
    </row>
    <row r="244" spans="1:3" s="249" customFormat="1" x14ac:dyDescent="0.2">
      <c r="A244" s="262" t="s">
        <v>431</v>
      </c>
      <c r="B244" s="283">
        <v>55</v>
      </c>
      <c r="C244" s="249" t="s">
        <v>26</v>
      </c>
    </row>
    <row r="245" spans="1:3" s="249" customFormat="1" x14ac:dyDescent="0.2">
      <c r="A245" s="262" t="s">
        <v>432</v>
      </c>
      <c r="B245" s="284">
        <v>5</v>
      </c>
      <c r="C245" s="249" t="s">
        <v>69</v>
      </c>
    </row>
    <row r="246" spans="1:3" s="249" customFormat="1" x14ac:dyDescent="0.2">
      <c r="A246" s="262" t="s">
        <v>433</v>
      </c>
      <c r="B246" s="283">
        <v>55</v>
      </c>
      <c r="C246" s="263" t="s">
        <v>54</v>
      </c>
    </row>
    <row r="247" spans="1:3" s="249" customFormat="1" x14ac:dyDescent="0.2">
      <c r="A247" s="249" t="s">
        <v>353</v>
      </c>
      <c r="B247" s="284">
        <v>1</v>
      </c>
      <c r="C247" s="247"/>
    </row>
    <row r="248" spans="1:3" s="249" customFormat="1" x14ac:dyDescent="0.2">
      <c r="A248" s="262" t="s">
        <v>56</v>
      </c>
      <c r="B248" s="284">
        <v>1</v>
      </c>
      <c r="C248" s="247"/>
    </row>
    <row r="249" spans="1:3" s="249" customFormat="1" x14ac:dyDescent="0.2">
      <c r="A249" s="262" t="s">
        <v>52</v>
      </c>
      <c r="B249" s="284">
        <v>0.4</v>
      </c>
      <c r="C249" s="247"/>
    </row>
    <row r="250" spans="1:3" s="249" customFormat="1" x14ac:dyDescent="0.2">
      <c r="A250" s="262" t="s">
        <v>62</v>
      </c>
      <c r="B250" s="284">
        <v>1</v>
      </c>
      <c r="C250" s="247"/>
    </row>
    <row r="251" spans="1:3" s="249" customFormat="1" x14ac:dyDescent="0.2">
      <c r="A251" s="262" t="s">
        <v>466</v>
      </c>
      <c r="B251" s="283">
        <v>5</v>
      </c>
      <c r="C251" s="249" t="s">
        <v>224</v>
      </c>
    </row>
    <row r="252" spans="1:3" s="249" customFormat="1" x14ac:dyDescent="0.2">
      <c r="A252" s="262" t="s">
        <v>465</v>
      </c>
      <c r="B252" s="283">
        <v>0</v>
      </c>
      <c r="C252" s="249" t="s">
        <v>224</v>
      </c>
    </row>
    <row r="253" spans="1:3" s="249" customFormat="1" x14ac:dyDescent="0.2">
      <c r="A253" s="262" t="s">
        <v>103</v>
      </c>
      <c r="B253" s="283">
        <v>0.4</v>
      </c>
      <c r="C253" s="247"/>
    </row>
    <row r="254" spans="1:3" s="249" customFormat="1" x14ac:dyDescent="0.2">
      <c r="A254" s="558" t="s">
        <v>434</v>
      </c>
      <c r="B254" s="558"/>
      <c r="C254" s="558"/>
    </row>
    <row r="255" spans="1:3" s="249" customFormat="1" x14ac:dyDescent="0.2">
      <c r="A255" s="249" t="s">
        <v>435</v>
      </c>
      <c r="B255" s="283">
        <v>55</v>
      </c>
      <c r="C255" s="263" t="s">
        <v>359</v>
      </c>
    </row>
    <row r="256" spans="1:3" s="249" customFormat="1" x14ac:dyDescent="0.2">
      <c r="A256" s="262" t="s">
        <v>221</v>
      </c>
      <c r="B256" s="283">
        <v>55</v>
      </c>
      <c r="C256" s="249" t="s">
        <v>26</v>
      </c>
    </row>
    <row r="257" spans="1:3" s="249" customFormat="1" x14ac:dyDescent="0.2">
      <c r="A257" s="262" t="s">
        <v>186</v>
      </c>
      <c r="B257" s="284">
        <v>5</v>
      </c>
      <c r="C257" s="249" t="s">
        <v>69</v>
      </c>
    </row>
    <row r="258" spans="1:3" s="249" customFormat="1" x14ac:dyDescent="0.2">
      <c r="A258" s="262" t="s">
        <v>436</v>
      </c>
      <c r="B258" s="283">
        <v>55</v>
      </c>
      <c r="C258" s="263" t="s">
        <v>54</v>
      </c>
    </row>
    <row r="259" spans="1:3" s="249" customFormat="1" x14ac:dyDescent="0.2">
      <c r="A259" s="249" t="s">
        <v>353</v>
      </c>
      <c r="B259" s="284">
        <v>1</v>
      </c>
      <c r="C259" s="247"/>
    </row>
    <row r="260" spans="1:3" s="249" customFormat="1" x14ac:dyDescent="0.2">
      <c r="A260" s="262" t="s">
        <v>56</v>
      </c>
      <c r="B260" s="284">
        <v>1</v>
      </c>
      <c r="C260" s="247"/>
    </row>
    <row r="261" spans="1:3" s="249" customFormat="1" x14ac:dyDescent="0.2">
      <c r="A261" s="262" t="s">
        <v>52</v>
      </c>
      <c r="B261" s="284">
        <v>0.4</v>
      </c>
      <c r="C261" s="247"/>
    </row>
    <row r="262" spans="1:3" s="249" customFormat="1" x14ac:dyDescent="0.2">
      <c r="A262" s="262" t="s">
        <v>62</v>
      </c>
      <c r="B262" s="284">
        <v>1</v>
      </c>
      <c r="C262" s="247"/>
    </row>
    <row r="263" spans="1:3" s="249" customFormat="1" x14ac:dyDescent="0.2">
      <c r="A263" s="262" t="s">
        <v>471</v>
      </c>
      <c r="B263" s="283">
        <v>5</v>
      </c>
      <c r="C263" s="249" t="s">
        <v>224</v>
      </c>
    </row>
    <row r="264" spans="1:3" s="249" customFormat="1" x14ac:dyDescent="0.2">
      <c r="A264" s="262" t="s">
        <v>472</v>
      </c>
      <c r="B264" s="283">
        <v>0</v>
      </c>
      <c r="C264" s="249" t="s">
        <v>224</v>
      </c>
    </row>
    <row r="265" spans="1:3" s="249" customFormat="1" x14ac:dyDescent="0.2">
      <c r="A265" s="262" t="s">
        <v>103</v>
      </c>
      <c r="B265" s="283">
        <v>0.4</v>
      </c>
      <c r="C265" s="247"/>
    </row>
    <row r="266" spans="1:3" s="249" customFormat="1" x14ac:dyDescent="0.2">
      <c r="A266" s="262" t="s">
        <v>220</v>
      </c>
      <c r="B266" s="283">
        <v>5</v>
      </c>
      <c r="C266" s="249" t="s">
        <v>129</v>
      </c>
    </row>
    <row r="267" spans="1:3" s="249" customFormat="1" x14ac:dyDescent="0.2">
      <c r="A267" s="262" t="s">
        <v>219</v>
      </c>
      <c r="B267" s="283">
        <v>11</v>
      </c>
      <c r="C267" s="249" t="s">
        <v>130</v>
      </c>
    </row>
    <row r="268" spans="1:3" s="249" customFormat="1" x14ac:dyDescent="0.2">
      <c r="A268" s="558" t="s">
        <v>437</v>
      </c>
      <c r="B268" s="558"/>
      <c r="C268" s="558"/>
    </row>
    <row r="269" spans="1:3" s="249" customFormat="1" x14ac:dyDescent="0.2">
      <c r="A269" s="249" t="s">
        <v>435</v>
      </c>
      <c r="B269" s="283">
        <v>55</v>
      </c>
      <c r="C269" s="263" t="s">
        <v>359</v>
      </c>
    </row>
    <row r="270" spans="1:3" s="249" customFormat="1" x14ac:dyDescent="0.2">
      <c r="A270" s="262" t="s">
        <v>221</v>
      </c>
      <c r="B270" s="283">
        <v>55</v>
      </c>
      <c r="C270" s="249" t="s">
        <v>26</v>
      </c>
    </row>
    <row r="271" spans="1:3" s="249" customFormat="1" x14ac:dyDescent="0.2">
      <c r="A271" s="262" t="s">
        <v>186</v>
      </c>
      <c r="B271" s="284">
        <v>5</v>
      </c>
      <c r="C271" s="249" t="s">
        <v>69</v>
      </c>
    </row>
    <row r="272" spans="1:3" s="249" customFormat="1" x14ac:dyDescent="0.2">
      <c r="A272" s="262" t="s">
        <v>436</v>
      </c>
      <c r="B272" s="283">
        <v>55</v>
      </c>
      <c r="C272" s="263" t="s">
        <v>54</v>
      </c>
    </row>
    <row r="273" spans="1:3" s="249" customFormat="1" x14ac:dyDescent="0.2">
      <c r="A273" s="262" t="s">
        <v>56</v>
      </c>
      <c r="B273" s="284">
        <v>1</v>
      </c>
      <c r="C273" s="247"/>
    </row>
    <row r="274" spans="1:3" s="249" customFormat="1" x14ac:dyDescent="0.2">
      <c r="A274" s="262" t="s">
        <v>52</v>
      </c>
      <c r="B274" s="284">
        <v>0.4</v>
      </c>
      <c r="C274" s="247"/>
    </row>
    <row r="275" spans="1:3" s="249" customFormat="1" x14ac:dyDescent="0.2">
      <c r="A275" s="262" t="s">
        <v>62</v>
      </c>
      <c r="B275" s="284">
        <v>1</v>
      </c>
      <c r="C275" s="247"/>
    </row>
    <row r="276" spans="1:3" s="249" customFormat="1" x14ac:dyDescent="0.2">
      <c r="A276" s="262" t="s">
        <v>471</v>
      </c>
      <c r="B276" s="283">
        <v>5</v>
      </c>
      <c r="C276" s="249" t="s">
        <v>224</v>
      </c>
    </row>
    <row r="277" spans="1:3" s="249" customFormat="1" x14ac:dyDescent="0.2">
      <c r="A277" s="262" t="s">
        <v>472</v>
      </c>
      <c r="B277" s="283">
        <v>0</v>
      </c>
      <c r="C277" s="249" t="s">
        <v>224</v>
      </c>
    </row>
    <row r="278" spans="1:3" s="249" customFormat="1" x14ac:dyDescent="0.2">
      <c r="A278" s="262" t="s">
        <v>103</v>
      </c>
      <c r="B278" s="283">
        <v>0.4</v>
      </c>
      <c r="C278" s="247"/>
    </row>
    <row r="279" spans="1:3" s="249" customFormat="1" x14ac:dyDescent="0.2">
      <c r="A279" s="262" t="s">
        <v>220</v>
      </c>
      <c r="B279" s="283">
        <v>5</v>
      </c>
      <c r="C279" s="249" t="s">
        <v>129</v>
      </c>
    </row>
    <row r="280" spans="1:3" s="249" customFormat="1" x14ac:dyDescent="0.2">
      <c r="A280" s="262" t="s">
        <v>219</v>
      </c>
      <c r="B280" s="283">
        <v>11</v>
      </c>
      <c r="C280" s="249" t="s">
        <v>130</v>
      </c>
    </row>
    <row r="281" spans="1:3" s="249" customFormat="1" x14ac:dyDescent="0.2">
      <c r="A281" s="663" t="s">
        <v>576</v>
      </c>
      <c r="B281" s="663"/>
      <c r="C281" s="663"/>
    </row>
    <row r="282" spans="1:3" s="249" customFormat="1" x14ac:dyDescent="0.2">
      <c r="A282" s="263" t="s">
        <v>577</v>
      </c>
      <c r="B282" s="283">
        <v>2</v>
      </c>
    </row>
    <row r="283" spans="1:3" s="249" customFormat="1" x14ac:dyDescent="0.2">
      <c r="A283" s="249" t="s">
        <v>100</v>
      </c>
      <c r="B283" s="283">
        <v>0.6</v>
      </c>
    </row>
    <row r="284" spans="1:3" s="249" customFormat="1" x14ac:dyDescent="0.2">
      <c r="A284" s="249" t="s">
        <v>107</v>
      </c>
      <c r="B284" s="283">
        <v>20</v>
      </c>
      <c r="C284" s="249" t="s">
        <v>69</v>
      </c>
    </row>
    <row r="285" spans="1:3" s="249" customFormat="1" x14ac:dyDescent="0.2">
      <c r="A285" s="263" t="s">
        <v>39</v>
      </c>
      <c r="B285" s="283">
        <v>50</v>
      </c>
      <c r="C285" s="249" t="s">
        <v>69</v>
      </c>
    </row>
    <row r="286" spans="1:3" s="249" customFormat="1" x14ac:dyDescent="0.2">
      <c r="A286" s="263" t="s">
        <v>83</v>
      </c>
      <c r="B286" s="283">
        <v>2</v>
      </c>
      <c r="C286" s="249" t="s">
        <v>582</v>
      </c>
    </row>
    <row r="287" spans="1:3" s="249" customFormat="1" x14ac:dyDescent="0.2">
      <c r="A287" s="249" t="s">
        <v>109</v>
      </c>
      <c r="B287" s="283">
        <v>2</v>
      </c>
      <c r="C287" s="249" t="s">
        <v>110</v>
      </c>
    </row>
    <row r="288" spans="1:3" s="249" customFormat="1" x14ac:dyDescent="0.2">
      <c r="A288" s="249" t="s">
        <v>114</v>
      </c>
      <c r="B288" s="283">
        <v>0.36</v>
      </c>
      <c r="C288" s="249" t="s">
        <v>582</v>
      </c>
    </row>
    <row r="289" spans="1:3" s="249" customFormat="1" x14ac:dyDescent="0.2">
      <c r="A289" s="249" t="s">
        <v>116</v>
      </c>
      <c r="B289" s="283">
        <v>2</v>
      </c>
      <c r="C289" s="249" t="s">
        <v>113</v>
      </c>
    </row>
    <row r="290" spans="1:3" s="249" customFormat="1" x14ac:dyDescent="0.2">
      <c r="A290" s="249" t="s">
        <v>118</v>
      </c>
      <c r="B290" s="283">
        <v>2</v>
      </c>
      <c r="C290" s="249" t="s">
        <v>113</v>
      </c>
    </row>
    <row r="291" spans="1:3" s="249" customFormat="1" x14ac:dyDescent="0.2">
      <c r="A291" s="249" t="s">
        <v>119</v>
      </c>
      <c r="B291" s="283">
        <v>2</v>
      </c>
      <c r="C291" s="249" t="s">
        <v>113</v>
      </c>
    </row>
    <row r="293" spans="1:3" s="249" customFormat="1" x14ac:dyDescent="0.2">
      <c r="A293" s="95" t="s">
        <v>299</v>
      </c>
      <c r="B293" s="365">
        <v>27.027027027027</v>
      </c>
    </row>
  </sheetData>
  <mergeCells count="335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B18:CD18"/>
    <mergeCell ref="CE18:CG18"/>
    <mergeCell ref="CK18:CM18"/>
    <mergeCell ref="CN18:CP18"/>
    <mergeCell ref="CO19:CO21"/>
    <mergeCell ref="CP19:CP21"/>
    <mergeCell ref="CQ18:CS18"/>
    <mergeCell ref="GY2:GY4"/>
    <mergeCell ref="GZ2:GZ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C2:BC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T2:T4"/>
    <mergeCell ref="U2:U4"/>
    <mergeCell ref="AC2:AC4"/>
    <mergeCell ref="AN2:AN4"/>
    <mergeCell ref="AO2:AO4"/>
    <mergeCell ref="AP2:AP4"/>
    <mergeCell ref="AQ2:AQ4"/>
    <mergeCell ref="AR2:AR4"/>
    <mergeCell ref="AI2:AI4"/>
    <mergeCell ref="AJ2:AJ4"/>
    <mergeCell ref="AK2:AK4"/>
    <mergeCell ref="AL2:AL4"/>
    <mergeCell ref="AM2:AM4"/>
    <mergeCell ref="GU1:GW1"/>
    <mergeCell ref="GX1:GZ1"/>
    <mergeCell ref="HA1:HC1"/>
    <mergeCell ref="HD1:HF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D2:AD4"/>
    <mergeCell ref="AE2:AE4"/>
    <mergeCell ref="AF2:AF4"/>
    <mergeCell ref="AG2:AG4"/>
    <mergeCell ref="AH2:AH4"/>
    <mergeCell ref="R2:R4"/>
    <mergeCell ref="S2:S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1"/>
  <sheetViews>
    <sheetView zoomScale="80" zoomScaleNormal="80" workbookViewId="0">
      <pane xSplit="3" ySplit="4" topLeftCell="D5" activePane="bottomRight" state="frozen"/>
      <selection activeCell="AF1" sqref="AF1"/>
      <selection pane="topRight" activeCell="AF1" sqref="AF1"/>
      <selection pane="bottomLeft" activeCell="AF1" sqref="AF1"/>
      <selection pane="bottomRight" sqref="A1:XFD1048576"/>
    </sheetView>
  </sheetViews>
  <sheetFormatPr defaultRowHeight="12.75" x14ac:dyDescent="0.2"/>
  <cols>
    <col min="1" max="1" width="15" style="53" bestFit="1" customWidth="1"/>
    <col min="2" max="2" width="9.85546875" style="53" bestFit="1" customWidth="1"/>
    <col min="3" max="3" width="20.140625" style="53" bestFit="1" customWidth="1"/>
    <col min="4" max="4" width="10" style="53" bestFit="1" customWidth="1"/>
    <col min="5" max="5" width="9.28515625" style="289" bestFit="1" customWidth="1"/>
    <col min="6" max="6" width="20.140625" style="53" bestFit="1" customWidth="1"/>
    <col min="7" max="7" width="15" style="53" bestFit="1" customWidth="1"/>
    <col min="8" max="8" width="12" style="289" bestFit="1" customWidth="1"/>
    <col min="9" max="9" width="14.42578125" style="53" bestFit="1" customWidth="1"/>
    <col min="10" max="10" width="15" style="53" bestFit="1" customWidth="1"/>
    <col min="11" max="11" width="9.28515625" style="289" bestFit="1" customWidth="1"/>
    <col min="12" max="12" width="17.140625" style="53" bestFit="1" customWidth="1"/>
    <col min="13" max="13" width="11" style="53" bestFit="1" customWidth="1"/>
    <col min="14" max="14" width="9.28515625" style="289" bestFit="1" customWidth="1"/>
    <col min="15" max="15" width="21.28515625" style="53" bestFit="1" customWidth="1"/>
    <col min="16" max="16" width="12.42578125" style="53" bestFit="1" customWidth="1"/>
    <col min="17" max="17" width="9.28515625" style="289" bestFit="1" customWidth="1"/>
    <col min="18" max="18" width="18.7109375" style="53" bestFit="1" customWidth="1"/>
    <col min="19" max="19" width="13.5703125" style="53" bestFit="1" customWidth="1"/>
    <col min="20" max="20" width="9.28515625" style="289" bestFit="1" customWidth="1"/>
    <col min="21" max="21" width="18.7109375" style="53" bestFit="1" customWidth="1"/>
    <col min="22" max="22" width="10" style="53" bestFit="1" customWidth="1"/>
    <col min="23" max="23" width="9.28515625" style="289" bestFit="1" customWidth="1"/>
    <col min="24" max="24" width="17.42578125" style="53" bestFit="1" customWidth="1"/>
    <col min="25" max="25" width="10" style="53" bestFit="1" customWidth="1"/>
    <col min="26" max="26" width="9.28515625" style="289" bestFit="1" customWidth="1"/>
    <col min="27" max="27" width="17.42578125" style="53" bestFit="1" customWidth="1"/>
    <col min="28" max="28" width="16.7109375" style="53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53" bestFit="1" customWidth="1"/>
    <col min="35" max="35" width="9.5703125" style="53" bestFit="1" customWidth="1"/>
    <col min="36" max="36" width="9.28515625" style="289" bestFit="1" customWidth="1"/>
    <col min="37" max="37" width="17.42578125" style="53" bestFit="1" customWidth="1"/>
    <col min="38" max="38" width="11" style="53" bestFit="1" customWidth="1"/>
    <col min="39" max="39" width="9.28515625" style="289" bestFit="1" customWidth="1"/>
    <col min="40" max="40" width="16.42578125" style="53" bestFit="1" customWidth="1"/>
    <col min="41" max="41" width="12.7109375" style="53" bestFit="1" customWidth="1"/>
    <col min="42" max="42" width="9.28515625" style="289" bestFit="1" customWidth="1"/>
    <col min="43" max="43" width="16.42578125" style="53" bestFit="1" customWidth="1"/>
    <col min="44" max="44" width="9.5703125" style="53" bestFit="1" customWidth="1"/>
    <col min="45" max="45" width="9.28515625" style="289" bestFit="1" customWidth="1"/>
    <col min="46" max="46" width="17.42578125" style="53" bestFit="1" customWidth="1"/>
    <col min="47" max="47" width="11" style="53" bestFit="1" customWidth="1"/>
    <col min="48" max="48" width="9.28515625" style="289" bestFit="1" customWidth="1"/>
    <col min="49" max="49" width="16.42578125" style="53" bestFit="1" customWidth="1"/>
    <col min="50" max="50" width="12.7109375" style="53" bestFit="1" customWidth="1"/>
    <col min="51" max="51" width="9.28515625" style="289" bestFit="1" customWidth="1"/>
    <col min="52" max="52" width="16.42578125" style="53" bestFit="1" customWidth="1"/>
    <col min="53" max="53" width="9.5703125" style="53" bestFit="1" customWidth="1"/>
    <col min="54" max="54" width="9.28515625" style="289" bestFit="1" customWidth="1"/>
    <col min="55" max="55" width="17.42578125" style="53" bestFit="1" customWidth="1"/>
    <col min="56" max="56" width="11" style="53" bestFit="1" customWidth="1"/>
    <col min="57" max="57" width="9.28515625" style="289" bestFit="1" customWidth="1"/>
    <col min="58" max="58" width="16.42578125" style="53" bestFit="1" customWidth="1"/>
    <col min="59" max="59" width="12.7109375" style="53" bestFit="1" customWidth="1"/>
    <col min="60" max="60" width="9.28515625" style="289" bestFit="1" customWidth="1"/>
    <col min="61" max="61" width="16.42578125" style="53" bestFit="1" customWidth="1"/>
    <col min="62" max="62" width="11" style="53" bestFit="1" customWidth="1"/>
    <col min="63" max="63" width="9.28515625" style="289" bestFit="1" customWidth="1"/>
    <col min="64" max="64" width="17.42578125" style="53" bestFit="1" customWidth="1"/>
    <col min="65" max="65" width="12.42578125" style="53" bestFit="1" customWidth="1"/>
    <col min="66" max="66" width="9.28515625" style="289" bestFit="1" customWidth="1"/>
    <col min="67" max="67" width="16.42578125" style="53" bestFit="1" customWidth="1"/>
    <col min="68" max="68" width="13.5703125" style="53" bestFit="1" customWidth="1"/>
    <col min="69" max="69" width="9.28515625" style="289" bestFit="1" customWidth="1"/>
    <col min="70" max="70" width="16.42578125" style="53" bestFit="1" customWidth="1"/>
    <col min="71" max="71" width="10" style="53" bestFit="1" customWidth="1"/>
    <col min="72" max="72" width="9.28515625" style="289" bestFit="1" customWidth="1"/>
    <col min="73" max="73" width="17.42578125" style="53" bestFit="1" customWidth="1"/>
    <col min="74" max="74" width="11.5703125" style="53" bestFit="1" customWidth="1"/>
    <col min="75" max="75" width="9.28515625" style="289" bestFit="1" customWidth="1"/>
    <col min="76" max="76" width="11.5703125" style="53" bestFit="1" customWidth="1"/>
    <col min="77" max="77" width="10.7109375" style="53" bestFit="1" customWidth="1"/>
    <col min="78" max="78" width="9.5703125" style="289" bestFit="1" customWidth="1"/>
    <col min="79" max="79" width="15" style="53" bestFit="1" customWidth="1"/>
    <col min="80" max="80" width="11" style="53" bestFit="1" customWidth="1"/>
    <col min="81" max="81" width="9.28515625" style="289" bestFit="1" customWidth="1"/>
    <col min="82" max="82" width="17.42578125" style="53" bestFit="1" customWidth="1"/>
    <col min="83" max="83" width="12.42578125" style="53" bestFit="1" customWidth="1"/>
    <col min="84" max="84" width="9.28515625" style="289" bestFit="1" customWidth="1"/>
    <col min="85" max="85" width="16.42578125" style="53" bestFit="1" customWidth="1"/>
    <col min="86" max="86" width="13.5703125" style="53" bestFit="1" customWidth="1"/>
    <col min="87" max="87" width="9.28515625" style="289" bestFit="1" customWidth="1"/>
    <col min="88" max="88" width="16.42578125" style="53" bestFit="1" customWidth="1"/>
    <col min="89" max="89" width="8.7109375" style="53" bestFit="1" customWidth="1"/>
    <col min="90" max="90" width="9.28515625" style="289" bestFit="1" customWidth="1"/>
    <col min="91" max="91" width="8.85546875" style="53" bestFit="1" customWidth="1"/>
    <col min="92" max="92" width="12" style="53" bestFit="1" customWidth="1"/>
    <col min="93" max="93" width="11.42578125" style="289" bestFit="1" customWidth="1"/>
    <col min="94" max="94" width="7.85546875" style="53" bestFit="1" customWidth="1"/>
    <col min="95" max="95" width="10.28515625" style="53" bestFit="1" customWidth="1"/>
    <col min="96" max="96" width="9.28515625" style="289" bestFit="1" customWidth="1"/>
    <col min="97" max="97" width="6.28515625" style="53" bestFit="1" customWidth="1"/>
    <col min="98" max="98" width="14.5703125" style="53" bestFit="1" customWidth="1"/>
    <col min="99" max="99" width="9.28515625" style="289" bestFit="1" customWidth="1"/>
    <col min="100" max="100" width="15" style="53" bestFit="1" customWidth="1"/>
    <col min="101" max="101" width="10" style="53" bestFit="1" customWidth="1"/>
    <col min="102" max="102" width="9.5703125" style="289" bestFit="1" customWidth="1"/>
    <col min="103" max="103" width="17.42578125" style="53" bestFit="1" customWidth="1"/>
    <col min="104" max="104" width="13.7109375" style="53" bestFit="1" customWidth="1"/>
    <col min="105" max="105" width="9.28515625" style="289" bestFit="1" customWidth="1"/>
    <col min="106" max="106" width="9.85546875" style="53" bestFit="1" customWidth="1"/>
    <col min="107" max="107" width="14.5703125" style="53" bestFit="1" customWidth="1"/>
    <col min="108" max="108" width="11.28515625" style="289" bestFit="1" customWidth="1"/>
    <col min="109" max="109" width="10" style="53" bestFit="1" customWidth="1"/>
    <col min="110" max="110" width="10.140625" style="53" bestFit="1" customWidth="1"/>
    <col min="111" max="111" width="9.85546875" style="289" bestFit="1" customWidth="1"/>
    <col min="112" max="112" width="14.42578125" style="53" bestFit="1" customWidth="1"/>
    <col min="113" max="113" width="12.42578125" style="53" bestFit="1" customWidth="1"/>
    <col min="114" max="114" width="8.85546875" style="289" bestFit="1" customWidth="1"/>
    <col min="115" max="115" width="6.28515625" style="53" bestFit="1" customWidth="1"/>
    <col min="116" max="116" width="12.42578125" style="53" bestFit="1" customWidth="1"/>
    <col min="117" max="117" width="8.85546875" style="289" bestFit="1" customWidth="1"/>
    <col min="118" max="118" width="6.28515625" style="53" bestFit="1" customWidth="1"/>
    <col min="119" max="119" width="12.42578125" style="53" bestFit="1" customWidth="1"/>
    <col min="120" max="120" width="10" style="289" bestFit="1" customWidth="1"/>
    <col min="121" max="121" width="10.140625" style="53" bestFit="1" customWidth="1"/>
    <col min="122" max="122" width="11.5703125" style="53" bestFit="1" customWidth="1"/>
    <col min="123" max="123" width="9.28515625" style="289" bestFit="1" customWidth="1"/>
    <col min="124" max="124" width="10" style="53" bestFit="1" customWidth="1"/>
    <col min="125" max="125" width="9.85546875" style="53" bestFit="1" customWidth="1"/>
    <col min="126" max="126" width="9.28515625" style="289" bestFit="1" customWidth="1"/>
    <col min="127" max="127" width="6.28515625" style="53" bestFit="1" customWidth="1"/>
    <col min="128" max="128" width="12" style="53" bestFit="1" customWidth="1"/>
    <col min="129" max="129" width="9.28515625" style="289" bestFit="1" customWidth="1"/>
    <col min="130" max="130" width="6.28515625" style="53" bestFit="1" customWidth="1"/>
    <col min="131" max="131" width="12" style="53" bestFit="1" customWidth="1"/>
    <col min="132" max="132" width="9.28515625" style="289" bestFit="1" customWidth="1"/>
    <col min="133" max="133" width="6.28515625" style="53" bestFit="1" customWidth="1"/>
    <col min="134" max="134" width="12" style="53" bestFit="1" customWidth="1"/>
    <col min="135" max="135" width="10" style="289" bestFit="1" customWidth="1"/>
    <col min="136" max="136" width="7.85546875" style="53" bestFit="1" customWidth="1"/>
    <col min="137" max="137" width="11.28515625" style="53" bestFit="1" customWidth="1"/>
    <col min="138" max="138" width="11.28515625" style="289" bestFit="1" customWidth="1"/>
    <col min="139" max="139" width="10" style="53" bestFit="1" customWidth="1"/>
    <col min="140" max="140" width="9.42578125" style="53" bestFit="1" customWidth="1"/>
    <col min="141" max="141" width="9.28515625" style="289" bestFit="1" customWidth="1"/>
    <col min="142" max="142" width="6.28515625" style="53" bestFit="1" customWidth="1"/>
    <col min="143" max="143" width="12" style="53" bestFit="1" customWidth="1"/>
    <col min="144" max="144" width="9.28515625" style="289" bestFit="1" customWidth="1"/>
    <col min="145" max="145" width="6.28515625" style="53" bestFit="1" customWidth="1"/>
    <col min="146" max="146" width="12" style="53" bestFit="1" customWidth="1"/>
    <col min="147" max="147" width="9.28515625" style="289" bestFit="1" customWidth="1"/>
    <col min="148" max="148" width="6.28515625" style="53" bestFit="1" customWidth="1"/>
    <col min="149" max="149" width="12" style="53" bestFit="1" customWidth="1"/>
    <col min="150" max="150" width="10" style="289" bestFit="1" customWidth="1"/>
    <col min="151" max="151" width="7.85546875" style="53" bestFit="1" customWidth="1"/>
    <col min="152" max="152" width="10.5703125" style="53" bestFit="1" customWidth="1"/>
    <col min="153" max="153" width="9.5703125" style="289" bestFit="1" customWidth="1"/>
    <col min="154" max="154" width="10" style="53" bestFit="1" customWidth="1"/>
    <col min="155" max="155" width="8.7109375" style="53" bestFit="1" customWidth="1"/>
    <col min="156" max="156" width="9.28515625" style="289" bestFit="1" customWidth="1"/>
    <col min="157" max="157" width="6.28515625" style="53" bestFit="1" customWidth="1"/>
    <col min="158" max="158" width="8.5703125" style="53" bestFit="1" customWidth="1"/>
    <col min="159" max="159" width="9.28515625" style="289" bestFit="1" customWidth="1"/>
    <col min="160" max="160" width="6.28515625" style="53" bestFit="1" customWidth="1"/>
    <col min="161" max="161" width="10.140625" style="53" bestFit="1" customWidth="1"/>
    <col min="162" max="162" width="9.28515625" style="289" bestFit="1" customWidth="1"/>
    <col min="163" max="163" width="6.28515625" style="53" bestFit="1" customWidth="1"/>
    <col min="164" max="164" width="10.140625" style="53" bestFit="1" customWidth="1"/>
    <col min="165" max="165" width="10" style="289" bestFit="1" customWidth="1"/>
    <col min="166" max="166" width="7.85546875" style="53" bestFit="1" customWidth="1"/>
    <col min="167" max="167" width="10.5703125" style="53" bestFit="1" customWidth="1"/>
    <col min="168" max="168" width="11.28515625" style="289" bestFit="1" customWidth="1"/>
    <col min="169" max="169" width="10" style="53" bestFit="1" customWidth="1"/>
    <col min="170" max="170" width="4.85546875" style="53" bestFit="1" customWidth="1"/>
    <col min="171" max="171" width="8.85546875" style="289" bestFit="1" customWidth="1"/>
    <col min="172" max="172" width="6.28515625" style="53" bestFit="1" customWidth="1"/>
    <col min="173" max="173" width="4.85546875" style="53" bestFit="1" customWidth="1"/>
    <col min="174" max="174" width="9.28515625" style="289" bestFit="1" customWidth="1"/>
    <col min="175" max="175" width="6.28515625" style="53" bestFit="1" customWidth="1"/>
    <col min="176" max="176" width="10.140625" style="53" bestFit="1" customWidth="1"/>
    <col min="177" max="177" width="9.28515625" style="289" bestFit="1" customWidth="1"/>
    <col min="178" max="178" width="6.28515625" style="53" bestFit="1" customWidth="1"/>
    <col min="179" max="179" width="6.7109375" style="53" bestFit="1" customWidth="1"/>
    <col min="180" max="180" width="9.5703125" style="289" bestFit="1" customWidth="1"/>
    <col min="181" max="181" width="5.5703125" style="53" bestFit="1" customWidth="1"/>
    <col min="182" max="182" width="13.140625" style="53" bestFit="1" customWidth="1"/>
    <col min="183" max="183" width="11.28515625" style="289" bestFit="1" customWidth="1"/>
    <col min="184" max="184" width="10" style="53" bestFit="1" customWidth="1"/>
    <col min="185" max="185" width="11.42578125" style="53" bestFit="1" customWidth="1"/>
    <col min="186" max="186" width="9.28515625" style="289" bestFit="1" customWidth="1"/>
    <col min="187" max="187" width="6.28515625" style="53" bestFit="1" customWidth="1"/>
    <col min="188" max="188" width="12" style="53" bestFit="1" customWidth="1"/>
    <col min="189" max="189" width="9.28515625" style="289" bestFit="1" customWidth="1"/>
    <col min="190" max="190" width="6.28515625" style="53" bestFit="1" customWidth="1"/>
    <col min="191" max="191" width="12" style="53" bestFit="1" customWidth="1"/>
    <col min="192" max="192" width="9.28515625" style="289" bestFit="1" customWidth="1"/>
    <col min="193" max="193" width="6.28515625" style="53" bestFit="1" customWidth="1"/>
    <col min="194" max="194" width="12" style="53" bestFit="1" customWidth="1"/>
    <col min="195" max="195" width="10" style="289" bestFit="1" customWidth="1"/>
    <col min="196" max="196" width="7.85546875" style="53" bestFit="1" customWidth="1"/>
    <col min="197" max="197" width="12.7109375" style="53" bestFit="1" customWidth="1"/>
    <col min="198" max="198" width="11.28515625" style="289" bestFit="1" customWidth="1"/>
    <col min="199" max="199" width="10" style="53" bestFit="1" customWidth="1"/>
    <col min="200" max="200" width="10.85546875" style="53" bestFit="1" customWidth="1"/>
    <col min="201" max="201" width="9.28515625" style="289" bestFit="1" customWidth="1"/>
    <col min="202" max="202" width="6.28515625" style="53" bestFit="1" customWidth="1"/>
    <col min="203" max="203" width="12" style="53" bestFit="1" customWidth="1"/>
    <col min="204" max="204" width="9.28515625" style="289" bestFit="1" customWidth="1"/>
    <col min="205" max="205" width="6.28515625" style="53" bestFit="1" customWidth="1"/>
    <col min="206" max="206" width="12" style="53" bestFit="1" customWidth="1"/>
    <col min="207" max="207" width="12" style="289" bestFit="1" customWidth="1"/>
    <col min="208" max="208" width="6.28515625" style="53" bestFit="1" customWidth="1"/>
    <col min="209" max="209" width="12" style="53" bestFit="1" customWidth="1"/>
    <col min="210" max="210" width="10" style="289" bestFit="1" customWidth="1"/>
    <col min="211" max="212" width="7.85546875" style="53" bestFit="1" customWidth="1"/>
    <col min="213" max="213" width="9.28515625" style="289" bestFit="1" customWidth="1"/>
    <col min="214" max="214" width="6.28515625" style="53" bestFit="1" customWidth="1"/>
    <col min="215" max="16384" width="9.140625" style="53"/>
  </cols>
  <sheetData>
    <row r="1" spans="1:214" ht="21.75" thickTop="1" thickBot="1" x14ac:dyDescent="0.25">
      <c r="A1" s="603" t="s">
        <v>0</v>
      </c>
      <c r="B1" s="604"/>
      <c r="C1" s="605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179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166"/>
      <c r="E2" s="202"/>
      <c r="F2" s="164"/>
      <c r="G2" s="627" t="s">
        <v>507</v>
      </c>
      <c r="H2" s="623">
        <f>1/((1/H10)+(1/H12)+(1/H13))</f>
        <v>0.33058192093168237</v>
      </c>
      <c r="I2" s="625" t="s">
        <v>14</v>
      </c>
      <c r="J2" s="619" t="s">
        <v>507</v>
      </c>
      <c r="K2" s="623">
        <f>1/((1/K14)+(1/K15)+(1/K16+(1/K17)))</f>
        <v>4.6956670567262417E-2</v>
      </c>
      <c r="L2" s="621" t="s">
        <v>13</v>
      </c>
      <c r="M2" s="617" t="s">
        <v>516</v>
      </c>
      <c r="N2" s="647">
        <f>(N5*N6*N7)/((1-EXP(-N7*N6))*N10*N15*(N9/365)*N13*(((N14/24)*N12)+((N16/24)*N11)))</f>
        <v>4.2696284710388834</v>
      </c>
      <c r="O2" s="615" t="s">
        <v>13</v>
      </c>
      <c r="P2" s="639" t="s">
        <v>516</v>
      </c>
      <c r="Q2" s="647">
        <f>(Q5*Q6*Q7)/((1-EXP(-Q7*Q6))*Q10*Q15*(Q9/365)*Q13*(((Q14/24)*Q12)+((Q16/24)*Q11)))</f>
        <v>8.5899995554857007</v>
      </c>
      <c r="R2" s="637" t="s">
        <v>13</v>
      </c>
      <c r="S2" s="641" t="s">
        <v>516</v>
      </c>
      <c r="T2" s="647">
        <f>(T5*T6*T7)/((1-EXP(-T7*T6))*T10*T15*(T9/365)*T13*(((T14/24)*T12)+((T16/24)*T11)))</f>
        <v>4.2696284710388834</v>
      </c>
      <c r="U2" s="643" t="s">
        <v>13</v>
      </c>
      <c r="V2" s="55"/>
      <c r="W2" s="357"/>
      <c r="X2" s="56"/>
      <c r="Y2" s="57"/>
      <c r="Z2" s="357"/>
      <c r="AA2" s="58"/>
      <c r="AB2" s="650"/>
      <c r="AC2" s="660">
        <f>1/((1/AC32)+(1/AC33)+(1/AC34))</f>
        <v>4.6731065639651392</v>
      </c>
      <c r="AD2" s="657">
        <f>1/((1/AD32)+(1/AD33)+(1/AD34))</f>
        <v>10.728062504548435</v>
      </c>
      <c r="AE2" s="657">
        <f>1/((1/AE32)+(1/AE33)+(1/AE34))</f>
        <v>5.1923406266279333</v>
      </c>
      <c r="AF2" s="657">
        <f>1/((1/AF32)+(1/AF33)+(1/AF34))</f>
        <v>7.6553288969494773</v>
      </c>
      <c r="AG2" s="654">
        <f>1/((1/AG32)+(1/AG33)+(1/AG34))</f>
        <v>151.02345395668098</v>
      </c>
      <c r="AH2" s="652" t="s">
        <v>13</v>
      </c>
      <c r="AI2" s="381" t="s">
        <v>516</v>
      </c>
      <c r="AJ2" s="387">
        <f>(AJ5*AJ6*AJ7)/((1-EXP(-AJ7*AJ6))*AJ15*(AJ9/365)*AJ10*(AJ16/24)*AJ11*AJ13)</f>
        <v>16.147134990051747</v>
      </c>
      <c r="AK2" s="629" t="s">
        <v>13</v>
      </c>
      <c r="AL2" s="383" t="s">
        <v>516</v>
      </c>
      <c r="AM2" s="387">
        <f>(AM5*AM6*AM7)/((1-EXP(-AM7*AM6))*AM15*(AM9/365)*AM10*(AM16/24)*AM11*AM13)</f>
        <v>32.486171414620244</v>
      </c>
      <c r="AN2" s="629" t="s">
        <v>13</v>
      </c>
      <c r="AO2" s="383" t="s">
        <v>516</v>
      </c>
      <c r="AP2" s="387">
        <f>(AP5*AP6*AP7)/((1-EXP(-AP7*AP6))*AP15*(AP9/365)*AP10*(AP16/24)*AP11*AP13)</f>
        <v>16.147134990051747</v>
      </c>
      <c r="AQ2" s="635" t="s">
        <v>13</v>
      </c>
      <c r="AR2" s="381" t="s">
        <v>516</v>
      </c>
      <c r="AS2" s="387">
        <f>(AS5*AS6*AS7)/((1-EXP(-AS7*AS6))*AS15*(AS9/365)*AS10*(AS14/24)*AS12*AS13)</f>
        <v>7.1765044400229989</v>
      </c>
      <c r="AT2" s="391" t="s">
        <v>13</v>
      </c>
      <c r="AU2" s="383" t="s">
        <v>516</v>
      </c>
      <c r="AV2" s="387">
        <f>(AV5*AV6*AV7)/((1-EXP(-AV7*AV6))*AV15*(AV9/365)*AV10*(AV14/24)*AV12*AV13)</f>
        <v>14.438298406497886</v>
      </c>
      <c r="AW2" s="391" t="s">
        <v>13</v>
      </c>
      <c r="AX2" s="383" t="s">
        <v>516</v>
      </c>
      <c r="AY2" s="387">
        <f>(AY5*AY6*AY7)/((1-EXP(-AY7*AY6))*AY15*(AY9/365)*AY10*(AY14/24)*AY12*AY13)</f>
        <v>7.1765044400229989</v>
      </c>
      <c r="AZ2" s="385" t="s">
        <v>13</v>
      </c>
      <c r="BA2" s="381" t="s">
        <v>516</v>
      </c>
      <c r="BB2" s="387">
        <f>(BB5*BB6*BB7)/((1-EXP(-BB7*BB6))*BB15*(BB9/365)*BB10*((BB14+BB16)/24)*BB12*BB13)</f>
        <v>6.4588539960206992</v>
      </c>
      <c r="BC2" s="391" t="s">
        <v>13</v>
      </c>
      <c r="BD2" s="383" t="s">
        <v>516</v>
      </c>
      <c r="BE2" s="387">
        <f>(BE5*BE6*BE7)/((1-EXP(-BE7*BE6))*BE15*(BE9/365)*BE10*((BE14+BE16)/24)*BE12*BE13)</f>
        <v>12.994468565848099</v>
      </c>
      <c r="BF2" s="391" t="s">
        <v>13</v>
      </c>
      <c r="BG2" s="383" t="s">
        <v>516</v>
      </c>
      <c r="BH2" s="387">
        <f>(BH5*BH6*BH7)/((1-EXP(-BH7*BH6))*BH15*(BH9/365)*BH10*((BH14+BH16)/24)*BH12*BH13)</f>
        <v>6.4588539960206992</v>
      </c>
      <c r="BI2" s="385" t="s">
        <v>13</v>
      </c>
      <c r="BJ2" s="381" t="s">
        <v>558</v>
      </c>
      <c r="BK2" s="389">
        <f>(BK5*BK6*BK7)/((1-EXP(-BK7*BK6))*BK12*BK16*(BK9/365)*BK14*(BK15/24)*BK13)</f>
        <v>1678621.7406745097</v>
      </c>
      <c r="BL2" s="391" t="s">
        <v>13</v>
      </c>
      <c r="BM2" s="383" t="s">
        <v>559</v>
      </c>
      <c r="BN2" s="389">
        <f>(BN5*BN6*BN7)/((1-EXP(-BN7*BN6))*BN12*BN16*(BN9/365)*BN14*(BN15/24)*BN13)</f>
        <v>7050066.9691279037</v>
      </c>
      <c r="BO2" s="391" t="s">
        <v>13</v>
      </c>
      <c r="BP2" s="383" t="s">
        <v>560</v>
      </c>
      <c r="BQ2" s="389">
        <f>(BQ5*BQ6*BQ7)/((1-EXP(-BQ7*BQ6))*BQ12*BQ16*(BQ9/365)*BQ14*(BQ15/24)*BQ13)</f>
        <v>2036096.8581759834</v>
      </c>
      <c r="BR2" s="385" t="s">
        <v>13</v>
      </c>
      <c r="BS2" s="59"/>
      <c r="BT2" s="110"/>
      <c r="BU2" s="60"/>
      <c r="BV2" s="402" t="s">
        <v>563</v>
      </c>
      <c r="BW2" s="400">
        <f>1/((1/BW10)+(1/BW11))</f>
        <v>98.999811137902569</v>
      </c>
      <c r="BX2" s="404" t="s">
        <v>14</v>
      </c>
      <c r="BY2" s="402" t="s">
        <v>563</v>
      </c>
      <c r="BZ2" s="400">
        <f>1/((1/BZ13)+(1/BZ14)+(1/BZ15))</f>
        <v>23.066206019929322</v>
      </c>
      <c r="CA2" s="398" t="s">
        <v>13</v>
      </c>
      <c r="CB2" s="410" t="s">
        <v>558</v>
      </c>
      <c r="CC2" s="400">
        <f>(CC5*CC6*CC7)/((1-EXP(-CC7*CC6))*CC10*CC14*(CC9/365)*CC12*(CC13/24)*CC11)</f>
        <v>913323.53321404627</v>
      </c>
      <c r="CD2" s="404" t="s">
        <v>13</v>
      </c>
      <c r="CE2" s="402" t="s">
        <v>559</v>
      </c>
      <c r="CF2" s="400">
        <f>(CF5*CF6*CF7)/((1-EXP(-CF7*CF6))*CF10*CF14*(CF9/365)*CF12*(CF13/24)*CF11)</f>
        <v>3835880.3044289211</v>
      </c>
      <c r="CG2" s="404" t="s">
        <v>13</v>
      </c>
      <c r="CH2" s="402" t="s">
        <v>560</v>
      </c>
      <c r="CI2" s="400">
        <f>(CI5*CI6*CI7)/((1-EXP(-CI7*CI6))*CI10*CI14*(CI9/365)*CI12*(CI13/24)*CI11)</f>
        <v>1107822.6448610581</v>
      </c>
      <c r="CJ2" s="398" t="s">
        <v>13</v>
      </c>
      <c r="CK2" s="410" t="s">
        <v>510</v>
      </c>
      <c r="CL2" s="400">
        <f>CL5/(CL6*CL7*CL8*CL9)</f>
        <v>3.8393390193944206</v>
      </c>
      <c r="CM2" s="404" t="s">
        <v>13</v>
      </c>
      <c r="CN2" s="402" t="s">
        <v>7</v>
      </c>
      <c r="CO2" s="400">
        <f>((CL2)/(CO5*((CO10*CO12*CO13*(CO6+CO7))+(CO11*CO12))))*CL12</f>
        <v>522.64736473513858</v>
      </c>
      <c r="CP2" s="412" t="s">
        <v>13</v>
      </c>
      <c r="CQ2" s="402" t="s">
        <v>6</v>
      </c>
      <c r="CR2" s="400">
        <f>CL2/(CR5*CR6*(1/CR7))</f>
        <v>639889.8365657368</v>
      </c>
      <c r="CS2" s="415" t="s">
        <v>14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(DD5)/(DD6*(DD7+DD10)*DD20)</f>
        <v>1.9545864423741867E-3</v>
      </c>
      <c r="DE2" s="672" t="s">
        <v>13</v>
      </c>
      <c r="DF2" s="670" t="s">
        <v>510</v>
      </c>
      <c r="DG2" s="668">
        <f>(DD2/((1/DG24)*(DG5+DG6+DG7)))</f>
        <v>0.15357147147603734</v>
      </c>
      <c r="DH2" s="666" t="s">
        <v>14</v>
      </c>
      <c r="DI2" s="680" t="s">
        <v>510</v>
      </c>
      <c r="DJ2" s="668">
        <f>(DD2/(DJ5+DJ6))*CU11</f>
        <v>7.7607250385718085E-3</v>
      </c>
      <c r="DK2" s="666" t="s">
        <v>14</v>
      </c>
      <c r="DL2" s="680" t="s">
        <v>554</v>
      </c>
      <c r="DM2" s="668">
        <f>(DD2/(DM5+DM6))*((DM9*DD21)/(1-EXP(-DD21*DM9)))</f>
        <v>7.7607250385718085E-3</v>
      </c>
      <c r="DN2" s="666" t="s">
        <v>14</v>
      </c>
      <c r="DO2" s="680" t="s">
        <v>553</v>
      </c>
      <c r="DP2" s="668">
        <f>-(DP5+DP6+DP7)/(DP23+DP24)</f>
        <v>-48.948458444089098</v>
      </c>
      <c r="DQ2" s="678" t="s">
        <v>14</v>
      </c>
      <c r="DR2" s="556" t="s">
        <v>510</v>
      </c>
      <c r="DS2" s="460">
        <f>DS5/(DS6*DS7*DS16)</f>
        <v>1.2402218947815107E-3</v>
      </c>
      <c r="DT2" s="466" t="s">
        <v>13</v>
      </c>
      <c r="DU2" s="464" t="s">
        <v>510</v>
      </c>
      <c r="DV2" s="462">
        <f>DS2/(DV5*(1/DV8)*DV6*(1/DV7))</f>
        <v>33059.745124869463</v>
      </c>
      <c r="DW2" s="480" t="s">
        <v>14</v>
      </c>
      <c r="DX2" s="478" t="s">
        <v>510</v>
      </c>
      <c r="DY2" s="462">
        <f>(DS2/(DY9*(1/DY14)*((DY10*DY12*DY13*(DY5+DY6))+(DY11*DY12))))*CU11</f>
        <v>573.48295292653268</v>
      </c>
      <c r="DZ2" s="480" t="s">
        <v>14</v>
      </c>
      <c r="EA2" s="478" t="s">
        <v>554</v>
      </c>
      <c r="EB2" s="462">
        <f>(DS2/(EB9*(1/EB14)*((EB10*EB12*EB13*(EB5+EB6))+(EB11*EB12))))*((EB15*DS18)/(1-EXP(-DS18*EB15)))</f>
        <v>573.48295292653268</v>
      </c>
      <c r="EC2" s="480" t="s">
        <v>14</v>
      </c>
      <c r="ED2" s="478" t="s">
        <v>553</v>
      </c>
      <c r="EE2" s="462">
        <f>-EE15/((EE10*EE12*EE13*(EE5+EE6))+(EE11*EE12))</f>
        <v>-16.802282392818878</v>
      </c>
      <c r="EF2" s="476" t="s">
        <v>14</v>
      </c>
      <c r="EG2" s="474" t="s">
        <v>510</v>
      </c>
      <c r="EH2" s="472">
        <f>EH5/(EH6*EH7*EH16)</f>
        <v>3.3993266865929234E-3</v>
      </c>
      <c r="EI2" s="470" t="s">
        <v>13</v>
      </c>
      <c r="EJ2" s="468" t="s">
        <v>510</v>
      </c>
      <c r="EK2" s="502">
        <f>EH2/(EK5*EK6*(1/EK7))</f>
        <v>128.27647873935561</v>
      </c>
      <c r="EL2" s="500" t="s">
        <v>14</v>
      </c>
      <c r="EM2" s="504" t="s">
        <v>510</v>
      </c>
      <c r="EN2" s="502">
        <f>(EH2/(EN9*((EN10*EN12*EN13*(EN5+EN6))+(EN11*EN12))))*CU11</f>
        <v>2.0387736732707418</v>
      </c>
      <c r="EO2" s="500" t="s">
        <v>13</v>
      </c>
      <c r="EP2" s="504" t="s">
        <v>554</v>
      </c>
      <c r="EQ2" s="502">
        <f>(EH2/(EQ9*((EQ10*EQ12*EQ13*(EQ5+EQ6))+(EQ11*EQ12))))*((EQ14*EH18)/(1-EXP(-EH18*EQ14)))</f>
        <v>2.0387736732707418</v>
      </c>
      <c r="ER2" s="500" t="s">
        <v>14</v>
      </c>
      <c r="ES2" s="504" t="s">
        <v>553</v>
      </c>
      <c r="ET2" s="502">
        <f>-ET15/((ET10*ET12*ET13*(ET5+ET6))+(ET11*ET12))</f>
        <v>-15.39462998242915</v>
      </c>
      <c r="EU2" s="514" t="s">
        <v>19</v>
      </c>
      <c r="EV2" s="512" t="s">
        <v>510</v>
      </c>
      <c r="EW2" s="510">
        <f>EW5/(EW6*EW7*EW16)</f>
        <v>1.1370118060944361E-2</v>
      </c>
      <c r="EX2" s="508" t="s">
        <v>13</v>
      </c>
      <c r="EY2" s="506" t="s">
        <v>510</v>
      </c>
      <c r="EZ2" s="494">
        <f>EW2/(EZ5*EZ6*(1/EZ7))</f>
        <v>9475.0983841202997</v>
      </c>
      <c r="FA2" s="498" t="s">
        <v>14</v>
      </c>
      <c r="FB2" s="496" t="s">
        <v>510</v>
      </c>
      <c r="FC2" s="494">
        <f>(EW2/(FC9*((FC10*FC12*FC13*(FC5+FC6))+(FC11*FC12))))*CU11</f>
        <v>54.342224943870114</v>
      </c>
      <c r="FD2" s="498" t="s">
        <v>13</v>
      </c>
      <c r="FE2" s="496" t="s">
        <v>554</v>
      </c>
      <c r="FF2" s="494">
        <f>(EW2/(FF9*((FF10*FF12*FF13*(FF5+FF6))+(FF11*FF12))))*((FF14*EW18)/(1-EXP(-EW18*FF14)))</f>
        <v>54.342224943870114</v>
      </c>
      <c r="FG2" s="498" t="s">
        <v>14</v>
      </c>
      <c r="FH2" s="496" t="s">
        <v>553</v>
      </c>
      <c r="FI2" s="494">
        <f>-FI15/((FI10*FI12*FI13*(FI5+FI6))+(FI11*FI12))</f>
        <v>-5.5552160701290481</v>
      </c>
      <c r="FJ2" s="492" t="s">
        <v>19</v>
      </c>
      <c r="FK2" s="490" t="s">
        <v>510</v>
      </c>
      <c r="FL2" s="488">
        <f>FL5/(FL6*FL7*FL16)</f>
        <v>3.9031098292195139E-3</v>
      </c>
      <c r="FM2" s="486" t="s">
        <v>13</v>
      </c>
      <c r="FN2" s="484" t="s">
        <v>510</v>
      </c>
      <c r="FO2" s="430">
        <f>FL2/(FO5*(1/FO6))</f>
        <v>1.6262957621747974E-2</v>
      </c>
      <c r="FP2" s="428" t="s">
        <v>14</v>
      </c>
      <c r="FQ2" s="482" t="s">
        <v>510</v>
      </c>
      <c r="FR2" s="430">
        <f>((FL2*FR6)/FR5)*CU11</f>
        <v>6.7160242230304975E-5</v>
      </c>
      <c r="FS2" s="428" t="s">
        <v>13</v>
      </c>
      <c r="FT2" s="426" t="s">
        <v>554</v>
      </c>
      <c r="FU2" s="430">
        <f>((FL2*FU6)/FU5)*((FU7*FL18)/(1-EXP(-FL18*FU7)))</f>
        <v>6.7160242230304975E-5</v>
      </c>
      <c r="FV2" s="428" t="s">
        <v>14</v>
      </c>
      <c r="FW2" s="426" t="s">
        <v>553</v>
      </c>
      <c r="FX2" s="430">
        <f>-FX5/FX6</f>
        <v>-4.0000000000000001E-3</v>
      </c>
      <c r="FY2" s="438" t="s">
        <v>19</v>
      </c>
      <c r="FZ2" s="436" t="s">
        <v>510</v>
      </c>
      <c r="GA2" s="434">
        <f>GA5/(GA6*GA7*GA16)</f>
        <v>5.6799264758509377E-3</v>
      </c>
      <c r="GB2" s="432" t="s">
        <v>13</v>
      </c>
      <c r="GC2" s="458" t="s">
        <v>510</v>
      </c>
      <c r="GD2" s="417">
        <f>(GA2/(GD5*GD6*(1/GD7)))</f>
        <v>2366.636031604557</v>
      </c>
      <c r="GE2" s="421" t="s">
        <v>14</v>
      </c>
      <c r="GF2" s="419" t="s">
        <v>510</v>
      </c>
      <c r="GG2" s="417">
        <f>(GA2/((GG9)*((GG10*GG12*GG13*(GG5+GG6))+(GG11*GG12))))*CU11</f>
        <v>13.573290996667932</v>
      </c>
      <c r="GH2" s="421" t="s">
        <v>13</v>
      </c>
      <c r="GI2" s="419" t="s">
        <v>554</v>
      </c>
      <c r="GJ2" s="417">
        <f>(GA2/((GJ9)*((GJ10*GJ12*GJ13*(GJ5+GJ6))+(GJ11*GJ12))))*((GJ14*GA18)/(1-EXP(-GA18*GJ14)))</f>
        <v>13.573290996667932</v>
      </c>
      <c r="GK2" s="421" t="s">
        <v>14</v>
      </c>
      <c r="GL2" s="419" t="s">
        <v>553</v>
      </c>
      <c r="GM2" s="417">
        <f>-GM15/((GM10*GM12*GM13*(GM5+GM6))+(GM11*GM12))</f>
        <v>-5.5552160701290481</v>
      </c>
      <c r="GN2" s="456" t="s">
        <v>19</v>
      </c>
      <c r="GO2" s="454" t="s">
        <v>510</v>
      </c>
      <c r="GP2" s="452">
        <f>GP5/(GP6*GP7*GP15)</f>
        <v>6.21892170835406E-3</v>
      </c>
      <c r="GQ2" s="450" t="s">
        <v>13</v>
      </c>
      <c r="GR2" s="448" t="s">
        <v>510</v>
      </c>
      <c r="GS2" s="442">
        <f>GP2/(GS5*GS6*(1/GS7))</f>
        <v>3208.9379300072542</v>
      </c>
      <c r="GT2" s="446" t="s">
        <v>14</v>
      </c>
      <c r="GU2" s="444" t="s">
        <v>510</v>
      </c>
      <c r="GV2" s="442">
        <f>(GP2/((GV9)*((GV10*GV12*GV13*(GV5+GV6))+(GV11*GV12))))*CU11</f>
        <v>24.443385213560891</v>
      </c>
      <c r="GW2" s="446" t="s">
        <v>13</v>
      </c>
      <c r="GX2" s="444" t="s">
        <v>554</v>
      </c>
      <c r="GY2" s="442">
        <f>(GP2/((GY9)*((GY10*GY12*GY13*(GY5+GY6))+(GY11*GY12))))*((GY14*GP17)/(1-EXP(-GP17*GY14)))</f>
        <v>24.443385213560891</v>
      </c>
      <c r="GZ2" s="446" t="s">
        <v>14</v>
      </c>
      <c r="HA2" s="444" t="s">
        <v>553</v>
      </c>
      <c r="HB2" s="442">
        <f>-HB15/((HB10*HB12*HB13*(HB5+HB6))+(HB11*HB12))</f>
        <v>-7.3781469900331578</v>
      </c>
      <c r="HC2" s="440" t="s">
        <v>19</v>
      </c>
      <c r="HD2" s="68"/>
      <c r="HE2" s="350"/>
      <c r="HF2" s="69"/>
    </row>
    <row r="3" spans="1:214" ht="13.5" thickTop="1" x14ac:dyDescent="0.2">
      <c r="A3" s="158" t="s">
        <v>456</v>
      </c>
      <c r="B3" s="54">
        <v>2.41E-4</v>
      </c>
      <c r="C3" s="159"/>
      <c r="D3" s="166" t="s">
        <v>15</v>
      </c>
      <c r="E3" s="285">
        <f>1/((1/E20)+(1/E21))</f>
        <v>1.6457813050509127E-4</v>
      </c>
      <c r="F3" s="164" t="s">
        <v>10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200" t="s">
        <v>16</v>
      </c>
      <c r="W3" s="358">
        <f>1/((1/W18)+(1/W19))</f>
        <v>2.4028184271551771E-4</v>
      </c>
      <c r="X3" s="171" t="s">
        <v>10</v>
      </c>
      <c r="Y3" s="198" t="s">
        <v>16</v>
      </c>
      <c r="Z3" s="358">
        <f>1/((1/Z18)+(1/Z19))</f>
        <v>2.1625365844396598E-4</v>
      </c>
      <c r="AA3" s="175" t="s">
        <v>10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235" t="s">
        <v>15</v>
      </c>
      <c r="BT3" s="332">
        <f>1/((1/BT21)+(1/BT22))</f>
        <v>1.8432750616570223E-2</v>
      </c>
      <c r="BU3" s="231" t="s">
        <v>10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6.6576886093299559E-5</v>
      </c>
      <c r="CV3" s="71" t="s">
        <v>13</v>
      </c>
      <c r="CW3" s="214" t="s">
        <v>15</v>
      </c>
      <c r="CX3" s="117">
        <f>1/((1/CX20)+(1/CX21))</f>
        <v>1.0230532543157305E-4</v>
      </c>
      <c r="CY3" s="210" t="s">
        <v>10</v>
      </c>
      <c r="CZ3" s="216" t="s">
        <v>285</v>
      </c>
      <c r="DA3" s="336">
        <f>1/((1/DA13)+(1/DA15)+(1/DA16)+(1/DA17)+(1/DA18)+(1/DA19)+(1/DA20)+(1/DA21)+(1/DA22))</f>
        <v>1.4032819030217978E-2</v>
      </c>
      <c r="DB3" s="72" t="s">
        <v>13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6.4322328641816681E-2</v>
      </c>
      <c r="HF3" s="238" t="s">
        <v>13</v>
      </c>
    </row>
    <row r="4" spans="1:214" ht="13.5" thickBot="1" x14ac:dyDescent="0.25">
      <c r="A4" s="160" t="s">
        <v>457</v>
      </c>
      <c r="B4" s="70">
        <v>0.753</v>
      </c>
      <c r="C4" s="161"/>
      <c r="D4" s="167" t="s">
        <v>16</v>
      </c>
      <c r="E4" s="286">
        <f>1/((1/E22)+(1/E23))</f>
        <v>1.6803251742229002E-4</v>
      </c>
      <c r="F4" s="165" t="s">
        <v>10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201" t="s">
        <v>15</v>
      </c>
      <c r="W4" s="359">
        <f>1/((1/W16)+(1/W17))</f>
        <v>2.3552963075716682E-4</v>
      </c>
      <c r="X4" s="172" t="s">
        <v>10</v>
      </c>
      <c r="Y4" s="199" t="s">
        <v>15</v>
      </c>
      <c r="Z4" s="359">
        <f>1/((1/Z16)+(1/Z17))</f>
        <v>2.1197666768145014E-4</v>
      </c>
      <c r="AA4" s="176" t="s">
        <v>10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236" t="s">
        <v>16</v>
      </c>
      <c r="BT4" s="333">
        <f>1/((1/BT23)+(1/BT24))</f>
        <v>1.8819641951296488E-2</v>
      </c>
      <c r="BU4" s="232" t="s">
        <v>10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7.7017283216810695E-3</v>
      </c>
      <c r="CV4" s="73" t="s">
        <v>13</v>
      </c>
      <c r="CW4" s="215" t="s">
        <v>16</v>
      </c>
      <c r="CX4" s="106">
        <f>1/((1/CX22)+(1/CX23))</f>
        <v>1.0562116985791129E-4</v>
      </c>
      <c r="CY4" s="211" t="s">
        <v>10</v>
      </c>
      <c r="CZ4" s="217" t="s">
        <v>11</v>
      </c>
      <c r="DA4" s="337">
        <f>1/((1/DA15)+(1/DA16)+(1/DA13))</f>
        <v>0.10242309451426669</v>
      </c>
      <c r="DB4" s="74" t="s">
        <v>13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1.4175865974140485E-3</v>
      </c>
      <c r="HF4" s="75" t="s">
        <v>13</v>
      </c>
    </row>
    <row r="5" spans="1:214" ht="14.25" thickTop="1" thickBot="1" x14ac:dyDescent="0.25">
      <c r="A5" s="589" t="s">
        <v>281</v>
      </c>
      <c r="B5" s="590"/>
      <c r="C5" s="591"/>
      <c r="D5" s="53" t="s">
        <v>17</v>
      </c>
      <c r="E5" s="287">
        <f>B18</f>
        <v>9.9999999999999995E-7</v>
      </c>
      <c r="G5" s="51" t="s">
        <v>17</v>
      </c>
      <c r="H5" s="287">
        <f>B18</f>
        <v>9.9999999999999995E-7</v>
      </c>
      <c r="J5" s="51" t="s">
        <v>17</v>
      </c>
      <c r="K5" s="287">
        <f>B18</f>
        <v>9.9999999999999995E-7</v>
      </c>
      <c r="M5" s="53" t="s">
        <v>17</v>
      </c>
      <c r="N5" s="287">
        <f>B18</f>
        <v>9.9999999999999995E-7</v>
      </c>
      <c r="P5" s="53" t="s">
        <v>17</v>
      </c>
      <c r="Q5" s="287">
        <f>B18</f>
        <v>9.9999999999999995E-7</v>
      </c>
      <c r="S5" s="53" t="s">
        <v>17</v>
      </c>
      <c r="T5" s="287">
        <f>B18</f>
        <v>9.9999999999999995E-7</v>
      </c>
      <c r="V5" s="53" t="s">
        <v>17</v>
      </c>
      <c r="W5" s="287">
        <f>B18</f>
        <v>9.9999999999999995E-7</v>
      </c>
      <c r="Y5" s="139" t="s">
        <v>17</v>
      </c>
      <c r="Z5" s="287">
        <f>B18</f>
        <v>9.9999999999999995E-7</v>
      </c>
      <c r="AB5" s="51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53" t="s">
        <v>17</v>
      </c>
      <c r="AJ5" s="287">
        <f>B18</f>
        <v>9.9999999999999995E-7</v>
      </c>
      <c r="AL5" s="53" t="s">
        <v>17</v>
      </c>
      <c r="AM5" s="287">
        <f>B18</f>
        <v>9.9999999999999995E-7</v>
      </c>
      <c r="AO5" s="53" t="s">
        <v>17</v>
      </c>
      <c r="AP5" s="287">
        <f>B18</f>
        <v>9.9999999999999995E-7</v>
      </c>
      <c r="AR5" s="53" t="s">
        <v>17</v>
      </c>
      <c r="AS5" s="287">
        <f>B18</f>
        <v>9.9999999999999995E-7</v>
      </c>
      <c r="AU5" s="53" t="s">
        <v>17</v>
      </c>
      <c r="AV5" s="287">
        <f>B18</f>
        <v>9.9999999999999995E-7</v>
      </c>
      <c r="AX5" s="53" t="s">
        <v>17</v>
      </c>
      <c r="AY5" s="287">
        <f>B18</f>
        <v>9.9999999999999995E-7</v>
      </c>
      <c r="BA5" s="53" t="s">
        <v>17</v>
      </c>
      <c r="BB5" s="287">
        <f>B18</f>
        <v>9.9999999999999995E-7</v>
      </c>
      <c r="BD5" s="53" t="s">
        <v>17</v>
      </c>
      <c r="BE5" s="287">
        <f>B18</f>
        <v>9.9999999999999995E-7</v>
      </c>
      <c r="BG5" s="53" t="s">
        <v>17</v>
      </c>
      <c r="BH5" s="287">
        <f>B18</f>
        <v>9.9999999999999995E-7</v>
      </c>
      <c r="BJ5" s="53" t="s">
        <v>17</v>
      </c>
      <c r="BK5" s="287">
        <f>B18</f>
        <v>9.9999999999999995E-7</v>
      </c>
      <c r="BM5" s="53" t="s">
        <v>17</v>
      </c>
      <c r="BN5" s="287">
        <f>B18</f>
        <v>9.9999999999999995E-7</v>
      </c>
      <c r="BP5" s="53" t="s">
        <v>17</v>
      </c>
      <c r="BQ5" s="287">
        <f>B18</f>
        <v>9.9999999999999995E-7</v>
      </c>
      <c r="BS5" s="53" t="s">
        <v>17</v>
      </c>
      <c r="BT5" s="287">
        <f>B18</f>
        <v>9.9999999999999995E-7</v>
      </c>
      <c r="BV5" s="51" t="s">
        <v>17</v>
      </c>
      <c r="BW5" s="287">
        <f>B18</f>
        <v>9.9999999999999995E-7</v>
      </c>
      <c r="BY5" s="51" t="s">
        <v>17</v>
      </c>
      <c r="BZ5" s="287">
        <f>B18</f>
        <v>9.9999999999999995E-7</v>
      </c>
      <c r="CB5" s="53" t="s">
        <v>17</v>
      </c>
      <c r="CC5" s="287">
        <f>B18</f>
        <v>9.9999999999999995E-7</v>
      </c>
      <c r="CE5" s="53" t="s">
        <v>17</v>
      </c>
      <c r="CF5" s="287">
        <f>B18</f>
        <v>9.9999999999999995E-7</v>
      </c>
      <c r="CH5" s="53" t="s">
        <v>17</v>
      </c>
      <c r="CI5" s="287">
        <f>B18</f>
        <v>9.9999999999999995E-7</v>
      </c>
      <c r="CK5" s="227" t="s">
        <v>17</v>
      </c>
      <c r="CL5" s="287">
        <f>B18</f>
        <v>9.9999999999999995E-7</v>
      </c>
      <c r="CM5" s="76"/>
      <c r="CN5" s="228" t="s">
        <v>264</v>
      </c>
      <c r="CO5" s="287">
        <f>B43</f>
        <v>6.0000000000000001E-3</v>
      </c>
      <c r="CP5" s="227"/>
      <c r="CQ5" s="228" t="s">
        <v>264</v>
      </c>
      <c r="CR5" s="287">
        <f>CO5</f>
        <v>6.0000000000000001E-3</v>
      </c>
      <c r="CS5" s="227"/>
      <c r="CT5" s="51" t="s">
        <v>17</v>
      </c>
      <c r="CU5" s="287">
        <f>B18</f>
        <v>9.9999999999999995E-7</v>
      </c>
      <c r="CW5" s="53" t="s">
        <v>17</v>
      </c>
      <c r="CX5" s="287">
        <f>B18</f>
        <v>9.9999999999999995E-7</v>
      </c>
      <c r="CZ5" s="51" t="s">
        <v>17</v>
      </c>
      <c r="DA5" s="287">
        <f>B18</f>
        <v>9.9999999999999995E-7</v>
      </c>
      <c r="DC5" s="51" t="s">
        <v>17</v>
      </c>
      <c r="DD5" s="287">
        <f>B18</f>
        <v>9.9999999999999995E-7</v>
      </c>
      <c r="DF5" s="53" t="s">
        <v>18</v>
      </c>
      <c r="DG5" s="118">
        <f>(DG8*DG9*DG10*((1-EXP(-DG11*DG12))))/(DG13*DG11)</f>
        <v>6.6877504027585484E-4</v>
      </c>
      <c r="DH5" s="53" t="s">
        <v>19</v>
      </c>
      <c r="DI5" s="51" t="s">
        <v>20</v>
      </c>
      <c r="DJ5" s="305">
        <f>DJ7</f>
        <v>1.914E-5</v>
      </c>
      <c r="DK5" s="51"/>
      <c r="DL5" s="51" t="s">
        <v>20</v>
      </c>
      <c r="DM5" s="305">
        <f>DM7</f>
        <v>1.914E-5</v>
      </c>
      <c r="DO5" s="53" t="s">
        <v>18</v>
      </c>
      <c r="DP5" s="118">
        <f>(DP8*DP9*DP10*((1-EXP(-DP11*DP12))))/(DP13*DP11)</f>
        <v>6.6877504027585484E-4</v>
      </c>
      <c r="DQ5" s="53" t="s">
        <v>19</v>
      </c>
      <c r="DR5" s="51" t="s">
        <v>17</v>
      </c>
      <c r="DS5" s="287">
        <f>B18</f>
        <v>9.9999999999999995E-7</v>
      </c>
      <c r="DU5" s="153" t="s">
        <v>278</v>
      </c>
      <c r="DV5" s="310">
        <f>B37</f>
        <v>4.2E-7</v>
      </c>
      <c r="DW5" s="51"/>
      <c r="DX5" s="51" t="s">
        <v>21</v>
      </c>
      <c r="DY5" s="305">
        <f>DY7</f>
        <v>2.1999999999999999E-5</v>
      </c>
      <c r="DZ5" s="51"/>
      <c r="EA5" s="51" t="s">
        <v>21</v>
      </c>
      <c r="EB5" s="305">
        <f>EB7</f>
        <v>2.1999999999999999E-5</v>
      </c>
      <c r="EC5" s="77"/>
      <c r="ED5" s="51" t="s">
        <v>21</v>
      </c>
      <c r="EE5" s="305">
        <f>EE7</f>
        <v>2.1999999999999999E-5</v>
      </c>
      <c r="EF5" s="77"/>
      <c r="EG5" s="51" t="s">
        <v>17</v>
      </c>
      <c r="EH5" s="287">
        <f>B18</f>
        <v>9.9999999999999995E-7</v>
      </c>
      <c r="EJ5" s="51" t="s">
        <v>275</v>
      </c>
      <c r="EK5" s="310">
        <f>B38</f>
        <v>5.0000000000000001E-4</v>
      </c>
      <c r="EL5" s="51"/>
      <c r="EM5" s="51" t="s">
        <v>21</v>
      </c>
      <c r="EN5" s="305">
        <f>EN7</f>
        <v>2.1999999999999999E-5</v>
      </c>
      <c r="EO5" s="51"/>
      <c r="EP5" s="51" t="s">
        <v>21</v>
      </c>
      <c r="EQ5" s="305">
        <f>EQ7</f>
        <v>2.1999999999999999E-5</v>
      </c>
      <c r="ER5" s="77"/>
      <c r="ES5" s="51" t="s">
        <v>21</v>
      </c>
      <c r="ET5" s="305">
        <f>ET7</f>
        <v>2.1999999999999999E-5</v>
      </c>
      <c r="EU5" s="77"/>
      <c r="EV5" s="51" t="s">
        <v>17</v>
      </c>
      <c r="EW5" s="287">
        <f>B18</f>
        <v>9.9999999999999995E-7</v>
      </c>
      <c r="EY5" s="51" t="s">
        <v>201</v>
      </c>
      <c r="EZ5" s="310">
        <f>B40</f>
        <v>3.0000000000000001E-3</v>
      </c>
      <c r="FA5" s="51"/>
      <c r="FB5" s="51" t="s">
        <v>21</v>
      </c>
      <c r="FC5" s="305">
        <f>FC7</f>
        <v>2.1999999999999999E-5</v>
      </c>
      <c r="FD5" s="51"/>
      <c r="FE5" s="51" t="s">
        <v>21</v>
      </c>
      <c r="FF5" s="305">
        <f>FF7</f>
        <v>2.1999999999999999E-5</v>
      </c>
      <c r="FG5" s="77"/>
      <c r="FH5" s="77" t="s">
        <v>21</v>
      </c>
      <c r="FI5" s="290">
        <f>FI7</f>
        <v>2.1999999999999999E-5</v>
      </c>
      <c r="FJ5" s="77"/>
      <c r="FK5" s="51" t="s">
        <v>17</v>
      </c>
      <c r="FL5" s="287">
        <f>B18</f>
        <v>9.9999999999999995E-7</v>
      </c>
      <c r="FN5" s="77" t="s">
        <v>122</v>
      </c>
      <c r="FO5" s="308">
        <f>B36</f>
        <v>240</v>
      </c>
      <c r="FP5" s="77"/>
      <c r="FQ5" s="77" t="s">
        <v>122</v>
      </c>
      <c r="FR5" s="298">
        <f>B36</f>
        <v>240</v>
      </c>
      <c r="FS5" s="77"/>
      <c r="FT5" s="77" t="s">
        <v>122</v>
      </c>
      <c r="FU5" s="298">
        <f>B36</f>
        <v>240</v>
      </c>
      <c r="FV5" s="77"/>
      <c r="FW5" s="51" t="s">
        <v>181</v>
      </c>
      <c r="FX5" s="305">
        <f>B46</f>
        <v>4</v>
      </c>
      <c r="FY5" s="53" t="s">
        <v>19</v>
      </c>
      <c r="FZ5" s="51" t="s">
        <v>17</v>
      </c>
      <c r="GA5" s="287">
        <f>B18</f>
        <v>9.9999999999999995E-7</v>
      </c>
      <c r="GC5" s="77" t="s">
        <v>276</v>
      </c>
      <c r="GD5" s="310">
        <f>B39</f>
        <v>6.0000000000000001E-3</v>
      </c>
      <c r="GE5" s="51"/>
      <c r="GF5" s="51" t="s">
        <v>21</v>
      </c>
      <c r="GG5" s="305">
        <f>GG7</f>
        <v>2.1999999999999999E-5</v>
      </c>
      <c r="GH5" s="51"/>
      <c r="GI5" s="51" t="s">
        <v>21</v>
      </c>
      <c r="GJ5" s="305">
        <f>GJ7</f>
        <v>2.1999999999999999E-5</v>
      </c>
      <c r="GK5" s="51"/>
      <c r="GL5" s="51" t="s">
        <v>21</v>
      </c>
      <c r="GM5" s="305">
        <f>GM7</f>
        <v>2.1999999999999999E-5</v>
      </c>
      <c r="GN5" s="77"/>
      <c r="GO5" s="51" t="s">
        <v>17</v>
      </c>
      <c r="GP5" s="287">
        <f>B18</f>
        <v>9.9999999999999995E-7</v>
      </c>
      <c r="GR5" s="77" t="s">
        <v>277</v>
      </c>
      <c r="GS5" s="310">
        <f>B41</f>
        <v>1.7000000000000001E-4</v>
      </c>
      <c r="GT5" s="51"/>
      <c r="GU5" s="51" t="s">
        <v>21</v>
      </c>
      <c r="GV5" s="305">
        <f>GV7</f>
        <v>2.1999999999999999E-5</v>
      </c>
      <c r="GW5" s="51"/>
      <c r="GX5" s="51" t="s">
        <v>21</v>
      </c>
      <c r="GY5" s="305">
        <f>GY7</f>
        <v>2.1999999999999999E-5</v>
      </c>
      <c r="GZ5" s="51"/>
      <c r="HA5" s="51" t="s">
        <v>21</v>
      </c>
      <c r="HB5" s="305">
        <f>HB7</f>
        <v>2.1999999999999999E-5</v>
      </c>
      <c r="HC5" s="77"/>
      <c r="HD5" s="79" t="s">
        <v>22</v>
      </c>
      <c r="HE5" s="293">
        <f>B47</f>
        <v>15</v>
      </c>
      <c r="HF5" s="51" t="s">
        <v>14</v>
      </c>
    </row>
    <row r="6" spans="1:214" ht="13.5" thickTop="1" x14ac:dyDescent="0.2">
      <c r="A6" s="158" t="s">
        <v>454</v>
      </c>
      <c r="B6" s="54">
        <v>1.17E-4</v>
      </c>
      <c r="C6" s="159"/>
      <c r="D6" s="51" t="s">
        <v>23</v>
      </c>
      <c r="E6" s="288">
        <f>0.693/E7</f>
        <v>1.6034243405830633E-3</v>
      </c>
      <c r="G6" s="51" t="s">
        <v>439</v>
      </c>
      <c r="H6" s="287">
        <f>B20</f>
        <v>1.036E-10</v>
      </c>
      <c r="I6" s="51" t="s">
        <v>35</v>
      </c>
      <c r="J6" s="51" t="s">
        <v>316</v>
      </c>
      <c r="K6" s="287">
        <f>B21</f>
        <v>1.8425999999999999E-10</v>
      </c>
      <c r="L6" s="51" t="s">
        <v>35</v>
      </c>
      <c r="M6" s="170" t="s">
        <v>107</v>
      </c>
      <c r="N6" s="289">
        <v>26</v>
      </c>
      <c r="O6" s="53" t="s">
        <v>69</v>
      </c>
      <c r="P6" s="146" t="s">
        <v>107</v>
      </c>
      <c r="Q6" s="289">
        <v>26</v>
      </c>
      <c r="R6" s="139" t="s">
        <v>69</v>
      </c>
      <c r="S6" s="146" t="s">
        <v>107</v>
      </c>
      <c r="T6" s="289">
        <v>26</v>
      </c>
      <c r="U6" s="139" t="s">
        <v>69</v>
      </c>
      <c r="V6" s="51" t="s">
        <v>23</v>
      </c>
      <c r="W6" s="288">
        <f>0.693/W7</f>
        <v>1.6034243405830633E-3</v>
      </c>
      <c r="Y6" s="140" t="s">
        <v>23</v>
      </c>
      <c r="Z6" s="288">
        <f>0.693/Z7</f>
        <v>1.6034243405830633E-3</v>
      </c>
      <c r="AB6" s="51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53" t="s">
        <v>24</v>
      </c>
      <c r="AI6" s="53" t="s">
        <v>485</v>
      </c>
      <c r="AJ6" s="289">
        <f>AJ10</f>
        <v>25</v>
      </c>
      <c r="AK6" s="152" t="s">
        <v>69</v>
      </c>
      <c r="AL6" s="152" t="s">
        <v>485</v>
      </c>
      <c r="AM6" s="289">
        <f>AM10</f>
        <v>25</v>
      </c>
      <c r="AN6" s="152" t="s">
        <v>69</v>
      </c>
      <c r="AO6" s="152" t="s">
        <v>485</v>
      </c>
      <c r="AP6" s="289">
        <f>AP10</f>
        <v>25</v>
      </c>
      <c r="AQ6" s="152" t="s">
        <v>69</v>
      </c>
      <c r="AR6" s="53" t="s">
        <v>486</v>
      </c>
      <c r="AS6" s="289">
        <f>AS10</f>
        <v>25</v>
      </c>
      <c r="AT6" s="152" t="s">
        <v>69</v>
      </c>
      <c r="AU6" s="152" t="s">
        <v>486</v>
      </c>
      <c r="AV6" s="289">
        <f>AS10</f>
        <v>25</v>
      </c>
      <c r="AW6" s="152" t="s">
        <v>69</v>
      </c>
      <c r="AX6" s="152" t="s">
        <v>486</v>
      </c>
      <c r="AY6" s="289">
        <f>AS10</f>
        <v>25</v>
      </c>
      <c r="AZ6" s="152" t="s">
        <v>69</v>
      </c>
      <c r="BA6" s="53" t="s">
        <v>92</v>
      </c>
      <c r="BB6" s="289">
        <f>BB10</f>
        <v>25</v>
      </c>
      <c r="BC6" s="152" t="s">
        <v>69</v>
      </c>
      <c r="BD6" s="152" t="s">
        <v>92</v>
      </c>
      <c r="BE6" s="289">
        <f>BB10</f>
        <v>25</v>
      </c>
      <c r="BF6" s="152" t="s">
        <v>69</v>
      </c>
      <c r="BG6" s="152" t="s">
        <v>92</v>
      </c>
      <c r="BH6" s="289">
        <f>BB10</f>
        <v>25</v>
      </c>
      <c r="BI6" s="152" t="s">
        <v>69</v>
      </c>
      <c r="BJ6" s="53" t="s">
        <v>487</v>
      </c>
      <c r="BK6" s="289">
        <f>BK12</f>
        <v>1</v>
      </c>
      <c r="BL6" s="152" t="s">
        <v>69</v>
      </c>
      <c r="BM6" s="152" t="s">
        <v>487</v>
      </c>
      <c r="BN6" s="289">
        <f>BK12</f>
        <v>1</v>
      </c>
      <c r="BO6" s="152" t="s">
        <v>69</v>
      </c>
      <c r="BP6" s="152" t="s">
        <v>487</v>
      </c>
      <c r="BQ6" s="289">
        <f>BK12</f>
        <v>1</v>
      </c>
      <c r="BR6" s="152" t="s">
        <v>69</v>
      </c>
      <c r="BS6" s="51" t="s">
        <v>23</v>
      </c>
      <c r="BT6" s="288">
        <f>0.693/BT7</f>
        <v>1.6034243405830633E-3</v>
      </c>
      <c r="BV6" s="51" t="s">
        <v>163</v>
      </c>
      <c r="BW6" s="287">
        <f>B20</f>
        <v>1.036E-10</v>
      </c>
      <c r="BX6" s="51" t="s">
        <v>35</v>
      </c>
      <c r="BY6" s="51" t="s">
        <v>45</v>
      </c>
      <c r="BZ6" s="287">
        <f>B21</f>
        <v>1.8425999999999999E-10</v>
      </c>
      <c r="CA6" s="51" t="s">
        <v>35</v>
      </c>
      <c r="CB6" s="249" t="s">
        <v>111</v>
      </c>
      <c r="CC6" s="289">
        <f>CC10</f>
        <v>26</v>
      </c>
      <c r="CD6" s="53" t="s">
        <v>69</v>
      </c>
      <c r="CE6" s="249" t="s">
        <v>111</v>
      </c>
      <c r="CF6" s="289">
        <f>CC10</f>
        <v>26</v>
      </c>
      <c r="CG6" s="152" t="s">
        <v>69</v>
      </c>
      <c r="CH6" s="249" t="s">
        <v>111</v>
      </c>
      <c r="CI6" s="289">
        <f>CC10</f>
        <v>26</v>
      </c>
      <c r="CJ6" s="152" t="s">
        <v>69</v>
      </c>
      <c r="CK6" s="227" t="s">
        <v>256</v>
      </c>
      <c r="CL6" s="287">
        <f>E34</f>
        <v>1.3357000000000001E-10</v>
      </c>
      <c r="CM6" s="230" t="s">
        <v>13</v>
      </c>
      <c r="CN6" s="229" t="s">
        <v>21</v>
      </c>
      <c r="CO6" s="290">
        <f>CO8</f>
        <v>2.1999999999999999E-5</v>
      </c>
      <c r="CP6" s="227"/>
      <c r="CQ6" s="229" t="s">
        <v>199</v>
      </c>
      <c r="CR6" s="306">
        <f>B124</f>
        <v>1</v>
      </c>
      <c r="CS6" s="227" t="s">
        <v>30</v>
      </c>
      <c r="CT6" s="51" t="s">
        <v>45</v>
      </c>
      <c r="CU6" s="287">
        <f>B21</f>
        <v>1.8425999999999999E-10</v>
      </c>
      <c r="CV6" s="51" t="s">
        <v>35</v>
      </c>
      <c r="CW6" s="51" t="s">
        <v>23</v>
      </c>
      <c r="CX6" s="288">
        <f>0.693/CX7</f>
        <v>1.6034243405830633E-3</v>
      </c>
      <c r="CZ6" s="51" t="s">
        <v>163</v>
      </c>
      <c r="DA6" s="287">
        <f>B20</f>
        <v>1.036E-10</v>
      </c>
      <c r="DB6" s="51" t="s">
        <v>35</v>
      </c>
      <c r="DC6" s="153" t="s">
        <v>438</v>
      </c>
      <c r="DD6" s="287">
        <f>B30</f>
        <v>1.3357000000000001E-10</v>
      </c>
      <c r="DE6" s="80" t="s">
        <v>35</v>
      </c>
      <c r="DF6" s="53" t="s">
        <v>27</v>
      </c>
      <c r="DG6" s="118">
        <f>(DG8*DG9*DG14*((1-EXP(-DG11*DG12))))/(DG13*DG11)</f>
        <v>9.0847184154504852</v>
      </c>
      <c r="DH6" s="53" t="s">
        <v>19</v>
      </c>
      <c r="DI6" s="51" t="s">
        <v>28</v>
      </c>
      <c r="DJ6" s="293">
        <f>DJ8</f>
        <v>0.26</v>
      </c>
      <c r="DK6" s="51"/>
      <c r="DL6" s="51" t="s">
        <v>28</v>
      </c>
      <c r="DM6" s="293">
        <f>DM8</f>
        <v>0.26</v>
      </c>
      <c r="DO6" s="53" t="s">
        <v>27</v>
      </c>
      <c r="DP6" s="118">
        <f>(DP8*DP9*DP14*((1-EXP(-DP11*DP12))))/(DP13*DP11)</f>
        <v>9.0847184154504852</v>
      </c>
      <c r="DQ6" s="53" t="s">
        <v>19</v>
      </c>
      <c r="DR6" s="51" t="s">
        <v>438</v>
      </c>
      <c r="DS6" s="287">
        <f>B30</f>
        <v>1.3357000000000001E-10</v>
      </c>
      <c r="DT6" s="51" t="s">
        <v>35</v>
      </c>
      <c r="DU6" s="51" t="s">
        <v>29</v>
      </c>
      <c r="DV6" s="293">
        <f>B191</f>
        <v>92</v>
      </c>
      <c r="DW6" s="51" t="s">
        <v>30</v>
      </c>
      <c r="DX6" s="51" t="s">
        <v>28</v>
      </c>
      <c r="DY6" s="293">
        <f>DY8</f>
        <v>0.25</v>
      </c>
      <c r="DZ6" s="51"/>
      <c r="EA6" s="51" t="s">
        <v>28</v>
      </c>
      <c r="EB6" s="293">
        <f>EB8</f>
        <v>0.25</v>
      </c>
      <c r="EC6" s="77"/>
      <c r="ED6" s="51" t="s">
        <v>28</v>
      </c>
      <c r="EE6" s="293">
        <f>EE8</f>
        <v>0.25</v>
      </c>
      <c r="EF6" s="77"/>
      <c r="EG6" s="153" t="s">
        <v>438</v>
      </c>
      <c r="EH6" s="287">
        <f>B30</f>
        <v>1.3357000000000001E-10</v>
      </c>
      <c r="EI6" s="51" t="s">
        <v>35</v>
      </c>
      <c r="EJ6" s="51" t="s">
        <v>31</v>
      </c>
      <c r="EK6" s="293">
        <f>B197</f>
        <v>53</v>
      </c>
      <c r="EL6" s="51" t="s">
        <v>30</v>
      </c>
      <c r="EM6" s="51" t="s">
        <v>28</v>
      </c>
      <c r="EN6" s="293">
        <f>EN8</f>
        <v>0.25</v>
      </c>
      <c r="EO6" s="51"/>
      <c r="EP6" s="51" t="s">
        <v>28</v>
      </c>
      <c r="EQ6" s="293">
        <f>EQ8</f>
        <v>0.25</v>
      </c>
      <c r="ER6" s="77"/>
      <c r="ES6" s="51" t="s">
        <v>28</v>
      </c>
      <c r="ET6" s="293">
        <f>ET8</f>
        <v>0.25</v>
      </c>
      <c r="EU6" s="77"/>
      <c r="EV6" s="153" t="s">
        <v>438</v>
      </c>
      <c r="EW6" s="287">
        <f>B30</f>
        <v>1.3357000000000001E-10</v>
      </c>
      <c r="EX6" s="51" t="s">
        <v>35</v>
      </c>
      <c r="EY6" s="51" t="s">
        <v>173</v>
      </c>
      <c r="EZ6" s="308">
        <f>B202</f>
        <v>0.4</v>
      </c>
      <c r="FA6" s="51" t="s">
        <v>30</v>
      </c>
      <c r="FB6" s="51" t="s">
        <v>28</v>
      </c>
      <c r="FC6" s="293">
        <f>FC8</f>
        <v>0.25</v>
      </c>
      <c r="FD6" s="51"/>
      <c r="FE6" s="51" t="s">
        <v>28</v>
      </c>
      <c r="FF6" s="293">
        <f>FF8</f>
        <v>0.25</v>
      </c>
      <c r="FG6" s="77"/>
      <c r="FH6" s="77" t="s">
        <v>28</v>
      </c>
      <c r="FI6" s="307">
        <f>FI8</f>
        <v>0.25</v>
      </c>
      <c r="FJ6" s="77"/>
      <c r="FK6" s="153" t="s">
        <v>438</v>
      </c>
      <c r="FL6" s="287">
        <f>B30</f>
        <v>1.3357000000000001E-10</v>
      </c>
      <c r="FM6" s="51" t="s">
        <v>35</v>
      </c>
      <c r="FN6" s="77"/>
      <c r="FO6" s="307">
        <v>1000</v>
      </c>
      <c r="FP6" s="77" t="s">
        <v>149</v>
      </c>
      <c r="FQ6" s="51" t="s">
        <v>181</v>
      </c>
      <c r="FR6" s="305">
        <f>B46</f>
        <v>4</v>
      </c>
      <c r="FS6" s="53" t="s">
        <v>19</v>
      </c>
      <c r="FT6" s="51" t="s">
        <v>181</v>
      </c>
      <c r="FU6" s="305">
        <f>B46</f>
        <v>4</v>
      </c>
      <c r="FV6" s="53" t="s">
        <v>19</v>
      </c>
      <c r="FX6" s="307">
        <v>1000</v>
      </c>
      <c r="FY6" s="77" t="s">
        <v>149</v>
      </c>
      <c r="FZ6" s="153" t="s">
        <v>438</v>
      </c>
      <c r="GA6" s="287">
        <f>B30</f>
        <v>1.3357000000000001E-10</v>
      </c>
      <c r="GB6" s="51" t="s">
        <v>35</v>
      </c>
      <c r="GC6" s="77" t="s">
        <v>414</v>
      </c>
      <c r="GD6" s="308">
        <f>B207</f>
        <v>0.4</v>
      </c>
      <c r="GE6" s="51" t="s">
        <v>30</v>
      </c>
      <c r="GF6" s="51" t="s">
        <v>28</v>
      </c>
      <c r="GG6" s="293">
        <f>GG8</f>
        <v>0.25</v>
      </c>
      <c r="GH6" s="51"/>
      <c r="GI6" s="51" t="s">
        <v>28</v>
      </c>
      <c r="GJ6" s="293">
        <f>GJ8</f>
        <v>0.25</v>
      </c>
      <c r="GK6" s="51"/>
      <c r="GL6" s="51" t="s">
        <v>28</v>
      </c>
      <c r="GM6" s="293">
        <f>GM8</f>
        <v>0.25</v>
      </c>
      <c r="GN6" s="77"/>
      <c r="GO6" s="153" t="s">
        <v>438</v>
      </c>
      <c r="GP6" s="287">
        <f>B30</f>
        <v>1.3357000000000001E-10</v>
      </c>
      <c r="GQ6" s="51" t="s">
        <v>35</v>
      </c>
      <c r="GR6" s="77" t="s">
        <v>174</v>
      </c>
      <c r="GS6" s="293">
        <v>11.4</v>
      </c>
      <c r="GT6" s="51" t="s">
        <v>30</v>
      </c>
      <c r="GU6" s="51" t="s">
        <v>28</v>
      </c>
      <c r="GV6" s="293">
        <f>GV8</f>
        <v>0.25</v>
      </c>
      <c r="GW6" s="51"/>
      <c r="GX6" s="51" t="s">
        <v>28</v>
      </c>
      <c r="GY6" s="293">
        <f>GY8</f>
        <v>0.25</v>
      </c>
      <c r="GZ6" s="51"/>
      <c r="HA6" s="51" t="s">
        <v>28</v>
      </c>
      <c r="HB6" s="293">
        <f>HB8</f>
        <v>0.25</v>
      </c>
      <c r="HC6" s="77"/>
      <c r="HD6" s="77" t="s">
        <v>9</v>
      </c>
      <c r="HE6" s="290">
        <f>H2</f>
        <v>0.33058192093168237</v>
      </c>
      <c r="HF6" s="51" t="s">
        <v>14</v>
      </c>
    </row>
    <row r="7" spans="1:214" x14ac:dyDescent="0.2">
      <c r="A7" s="160" t="s">
        <v>455</v>
      </c>
      <c r="B7" s="70">
        <v>0.74299999999999999</v>
      </c>
      <c r="C7" s="161"/>
      <c r="D7" s="52" t="s">
        <v>270</v>
      </c>
      <c r="E7" s="287">
        <f>B31</f>
        <v>432.2</v>
      </c>
      <c r="F7" s="53" t="s">
        <v>69</v>
      </c>
      <c r="G7" s="51" t="s">
        <v>43</v>
      </c>
      <c r="H7" s="290">
        <f>B19</f>
        <v>3.7739999999999999E-8</v>
      </c>
      <c r="I7" s="77" t="s">
        <v>35</v>
      </c>
      <c r="J7" s="51" t="s">
        <v>43</v>
      </c>
      <c r="K7" s="290">
        <f>B19</f>
        <v>3.7739999999999999E-8</v>
      </c>
      <c r="L7" s="77" t="s">
        <v>35</v>
      </c>
      <c r="M7" s="51" t="s">
        <v>23</v>
      </c>
      <c r="N7" s="288">
        <f>0.693/N8</f>
        <v>1.6034243405830633E-3</v>
      </c>
      <c r="P7" s="51" t="s">
        <v>23</v>
      </c>
      <c r="Q7" s="288">
        <f>0.693/Q8</f>
        <v>1.6034243405830633E-3</v>
      </c>
      <c r="R7" s="139"/>
      <c r="S7" s="51" t="s">
        <v>23</v>
      </c>
      <c r="T7" s="288">
        <f>0.693/T8</f>
        <v>1.6034243405830633E-3</v>
      </c>
      <c r="U7" s="139"/>
      <c r="V7" s="52" t="s">
        <v>270</v>
      </c>
      <c r="W7" s="287">
        <f>B31</f>
        <v>432.2</v>
      </c>
      <c r="X7" s="53" t="s">
        <v>69</v>
      </c>
      <c r="Y7" s="143" t="s">
        <v>270</v>
      </c>
      <c r="Z7" s="287">
        <f>B31</f>
        <v>432.2</v>
      </c>
      <c r="AA7" s="53" t="s">
        <v>69</v>
      </c>
      <c r="AB7" s="51"/>
      <c r="AC7" s="298"/>
      <c r="AD7" s="298"/>
      <c r="AE7" s="298"/>
      <c r="AF7" s="298"/>
      <c r="AG7" s="298"/>
      <c r="AI7" s="51" t="s">
        <v>23</v>
      </c>
      <c r="AJ7" s="288">
        <f>0.693/AJ8</f>
        <v>1.6034243405830633E-3</v>
      </c>
      <c r="AL7" s="51" t="s">
        <v>23</v>
      </c>
      <c r="AM7" s="288">
        <f>0.693/AM8</f>
        <v>1.6034243405830633E-3</v>
      </c>
      <c r="AO7" s="51" t="s">
        <v>23</v>
      </c>
      <c r="AP7" s="288">
        <f>0.693/AP8</f>
        <v>1.6034243405830633E-3</v>
      </c>
      <c r="AR7" s="51" t="s">
        <v>23</v>
      </c>
      <c r="AS7" s="288">
        <f>0.693/AS8</f>
        <v>1.6034243405830633E-3</v>
      </c>
      <c r="AT7" s="152"/>
      <c r="AU7" s="51" t="s">
        <v>23</v>
      </c>
      <c r="AV7" s="288">
        <f>0.693/AV8</f>
        <v>1.6034243405830633E-3</v>
      </c>
      <c r="AW7" s="152"/>
      <c r="AX7" s="51" t="s">
        <v>23</v>
      </c>
      <c r="AY7" s="288">
        <f>0.693/AY8</f>
        <v>1.6034243405830633E-3</v>
      </c>
      <c r="AZ7" s="152"/>
      <c r="BA7" s="51" t="s">
        <v>23</v>
      </c>
      <c r="BB7" s="288">
        <f>0.693/BB8</f>
        <v>1.6034243405830633E-3</v>
      </c>
      <c r="BD7" s="51" t="s">
        <v>23</v>
      </c>
      <c r="BE7" s="288">
        <f>0.693/BE8</f>
        <v>1.6034243405830633E-3</v>
      </c>
      <c r="BG7" s="51" t="s">
        <v>23</v>
      </c>
      <c r="BH7" s="288">
        <f>0.693/BH8</f>
        <v>1.6034243405830633E-3</v>
      </c>
      <c r="BJ7" s="51" t="s">
        <v>23</v>
      </c>
      <c r="BK7" s="288">
        <f>0.693/BK8</f>
        <v>1.6034243405830633E-3</v>
      </c>
      <c r="BM7" s="51" t="s">
        <v>23</v>
      </c>
      <c r="BN7" s="288">
        <f>0.693/BN8</f>
        <v>1.6034243405830633E-3</v>
      </c>
      <c r="BO7" s="152"/>
      <c r="BP7" s="51" t="s">
        <v>23</v>
      </c>
      <c r="BQ7" s="288">
        <f>0.693/BQ8</f>
        <v>1.6034243405830633E-3</v>
      </c>
      <c r="BR7" s="152"/>
      <c r="BS7" s="52" t="s">
        <v>270</v>
      </c>
      <c r="BT7" s="287">
        <f>B31</f>
        <v>432.2</v>
      </c>
      <c r="BU7" s="53" t="s">
        <v>69</v>
      </c>
      <c r="BV7" s="51" t="s">
        <v>43</v>
      </c>
      <c r="BW7" s="290">
        <f>E10</f>
        <v>3.7739999999999999E-8</v>
      </c>
      <c r="BX7" s="77" t="s">
        <v>35</v>
      </c>
      <c r="BY7" s="51" t="s">
        <v>43</v>
      </c>
      <c r="BZ7" s="290">
        <f>B19</f>
        <v>3.7739999999999999E-8</v>
      </c>
      <c r="CA7" s="77" t="s">
        <v>35</v>
      </c>
      <c r="CB7" s="51" t="s">
        <v>23</v>
      </c>
      <c r="CC7" s="288">
        <f>0.693/CC8</f>
        <v>1.6034243405830633E-3</v>
      </c>
      <c r="CE7" s="51" t="s">
        <v>23</v>
      </c>
      <c r="CF7" s="288">
        <f>0.693/CF8</f>
        <v>1.6034243405830633E-3</v>
      </c>
      <c r="CG7" s="152"/>
      <c r="CH7" s="51" t="s">
        <v>23</v>
      </c>
      <c r="CI7" s="288">
        <f>0.693/CI8</f>
        <v>1.6034243405830633E-3</v>
      </c>
      <c r="CJ7" s="152"/>
      <c r="CK7" s="227" t="s">
        <v>157</v>
      </c>
      <c r="CL7" s="289">
        <f>B112</f>
        <v>75</v>
      </c>
      <c r="CM7" s="230" t="s">
        <v>165</v>
      </c>
      <c r="CN7" s="229" t="s">
        <v>28</v>
      </c>
      <c r="CO7" s="307">
        <f>CO9</f>
        <v>0.25</v>
      </c>
      <c r="CP7" s="227"/>
      <c r="CQ7" s="227"/>
      <c r="CR7" s="289">
        <v>1000</v>
      </c>
      <c r="CS7" s="227" t="s">
        <v>149</v>
      </c>
      <c r="CT7" s="51" t="s">
        <v>43</v>
      </c>
      <c r="CU7" s="290">
        <f>B19</f>
        <v>3.7739999999999999E-8</v>
      </c>
      <c r="CV7" s="77" t="s">
        <v>35</v>
      </c>
      <c r="CW7" s="52" t="s">
        <v>270</v>
      </c>
      <c r="CX7" s="287">
        <f>B31</f>
        <v>432.2</v>
      </c>
      <c r="CY7" s="53" t="s">
        <v>69</v>
      </c>
      <c r="CZ7" s="77" t="s">
        <v>43</v>
      </c>
      <c r="DA7" s="290">
        <f>B19</f>
        <v>3.7739999999999999E-8</v>
      </c>
      <c r="DB7" s="77" t="s">
        <v>35</v>
      </c>
      <c r="DC7" s="51" t="s">
        <v>498</v>
      </c>
      <c r="DD7" s="312">
        <f>(DD8*DD14*DD15)+(DD9*DD13*DD16)</f>
        <v>2246930.0000000005</v>
      </c>
      <c r="DE7" s="80" t="s">
        <v>149</v>
      </c>
      <c r="DF7" s="53" t="s">
        <v>36</v>
      </c>
      <c r="DG7" s="118">
        <f>(DG8*DG9*DG15*DG21*((1-EXP(-DG16*DG17))))/(DG18*DG16)</f>
        <v>3.6421488784670224</v>
      </c>
      <c r="DH7" s="53" t="s">
        <v>19</v>
      </c>
      <c r="DI7" s="51" t="s">
        <v>37</v>
      </c>
      <c r="DJ7" s="287">
        <f>B44</f>
        <v>1.914E-5</v>
      </c>
      <c r="DL7" s="51" t="s">
        <v>37</v>
      </c>
      <c r="DM7" s="287">
        <f>B44</f>
        <v>1.914E-5</v>
      </c>
      <c r="DO7" s="53" t="s">
        <v>36</v>
      </c>
      <c r="DP7" s="118">
        <f>(DP8*DP9*DP15*DP21*((1-EXP(-DP16*DP17))))/(DP18*DP16)</f>
        <v>3.6421488784670224</v>
      </c>
      <c r="DQ7" s="53" t="s">
        <v>19</v>
      </c>
      <c r="DR7" s="51" t="s">
        <v>500</v>
      </c>
      <c r="DS7" s="291">
        <f>(DS10*DS12*DS8)+(DS11*DS13*DS9)</f>
        <v>6036590</v>
      </c>
      <c r="DT7" s="53" t="s">
        <v>149</v>
      </c>
      <c r="DV7" s="289">
        <v>1000</v>
      </c>
      <c r="DW7" s="53" t="s">
        <v>115</v>
      </c>
      <c r="DX7" s="51" t="s">
        <v>38</v>
      </c>
      <c r="DY7" s="287">
        <f>B45</f>
        <v>2.1999999999999999E-5</v>
      </c>
      <c r="EA7" s="51" t="s">
        <v>38</v>
      </c>
      <c r="EB7" s="287">
        <f>B45</f>
        <v>2.1999999999999999E-5</v>
      </c>
      <c r="EC7" s="77"/>
      <c r="ED7" s="51" t="s">
        <v>38</v>
      </c>
      <c r="EE7" s="287">
        <f>B45</f>
        <v>2.1999999999999999E-5</v>
      </c>
      <c r="EF7" s="77"/>
      <c r="EG7" s="51" t="s">
        <v>501</v>
      </c>
      <c r="EH7" s="312">
        <f>(EH12*EH10*EH8)+(EH13*EH11*EH9)</f>
        <v>2202410</v>
      </c>
      <c r="EI7" s="53" t="s">
        <v>149</v>
      </c>
      <c r="EK7" s="289">
        <v>1000</v>
      </c>
      <c r="EL7" s="53" t="s">
        <v>115</v>
      </c>
      <c r="EM7" s="51" t="s">
        <v>38</v>
      </c>
      <c r="EN7" s="287">
        <f>B45</f>
        <v>2.1999999999999999E-5</v>
      </c>
      <c r="EP7" s="51" t="s">
        <v>38</v>
      </c>
      <c r="EQ7" s="287">
        <f>B45</f>
        <v>2.1999999999999999E-5</v>
      </c>
      <c r="ER7" s="77"/>
      <c r="ES7" s="51" t="s">
        <v>38</v>
      </c>
      <c r="ET7" s="287">
        <f>B45</f>
        <v>2.1999999999999999E-5</v>
      </c>
      <c r="EU7" s="77"/>
      <c r="EV7" s="51" t="s">
        <v>171</v>
      </c>
      <c r="EW7" s="312">
        <f>(EW10*EW12*EW8)+(EW11*EW13*EW9)</f>
        <v>658455</v>
      </c>
      <c r="EX7" s="53" t="s">
        <v>149</v>
      </c>
      <c r="EY7" s="77"/>
      <c r="EZ7" s="293">
        <v>1000</v>
      </c>
      <c r="FA7" s="51" t="s">
        <v>149</v>
      </c>
      <c r="FB7" s="51" t="s">
        <v>38</v>
      </c>
      <c r="FC7" s="305">
        <f>B45</f>
        <v>2.1999999999999999E-5</v>
      </c>
      <c r="FD7" s="51"/>
      <c r="FE7" s="51" t="s">
        <v>38</v>
      </c>
      <c r="FF7" s="305">
        <f>B45</f>
        <v>2.1999999999999999E-5</v>
      </c>
      <c r="FG7" s="77"/>
      <c r="FH7" s="77" t="s">
        <v>38</v>
      </c>
      <c r="FI7" s="290">
        <f>B45</f>
        <v>2.1999999999999999E-5</v>
      </c>
      <c r="FJ7" s="77"/>
      <c r="FK7" s="51" t="s">
        <v>502</v>
      </c>
      <c r="FL7" s="312">
        <f>(FL12*FL8*FL10)+(FL13*FL9*FL11)</f>
        <v>1918140.0000000002</v>
      </c>
      <c r="FM7" s="53" t="s">
        <v>149</v>
      </c>
      <c r="FN7" s="77"/>
      <c r="FS7" s="77"/>
      <c r="FT7" s="154" t="s">
        <v>494</v>
      </c>
      <c r="FU7" s="307">
        <f>FL14</f>
        <v>40</v>
      </c>
      <c r="FV7" s="154" t="s">
        <v>69</v>
      </c>
      <c r="FW7" s="51"/>
      <c r="FX7" s="305"/>
      <c r="FY7" s="51"/>
      <c r="FZ7" s="51" t="s">
        <v>503</v>
      </c>
      <c r="GA7" s="312">
        <f>(GA10*GA8*GA12)+(GA13*GA9*GA11)</f>
        <v>1318099.9999999998</v>
      </c>
      <c r="GB7" s="53" t="s">
        <v>149</v>
      </c>
      <c r="GC7" s="77"/>
      <c r="GD7" s="293">
        <v>1000</v>
      </c>
      <c r="GE7" s="51" t="s">
        <v>149</v>
      </c>
      <c r="GF7" s="51" t="s">
        <v>38</v>
      </c>
      <c r="GG7" s="305">
        <f>B45</f>
        <v>2.1999999999999999E-5</v>
      </c>
      <c r="GH7" s="51"/>
      <c r="GI7" s="51" t="s">
        <v>38</v>
      </c>
      <c r="GJ7" s="305">
        <f>B45</f>
        <v>2.1999999999999999E-5</v>
      </c>
      <c r="GK7" s="51"/>
      <c r="GL7" s="51" t="s">
        <v>38</v>
      </c>
      <c r="GM7" s="305">
        <f>B45</f>
        <v>2.1999999999999999E-5</v>
      </c>
      <c r="GN7" s="77"/>
      <c r="GO7" s="51" t="s">
        <v>172</v>
      </c>
      <c r="GP7" s="312">
        <f>(GP12*GP8*GP10)+(GP13*GP9*GP11)</f>
        <v>1203860.0000000002</v>
      </c>
      <c r="GQ7" s="53" t="s">
        <v>149</v>
      </c>
      <c r="GS7" s="293">
        <v>1000</v>
      </c>
      <c r="GT7" s="51" t="s">
        <v>149</v>
      </c>
      <c r="GU7" s="51" t="s">
        <v>38</v>
      </c>
      <c r="GV7" s="305">
        <f>B45</f>
        <v>2.1999999999999999E-5</v>
      </c>
      <c r="GW7" s="51"/>
      <c r="GX7" s="51" t="s">
        <v>38</v>
      </c>
      <c r="GY7" s="305">
        <f>B45</f>
        <v>2.1999999999999999E-5</v>
      </c>
      <c r="GZ7" s="51"/>
      <c r="HA7" s="51" t="s">
        <v>38</v>
      </c>
      <c r="HB7" s="305">
        <f>B45</f>
        <v>2.1999999999999999E-5</v>
      </c>
      <c r="HC7" s="77"/>
      <c r="HD7" s="51" t="s">
        <v>23</v>
      </c>
      <c r="HE7" s="288">
        <f>0.693/HE8</f>
        <v>1.6034243405830633E-3</v>
      </c>
    </row>
    <row r="8" spans="1:214" x14ac:dyDescent="0.2">
      <c r="A8" s="160" t="s">
        <v>458</v>
      </c>
      <c r="B8" s="70">
        <v>1.35E-4</v>
      </c>
      <c r="C8" s="161"/>
      <c r="D8" s="53" t="s">
        <v>338</v>
      </c>
      <c r="E8" s="289">
        <f>B69</f>
        <v>350</v>
      </c>
      <c r="F8" s="53" t="s">
        <v>26</v>
      </c>
      <c r="G8" s="52" t="s">
        <v>161</v>
      </c>
      <c r="H8" s="287">
        <f>B29</f>
        <v>1.319423256E-13</v>
      </c>
      <c r="I8" s="77" t="s">
        <v>35</v>
      </c>
      <c r="J8" s="51" t="s">
        <v>71</v>
      </c>
      <c r="K8" s="287">
        <f>B23</f>
        <v>2.767285944E-8</v>
      </c>
      <c r="L8" s="51" t="s">
        <v>445</v>
      </c>
      <c r="M8" s="52" t="s">
        <v>270</v>
      </c>
      <c r="N8" s="287">
        <f>B31</f>
        <v>432.2</v>
      </c>
      <c r="O8" s="53" t="s">
        <v>69</v>
      </c>
      <c r="P8" s="52" t="s">
        <v>270</v>
      </c>
      <c r="Q8" s="287">
        <f>B31</f>
        <v>432.2</v>
      </c>
      <c r="R8" s="139" t="s">
        <v>69</v>
      </c>
      <c r="S8" s="52" t="s">
        <v>270</v>
      </c>
      <c r="T8" s="287">
        <f>B31</f>
        <v>432.2</v>
      </c>
      <c r="U8" s="139" t="s">
        <v>69</v>
      </c>
      <c r="V8" s="53" t="s">
        <v>431</v>
      </c>
      <c r="W8" s="289">
        <f>B244</f>
        <v>225</v>
      </c>
      <c r="X8" s="53" t="s">
        <v>165</v>
      </c>
      <c r="Y8" s="139" t="s">
        <v>425</v>
      </c>
      <c r="Z8" s="289">
        <f>B220</f>
        <v>250</v>
      </c>
      <c r="AA8" s="53" t="s">
        <v>165</v>
      </c>
      <c r="AB8" s="51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51" t="s">
        <v>26</v>
      </c>
      <c r="AI8" s="52" t="s">
        <v>270</v>
      </c>
      <c r="AJ8" s="287">
        <f>B31</f>
        <v>432.2</v>
      </c>
      <c r="AK8" s="53" t="s">
        <v>69</v>
      </c>
      <c r="AL8" s="52" t="s">
        <v>270</v>
      </c>
      <c r="AM8" s="287">
        <f>B31</f>
        <v>432.2</v>
      </c>
      <c r="AN8" s="53" t="s">
        <v>69</v>
      </c>
      <c r="AO8" s="52" t="s">
        <v>270</v>
      </c>
      <c r="AP8" s="287">
        <f>B31</f>
        <v>432.2</v>
      </c>
      <c r="AQ8" s="53" t="s">
        <v>69</v>
      </c>
      <c r="AR8" s="52" t="s">
        <v>270</v>
      </c>
      <c r="AS8" s="287">
        <f>B31</f>
        <v>432.2</v>
      </c>
      <c r="AT8" s="152" t="s">
        <v>69</v>
      </c>
      <c r="AU8" s="52" t="s">
        <v>270</v>
      </c>
      <c r="AV8" s="287">
        <f>B31</f>
        <v>432.2</v>
      </c>
      <c r="AW8" s="152" t="s">
        <v>69</v>
      </c>
      <c r="AX8" s="52" t="s">
        <v>270</v>
      </c>
      <c r="AY8" s="287">
        <f>B31</f>
        <v>432.2</v>
      </c>
      <c r="AZ8" s="152" t="s">
        <v>69</v>
      </c>
      <c r="BA8" s="52" t="s">
        <v>270</v>
      </c>
      <c r="BB8" s="287">
        <f>B31</f>
        <v>432.2</v>
      </c>
      <c r="BC8" s="53" t="s">
        <v>69</v>
      </c>
      <c r="BD8" s="52" t="s">
        <v>270</v>
      </c>
      <c r="BE8" s="287">
        <f>B31</f>
        <v>432.2</v>
      </c>
      <c r="BF8" s="53" t="s">
        <v>69</v>
      </c>
      <c r="BG8" s="52" t="s">
        <v>270</v>
      </c>
      <c r="BH8" s="287">
        <f>B31</f>
        <v>432.2</v>
      </c>
      <c r="BI8" s="53" t="s">
        <v>69</v>
      </c>
      <c r="BJ8" s="52" t="s">
        <v>270</v>
      </c>
      <c r="BK8" s="287">
        <f>B31</f>
        <v>432.2</v>
      </c>
      <c r="BL8" s="53" t="s">
        <v>69</v>
      </c>
      <c r="BM8" s="52" t="s">
        <v>270</v>
      </c>
      <c r="BN8" s="287">
        <f>B31</f>
        <v>432.2</v>
      </c>
      <c r="BO8" s="152" t="s">
        <v>69</v>
      </c>
      <c r="BP8" s="52" t="s">
        <v>270</v>
      </c>
      <c r="BQ8" s="287">
        <f>B31</f>
        <v>432.2</v>
      </c>
      <c r="BR8" s="152" t="s">
        <v>69</v>
      </c>
      <c r="BS8" s="94" t="s">
        <v>157</v>
      </c>
      <c r="BT8" s="289">
        <f>B112</f>
        <v>75</v>
      </c>
      <c r="BU8" s="94" t="s">
        <v>26</v>
      </c>
      <c r="BV8" s="52" t="s">
        <v>251</v>
      </c>
      <c r="BW8" s="287">
        <f>B29</f>
        <v>1.319423256E-13</v>
      </c>
      <c r="BX8" s="77" t="s">
        <v>35</v>
      </c>
      <c r="BY8" s="51" t="s">
        <v>71</v>
      </c>
      <c r="BZ8" s="287">
        <f>B23</f>
        <v>2.767285944E-8</v>
      </c>
      <c r="CA8" s="51" t="s">
        <v>95</v>
      </c>
      <c r="CB8" s="52" t="s">
        <v>270</v>
      </c>
      <c r="CC8" s="287">
        <f>B31</f>
        <v>432.2</v>
      </c>
      <c r="CD8" s="53" t="s">
        <v>69</v>
      </c>
      <c r="CE8" s="52" t="s">
        <v>270</v>
      </c>
      <c r="CF8" s="287">
        <f>B31</f>
        <v>432.2</v>
      </c>
      <c r="CG8" s="152" t="s">
        <v>69</v>
      </c>
      <c r="CH8" s="52" t="s">
        <v>270</v>
      </c>
      <c r="CI8" s="287">
        <f>B31</f>
        <v>432.2</v>
      </c>
      <c r="CJ8" s="152" t="s">
        <v>69</v>
      </c>
      <c r="CK8" s="227" t="s">
        <v>59</v>
      </c>
      <c r="CL8" s="289">
        <f>B109</f>
        <v>26</v>
      </c>
      <c r="CM8" s="230" t="s">
        <v>169</v>
      </c>
      <c r="CN8" s="229" t="s">
        <v>38</v>
      </c>
      <c r="CO8" s="287">
        <f>B45</f>
        <v>2.1999999999999999E-5</v>
      </c>
      <c r="CP8" s="227"/>
      <c r="CQ8" s="227"/>
      <c r="CS8" s="227"/>
      <c r="CT8" s="51" t="s">
        <v>71</v>
      </c>
      <c r="CU8" s="287">
        <f>B23</f>
        <v>2.767285944E-8</v>
      </c>
      <c r="CV8" s="51" t="s">
        <v>95</v>
      </c>
      <c r="CW8" s="53" t="s">
        <v>25</v>
      </c>
      <c r="CX8" s="289">
        <f>B159</f>
        <v>350</v>
      </c>
      <c r="CY8" s="53" t="s">
        <v>34</v>
      </c>
      <c r="CZ8" s="51" t="s">
        <v>161</v>
      </c>
      <c r="DA8" s="309">
        <f>B29</f>
        <v>1.319423256E-13</v>
      </c>
      <c r="DB8" s="51" t="s">
        <v>35</v>
      </c>
      <c r="DC8" s="153" t="s">
        <v>380</v>
      </c>
      <c r="DD8" s="297">
        <f>B139</f>
        <v>68.099999999999994</v>
      </c>
      <c r="DE8" s="80" t="s">
        <v>254</v>
      </c>
      <c r="DF8" s="51" t="s">
        <v>41</v>
      </c>
      <c r="DG8" s="289">
        <v>3.62</v>
      </c>
      <c r="DH8" s="53" t="s">
        <v>42</v>
      </c>
      <c r="DI8" s="152" t="s">
        <v>330</v>
      </c>
      <c r="DJ8" s="289">
        <f>B48</f>
        <v>0.26</v>
      </c>
      <c r="DL8" s="152" t="s">
        <v>330</v>
      </c>
      <c r="DM8" s="289">
        <f>B48</f>
        <v>0.26</v>
      </c>
      <c r="DO8" s="51" t="s">
        <v>41</v>
      </c>
      <c r="DP8" s="289">
        <f>B181</f>
        <v>3.62</v>
      </c>
      <c r="DQ8" s="53" t="s">
        <v>42</v>
      </c>
      <c r="DR8" s="153" t="s">
        <v>479</v>
      </c>
      <c r="DS8" s="297">
        <f>B143</f>
        <v>349.5</v>
      </c>
      <c r="DT8" s="80" t="s">
        <v>254</v>
      </c>
      <c r="DU8" s="53" t="s">
        <v>287</v>
      </c>
      <c r="DV8" s="297">
        <v>1.03</v>
      </c>
      <c r="DW8" s="53" t="s">
        <v>288</v>
      </c>
      <c r="DX8" s="152" t="s">
        <v>331</v>
      </c>
      <c r="DY8" s="289">
        <f>B49</f>
        <v>0.25</v>
      </c>
      <c r="EA8" s="152" t="s">
        <v>331</v>
      </c>
      <c r="EB8" s="289">
        <f>B49</f>
        <v>0.25</v>
      </c>
      <c r="EC8" s="77"/>
      <c r="ED8" s="152" t="s">
        <v>331</v>
      </c>
      <c r="EE8" s="289">
        <f>B49</f>
        <v>0.25</v>
      </c>
      <c r="EF8" s="77"/>
      <c r="EG8" s="153" t="s">
        <v>481</v>
      </c>
      <c r="EH8" s="297">
        <f>B145</f>
        <v>40.1</v>
      </c>
      <c r="EI8" s="80" t="s">
        <v>254</v>
      </c>
      <c r="EJ8" s="51"/>
      <c r="EM8" s="152" t="s">
        <v>331</v>
      </c>
      <c r="EN8" s="289">
        <f>B49</f>
        <v>0.25</v>
      </c>
      <c r="EP8" s="152" t="s">
        <v>331</v>
      </c>
      <c r="EQ8" s="289">
        <f>B49</f>
        <v>0.25</v>
      </c>
      <c r="ER8" s="77"/>
      <c r="ES8" s="152" t="s">
        <v>331</v>
      </c>
      <c r="ET8" s="289">
        <f>B49</f>
        <v>0.25</v>
      </c>
      <c r="EU8" s="77"/>
      <c r="EV8" s="153" t="s">
        <v>326</v>
      </c>
      <c r="EW8" s="297">
        <f>B147</f>
        <v>10.95</v>
      </c>
      <c r="EX8" s="80" t="s">
        <v>254</v>
      </c>
      <c r="EY8" s="77"/>
      <c r="EZ8" s="293"/>
      <c r="FA8" s="51"/>
      <c r="FB8" s="51" t="s">
        <v>175</v>
      </c>
      <c r="FC8" s="293">
        <f>B49</f>
        <v>0.25</v>
      </c>
      <c r="FD8" s="51"/>
      <c r="FE8" s="51" t="s">
        <v>175</v>
      </c>
      <c r="FF8" s="293">
        <f>B49</f>
        <v>0.25</v>
      </c>
      <c r="FG8" s="77"/>
      <c r="FH8" s="77" t="s">
        <v>175</v>
      </c>
      <c r="FI8" s="307">
        <f>B49</f>
        <v>0.25</v>
      </c>
      <c r="FJ8" s="77"/>
      <c r="FK8" s="153" t="s">
        <v>483</v>
      </c>
      <c r="FL8" s="298">
        <f>B149</f>
        <v>32.799999999999997</v>
      </c>
      <c r="FM8" s="80" t="s">
        <v>254</v>
      </c>
      <c r="FN8" s="77"/>
      <c r="FO8" s="307"/>
      <c r="FP8" s="77"/>
      <c r="FS8" s="77"/>
      <c r="FT8" s="77"/>
      <c r="FU8" s="307"/>
      <c r="FV8" s="77"/>
      <c r="FW8" s="51"/>
      <c r="FX8" s="293"/>
      <c r="FY8" s="51"/>
      <c r="FZ8" s="153" t="s">
        <v>324</v>
      </c>
      <c r="GA8" s="298">
        <f>B151</f>
        <v>23.6</v>
      </c>
      <c r="GB8" s="80" t="s">
        <v>254</v>
      </c>
      <c r="GC8" s="77"/>
      <c r="GD8" s="293"/>
      <c r="GE8" s="51"/>
      <c r="GF8" s="152" t="s">
        <v>331</v>
      </c>
      <c r="GG8" s="293">
        <f>B49</f>
        <v>0.25</v>
      </c>
      <c r="GH8" s="51"/>
      <c r="GI8" s="152" t="s">
        <v>331</v>
      </c>
      <c r="GJ8" s="293">
        <f>B49</f>
        <v>0.25</v>
      </c>
      <c r="GK8" s="51"/>
      <c r="GL8" s="152" t="s">
        <v>331</v>
      </c>
      <c r="GM8" s="293">
        <f>B49</f>
        <v>0.25</v>
      </c>
      <c r="GN8" s="77"/>
      <c r="GO8" s="51" t="s">
        <v>328</v>
      </c>
      <c r="GP8" s="298">
        <f>B153</f>
        <v>18.5</v>
      </c>
      <c r="GQ8" s="80" t="s">
        <v>254</v>
      </c>
      <c r="GR8" s="77"/>
      <c r="GS8" s="293"/>
      <c r="GT8" s="51"/>
      <c r="GU8" s="152" t="s">
        <v>331</v>
      </c>
      <c r="GV8" s="293">
        <f>B49</f>
        <v>0.25</v>
      </c>
      <c r="GW8" s="51"/>
      <c r="GX8" s="152" t="s">
        <v>331</v>
      </c>
      <c r="GY8" s="293">
        <f>B49</f>
        <v>0.25</v>
      </c>
      <c r="GZ8" s="51"/>
      <c r="HA8" s="152" t="s">
        <v>331</v>
      </c>
      <c r="HB8" s="293">
        <f>B49</f>
        <v>0.25</v>
      </c>
      <c r="HC8" s="77"/>
      <c r="HD8" s="52" t="s">
        <v>270</v>
      </c>
      <c r="HE8" s="287">
        <f>B31</f>
        <v>432.2</v>
      </c>
      <c r="HF8" s="53" t="s">
        <v>69</v>
      </c>
    </row>
    <row r="9" spans="1:214" x14ac:dyDescent="0.2">
      <c r="A9" s="160" t="s">
        <v>459</v>
      </c>
      <c r="B9" s="70">
        <v>0.71099999999999997</v>
      </c>
      <c r="C9" s="161"/>
      <c r="D9" s="53" t="s">
        <v>341</v>
      </c>
      <c r="E9" s="289">
        <f>B66</f>
        <v>26</v>
      </c>
      <c r="F9" s="53" t="s">
        <v>69</v>
      </c>
      <c r="G9" s="51" t="s">
        <v>438</v>
      </c>
      <c r="H9" s="287">
        <f>B30</f>
        <v>1.3357000000000001E-10</v>
      </c>
      <c r="I9" s="80" t="s">
        <v>35</v>
      </c>
      <c r="J9" s="51" t="s">
        <v>438</v>
      </c>
      <c r="K9" s="287">
        <f>B30</f>
        <v>1.3357000000000001E-10</v>
      </c>
      <c r="L9" s="80" t="s">
        <v>35</v>
      </c>
      <c r="M9" s="140" t="s">
        <v>338</v>
      </c>
      <c r="N9" s="289">
        <f>B68</f>
        <v>350</v>
      </c>
      <c r="O9" s="53" t="s">
        <v>26</v>
      </c>
      <c r="P9" s="140" t="s">
        <v>338</v>
      </c>
      <c r="Q9" s="289">
        <v>350</v>
      </c>
      <c r="R9" s="139" t="s">
        <v>26</v>
      </c>
      <c r="S9" s="140" t="s">
        <v>338</v>
      </c>
      <c r="T9" s="289">
        <v>350</v>
      </c>
      <c r="U9" s="139" t="s">
        <v>26</v>
      </c>
      <c r="V9" s="53" t="s">
        <v>432</v>
      </c>
      <c r="W9" s="289">
        <f>B245</f>
        <v>25</v>
      </c>
      <c r="X9" s="53" t="s">
        <v>169</v>
      </c>
      <c r="Y9" s="139" t="s">
        <v>75</v>
      </c>
      <c r="Z9" s="289">
        <f>B221</f>
        <v>25</v>
      </c>
      <c r="AA9" s="53" t="s">
        <v>169</v>
      </c>
      <c r="AB9" s="51" t="s">
        <v>317</v>
      </c>
      <c r="AC9" s="287">
        <f>B22</f>
        <v>9.1019999999999999E-11</v>
      </c>
      <c r="AD9" s="287">
        <f>B22</f>
        <v>9.1019999999999999E-11</v>
      </c>
      <c r="AE9" s="287">
        <f>B22</f>
        <v>9.1019999999999999E-11</v>
      </c>
      <c r="AF9" s="287">
        <f>B22</f>
        <v>9.1019999999999999E-11</v>
      </c>
      <c r="AG9" s="287">
        <f>B22</f>
        <v>9.1019999999999999E-11</v>
      </c>
      <c r="AH9" s="51" t="s">
        <v>35</v>
      </c>
      <c r="AI9" s="153" t="s">
        <v>40</v>
      </c>
      <c r="AJ9" s="289">
        <f>B232</f>
        <v>250</v>
      </c>
      <c r="AK9" s="152" t="s">
        <v>26</v>
      </c>
      <c r="AL9" s="153" t="s">
        <v>40</v>
      </c>
      <c r="AM9" s="289">
        <f>B232</f>
        <v>250</v>
      </c>
      <c r="AN9" s="152" t="s">
        <v>26</v>
      </c>
      <c r="AO9" s="153" t="s">
        <v>40</v>
      </c>
      <c r="AP9" s="289">
        <f>B232</f>
        <v>250</v>
      </c>
      <c r="AQ9" s="152" t="s">
        <v>26</v>
      </c>
      <c r="AR9" s="153" t="s">
        <v>431</v>
      </c>
      <c r="AS9" s="289">
        <f>B244</f>
        <v>225</v>
      </c>
      <c r="AT9" s="152" t="s">
        <v>26</v>
      </c>
      <c r="AU9" s="153" t="s">
        <v>431</v>
      </c>
      <c r="AV9" s="289">
        <f>B244</f>
        <v>225</v>
      </c>
      <c r="AW9" s="152" t="s">
        <v>26</v>
      </c>
      <c r="AX9" s="153" t="s">
        <v>431</v>
      </c>
      <c r="AY9" s="289">
        <f>B244</f>
        <v>225</v>
      </c>
      <c r="AZ9" s="152" t="s">
        <v>26</v>
      </c>
      <c r="BA9" s="153" t="s">
        <v>425</v>
      </c>
      <c r="BB9" s="289">
        <f>B220</f>
        <v>250</v>
      </c>
      <c r="BC9" s="152" t="s">
        <v>26</v>
      </c>
      <c r="BD9" s="153" t="s">
        <v>425</v>
      </c>
      <c r="BE9" s="289">
        <f>B220</f>
        <v>250</v>
      </c>
      <c r="BF9" s="53" t="s">
        <v>26</v>
      </c>
      <c r="BG9" s="153" t="s">
        <v>425</v>
      </c>
      <c r="BH9" s="289">
        <f>B220</f>
        <v>250</v>
      </c>
      <c r="BI9" s="152" t="s">
        <v>26</v>
      </c>
      <c r="BJ9" s="153" t="s">
        <v>221</v>
      </c>
      <c r="BK9" s="289">
        <f>B256</f>
        <v>130</v>
      </c>
      <c r="BL9" s="53" t="s">
        <v>26</v>
      </c>
      <c r="BM9" s="153" t="s">
        <v>221</v>
      </c>
      <c r="BN9" s="289">
        <f>B256</f>
        <v>130</v>
      </c>
      <c r="BO9" s="152" t="s">
        <v>26</v>
      </c>
      <c r="BP9" s="153" t="s">
        <v>221</v>
      </c>
      <c r="BQ9" s="289">
        <f>B256</f>
        <v>130</v>
      </c>
      <c r="BR9" s="152" t="s">
        <v>26</v>
      </c>
      <c r="BS9" s="94" t="s">
        <v>59</v>
      </c>
      <c r="BT9" s="289">
        <f>B109</f>
        <v>26</v>
      </c>
      <c r="BU9" s="157" t="s">
        <v>69</v>
      </c>
      <c r="BV9" s="233" t="s">
        <v>256</v>
      </c>
      <c r="BW9" s="189">
        <f>B30</f>
        <v>1.3357000000000001E-10</v>
      </c>
      <c r="BX9" s="234" t="s">
        <v>35</v>
      </c>
      <c r="BY9" s="233" t="s">
        <v>96</v>
      </c>
      <c r="BZ9" s="189">
        <f>B32</f>
        <v>1359344473.5814338</v>
      </c>
      <c r="CA9" s="233" t="s">
        <v>97</v>
      </c>
      <c r="CB9" s="53" t="s">
        <v>157</v>
      </c>
      <c r="CC9" s="289">
        <f>B112</f>
        <v>75</v>
      </c>
      <c r="CD9" s="53" t="s">
        <v>26</v>
      </c>
      <c r="CE9" s="152" t="s">
        <v>157</v>
      </c>
      <c r="CF9" s="289">
        <f>B112</f>
        <v>75</v>
      </c>
      <c r="CG9" s="152" t="s">
        <v>26</v>
      </c>
      <c r="CH9" s="152" t="s">
        <v>157</v>
      </c>
      <c r="CI9" s="289">
        <f>B112</f>
        <v>75</v>
      </c>
      <c r="CJ9" s="152" t="s">
        <v>26</v>
      </c>
      <c r="CK9" s="227" t="s">
        <v>187</v>
      </c>
      <c r="CL9" s="306">
        <f>B105</f>
        <v>1</v>
      </c>
      <c r="CM9" s="227" t="s">
        <v>254</v>
      </c>
      <c r="CN9" s="229" t="s">
        <v>331</v>
      </c>
      <c r="CO9" s="306">
        <f>B49</f>
        <v>0.25</v>
      </c>
      <c r="CP9" s="227"/>
      <c r="CQ9" s="227"/>
      <c r="CS9" s="227"/>
      <c r="CT9" s="51" t="s">
        <v>256</v>
      </c>
      <c r="CU9" s="287">
        <f>B30</f>
        <v>1.3357000000000001E-10</v>
      </c>
      <c r="CV9" s="80" t="s">
        <v>35</v>
      </c>
      <c r="CW9" s="53" t="s">
        <v>39</v>
      </c>
      <c r="CX9" s="289">
        <f>B157</f>
        <v>40</v>
      </c>
      <c r="CY9" s="152" t="s">
        <v>69</v>
      </c>
      <c r="CZ9" s="51" t="s">
        <v>256</v>
      </c>
      <c r="DA9" s="287">
        <f>B30</f>
        <v>1.3357000000000001E-10</v>
      </c>
      <c r="DB9" s="77" t="s">
        <v>35</v>
      </c>
      <c r="DC9" s="153" t="s">
        <v>381</v>
      </c>
      <c r="DD9" s="297">
        <f>B140</f>
        <v>176.8</v>
      </c>
      <c r="DE9" s="80" t="s">
        <v>254</v>
      </c>
      <c r="DF9" s="51" t="s">
        <v>46</v>
      </c>
      <c r="DG9" s="289">
        <v>0.25</v>
      </c>
      <c r="DH9" s="53" t="s">
        <v>47</v>
      </c>
      <c r="DL9" s="154" t="s">
        <v>494</v>
      </c>
      <c r="DM9" s="307">
        <f>DD17</f>
        <v>40</v>
      </c>
      <c r="DN9" s="154" t="s">
        <v>69</v>
      </c>
      <c r="DO9" s="51" t="s">
        <v>46</v>
      </c>
      <c r="DP9" s="289">
        <f>B182</f>
        <v>0.25</v>
      </c>
      <c r="DQ9" s="53" t="s">
        <v>47</v>
      </c>
      <c r="DR9" s="153" t="s">
        <v>480</v>
      </c>
      <c r="DS9" s="297">
        <f>B144</f>
        <v>445.6</v>
      </c>
      <c r="DT9" s="80" t="s">
        <v>254</v>
      </c>
      <c r="DU9" s="51"/>
      <c r="DX9" s="153" t="s">
        <v>278</v>
      </c>
      <c r="DY9" s="287">
        <f>B37</f>
        <v>4.2E-7</v>
      </c>
      <c r="EA9" s="153" t="s">
        <v>278</v>
      </c>
      <c r="EB9" s="287">
        <f>B37</f>
        <v>4.2E-7</v>
      </c>
      <c r="EC9" s="77"/>
      <c r="ED9" s="153" t="s">
        <v>278</v>
      </c>
      <c r="EE9" s="287">
        <f>B37</f>
        <v>4.2E-7</v>
      </c>
      <c r="EF9" s="77"/>
      <c r="EG9" s="153" t="s">
        <v>482</v>
      </c>
      <c r="EH9" s="297">
        <f>B146</f>
        <v>178</v>
      </c>
      <c r="EI9" s="80" t="s">
        <v>254</v>
      </c>
      <c r="EJ9" s="51"/>
      <c r="EM9" s="153" t="s">
        <v>275</v>
      </c>
      <c r="EN9" s="287">
        <f>B38</f>
        <v>5.0000000000000001E-4</v>
      </c>
      <c r="EP9" s="153" t="s">
        <v>275</v>
      </c>
      <c r="EQ9" s="310">
        <f>B38</f>
        <v>5.0000000000000001E-4</v>
      </c>
      <c r="ER9" s="77"/>
      <c r="ES9" s="153" t="s">
        <v>275</v>
      </c>
      <c r="ET9" s="310">
        <f>B38</f>
        <v>5.0000000000000001E-4</v>
      </c>
      <c r="EU9" s="77"/>
      <c r="EV9" s="153" t="s">
        <v>327</v>
      </c>
      <c r="EW9" s="297">
        <f>B148</f>
        <v>53.4</v>
      </c>
      <c r="EX9" s="80" t="s">
        <v>254</v>
      </c>
      <c r="EY9" s="77"/>
      <c r="EZ9" s="293"/>
      <c r="FA9" s="51"/>
      <c r="FB9" s="51" t="s">
        <v>201</v>
      </c>
      <c r="FC9" s="310">
        <f>B40</f>
        <v>3.0000000000000001E-3</v>
      </c>
      <c r="FD9" s="51"/>
      <c r="FE9" s="51" t="s">
        <v>201</v>
      </c>
      <c r="FF9" s="310">
        <f>B40</f>
        <v>3.0000000000000001E-3</v>
      </c>
      <c r="FG9" s="77"/>
      <c r="FH9" s="51" t="s">
        <v>201</v>
      </c>
      <c r="FI9" s="310">
        <f>B40</f>
        <v>3.0000000000000001E-3</v>
      </c>
      <c r="FJ9" s="77"/>
      <c r="FK9" s="153" t="s">
        <v>484</v>
      </c>
      <c r="FL9" s="298">
        <f>B150</f>
        <v>155.4</v>
      </c>
      <c r="FM9" s="80" t="s">
        <v>254</v>
      </c>
      <c r="FN9" s="77"/>
      <c r="FO9" s="307"/>
      <c r="FP9" s="77"/>
      <c r="FS9" s="77"/>
      <c r="FT9" s="77"/>
      <c r="FU9" s="308"/>
      <c r="FV9" s="77"/>
      <c r="FW9" s="51"/>
      <c r="FX9" s="308"/>
      <c r="FY9" s="51"/>
      <c r="FZ9" s="153" t="s">
        <v>325</v>
      </c>
      <c r="GA9" s="298">
        <f>B152</f>
        <v>106.6</v>
      </c>
      <c r="GB9" s="80" t="s">
        <v>254</v>
      </c>
      <c r="GC9" s="77"/>
      <c r="GD9" s="293"/>
      <c r="GE9" s="51"/>
      <c r="GF9" s="51" t="s">
        <v>276</v>
      </c>
      <c r="GG9" s="310">
        <f>B39</f>
        <v>6.0000000000000001E-3</v>
      </c>
      <c r="GH9" s="51"/>
      <c r="GI9" s="51" t="s">
        <v>276</v>
      </c>
      <c r="GJ9" s="310">
        <f>B39</f>
        <v>6.0000000000000001E-3</v>
      </c>
      <c r="GK9" s="51"/>
      <c r="GL9" s="51" t="s">
        <v>276</v>
      </c>
      <c r="GM9" s="310">
        <f>B39</f>
        <v>6.0000000000000001E-3</v>
      </c>
      <c r="GN9" s="77"/>
      <c r="GO9" s="51" t="s">
        <v>329</v>
      </c>
      <c r="GP9" s="298">
        <f>B154</f>
        <v>97.9</v>
      </c>
      <c r="GQ9" s="80" t="s">
        <v>254</v>
      </c>
      <c r="GR9" s="77"/>
      <c r="GS9" s="293"/>
      <c r="GT9" s="51"/>
      <c r="GU9" s="51" t="s">
        <v>277</v>
      </c>
      <c r="GV9" s="310">
        <f>B41</f>
        <v>1.7000000000000001E-4</v>
      </c>
      <c r="GW9" s="51"/>
      <c r="GX9" s="51" t="s">
        <v>277</v>
      </c>
      <c r="GY9" s="310">
        <f>B41</f>
        <v>1.7000000000000001E-4</v>
      </c>
      <c r="GZ9" s="51"/>
      <c r="HA9" s="51" t="s">
        <v>277</v>
      </c>
      <c r="HB9" s="310">
        <f>B41</f>
        <v>1.7000000000000001E-4</v>
      </c>
      <c r="HC9" s="77"/>
      <c r="HD9" s="77" t="s">
        <v>578</v>
      </c>
      <c r="HE9" s="307">
        <f>B283</f>
        <v>0.3</v>
      </c>
    </row>
    <row r="10" spans="1:214" x14ac:dyDescent="0.2">
      <c r="A10" s="160" t="s">
        <v>460</v>
      </c>
      <c r="B10" s="70">
        <v>2.2599999999999999E-4</v>
      </c>
      <c r="C10" s="185"/>
      <c r="D10" s="88" t="s">
        <v>43</v>
      </c>
      <c r="E10" s="187">
        <f>B19</f>
        <v>3.7739999999999999E-8</v>
      </c>
      <c r="F10" s="188" t="s">
        <v>35</v>
      </c>
      <c r="G10" s="155" t="s">
        <v>80</v>
      </c>
      <c r="H10" s="294">
        <f>H5/(H6*H15)</f>
        <v>0.50436355170392166</v>
      </c>
      <c r="I10" s="86" t="s">
        <v>14</v>
      </c>
      <c r="J10" s="155" t="s">
        <v>96</v>
      </c>
      <c r="K10" s="189">
        <f>B32</f>
        <v>1359344473.5814338</v>
      </c>
      <c r="L10" s="155" t="s">
        <v>97</v>
      </c>
      <c r="M10" s="140" t="s">
        <v>341</v>
      </c>
      <c r="N10" s="289">
        <f>B66</f>
        <v>26</v>
      </c>
      <c r="O10" s="53" t="s">
        <v>69</v>
      </c>
      <c r="P10" s="140" t="s">
        <v>341</v>
      </c>
      <c r="Q10" s="289">
        <f>B66</f>
        <v>26</v>
      </c>
      <c r="R10" s="139" t="s">
        <v>69</v>
      </c>
      <c r="S10" s="140" t="s">
        <v>341</v>
      </c>
      <c r="T10" s="289">
        <f>B66</f>
        <v>26</v>
      </c>
      <c r="U10" s="139" t="s">
        <v>69</v>
      </c>
      <c r="V10" s="53" t="s">
        <v>43</v>
      </c>
      <c r="W10" s="290">
        <f>B19</f>
        <v>3.7739999999999999E-8</v>
      </c>
      <c r="X10" s="77" t="s">
        <v>44</v>
      </c>
      <c r="Y10" s="139" t="s">
        <v>43</v>
      </c>
      <c r="Z10" s="290">
        <f>B19</f>
        <v>3.7739999999999999E-8</v>
      </c>
      <c r="AA10" s="77" t="s">
        <v>44</v>
      </c>
      <c r="AB10" s="51"/>
      <c r="AC10" s="297"/>
      <c r="AD10" s="297"/>
      <c r="AE10" s="297"/>
      <c r="AF10" s="297"/>
      <c r="AG10" s="297"/>
      <c r="AH10" s="51"/>
      <c r="AI10" s="153" t="s">
        <v>429</v>
      </c>
      <c r="AJ10" s="289">
        <f>B233</f>
        <v>25</v>
      </c>
      <c r="AK10" s="152" t="s">
        <v>69</v>
      </c>
      <c r="AL10" s="153" t="s">
        <v>429</v>
      </c>
      <c r="AM10" s="289">
        <f>B233</f>
        <v>25</v>
      </c>
      <c r="AN10" s="152" t="s">
        <v>69</v>
      </c>
      <c r="AO10" s="153" t="s">
        <v>429</v>
      </c>
      <c r="AP10" s="289">
        <f>B233</f>
        <v>25</v>
      </c>
      <c r="AQ10" s="152" t="s">
        <v>69</v>
      </c>
      <c r="AR10" s="153" t="s">
        <v>432</v>
      </c>
      <c r="AS10" s="289">
        <f>B245</f>
        <v>25</v>
      </c>
      <c r="AT10" s="152" t="s">
        <v>69</v>
      </c>
      <c r="AU10" s="153" t="s">
        <v>432</v>
      </c>
      <c r="AV10" s="289">
        <f>B245</f>
        <v>25</v>
      </c>
      <c r="AW10" s="152" t="s">
        <v>69</v>
      </c>
      <c r="AX10" s="153" t="s">
        <v>432</v>
      </c>
      <c r="AY10" s="289">
        <f>B245</f>
        <v>25</v>
      </c>
      <c r="AZ10" s="152" t="s">
        <v>69</v>
      </c>
      <c r="BA10" s="153" t="s">
        <v>75</v>
      </c>
      <c r="BB10" s="289">
        <f>B221</f>
        <v>25</v>
      </c>
      <c r="BC10" s="152" t="s">
        <v>69</v>
      </c>
      <c r="BD10" s="153" t="s">
        <v>75</v>
      </c>
      <c r="BE10" s="289">
        <f>B221</f>
        <v>25</v>
      </c>
      <c r="BF10" s="152" t="s">
        <v>69</v>
      </c>
      <c r="BG10" s="153" t="s">
        <v>75</v>
      </c>
      <c r="BH10" s="289">
        <f>B221</f>
        <v>25</v>
      </c>
      <c r="BI10" s="152" t="s">
        <v>69</v>
      </c>
      <c r="BJ10" s="153" t="s">
        <v>219</v>
      </c>
      <c r="BK10" s="289">
        <f>B280</f>
        <v>26</v>
      </c>
      <c r="BL10" s="53" t="s">
        <v>130</v>
      </c>
      <c r="BM10" s="153" t="s">
        <v>219</v>
      </c>
      <c r="BN10" s="289">
        <f>B280</f>
        <v>26</v>
      </c>
      <c r="BO10" s="152" t="s">
        <v>130</v>
      </c>
      <c r="BP10" s="153" t="s">
        <v>219</v>
      </c>
      <c r="BQ10" s="289">
        <f>B280</f>
        <v>26</v>
      </c>
      <c r="BR10" s="152" t="s">
        <v>130</v>
      </c>
      <c r="BS10" s="53" t="s">
        <v>43</v>
      </c>
      <c r="BT10" s="290">
        <f>E10</f>
        <v>3.7739999999999999E-8</v>
      </c>
      <c r="BU10" s="77" t="s">
        <v>35</v>
      </c>
      <c r="BV10" s="233" t="s">
        <v>80</v>
      </c>
      <c r="BW10" s="294">
        <f>BW5/(BW6*BW12)</f>
        <v>99.000099000099013</v>
      </c>
      <c r="BX10" s="234" t="s">
        <v>12</v>
      </c>
      <c r="BY10" s="188" t="s">
        <v>16</v>
      </c>
      <c r="BZ10" s="191">
        <f>(BZ33*BZ11)/(1-EXP(-BZ11*BZ33))</f>
        <v>1.0209893435208997</v>
      </c>
      <c r="CA10" s="88"/>
      <c r="CB10" s="53" t="s">
        <v>59</v>
      </c>
      <c r="CC10" s="289">
        <f>B109</f>
        <v>26</v>
      </c>
      <c r="CD10" s="152" t="s">
        <v>69</v>
      </c>
      <c r="CE10" s="152" t="s">
        <v>59</v>
      </c>
      <c r="CF10" s="289">
        <f>B109</f>
        <v>26</v>
      </c>
      <c r="CG10" s="152" t="s">
        <v>69</v>
      </c>
      <c r="CH10" s="152" t="s">
        <v>59</v>
      </c>
      <c r="CI10" s="289">
        <f>B109</f>
        <v>26</v>
      </c>
      <c r="CJ10" s="152" t="s">
        <v>69</v>
      </c>
      <c r="CK10" s="266" t="s">
        <v>270</v>
      </c>
      <c r="CL10" s="287">
        <f>B31</f>
        <v>432.2</v>
      </c>
      <c r="CM10" s="249" t="s">
        <v>69</v>
      </c>
      <c r="CN10" s="229" t="s">
        <v>192</v>
      </c>
      <c r="CO10" s="108">
        <f>B120</f>
        <v>1</v>
      </c>
      <c r="CP10" s="227" t="s">
        <v>283</v>
      </c>
      <c r="CQ10" s="227"/>
      <c r="CS10" s="227"/>
      <c r="CT10" s="51" t="s">
        <v>96</v>
      </c>
      <c r="CU10" s="287">
        <f>B32</f>
        <v>1359344473.5814338</v>
      </c>
      <c r="CV10" s="51" t="s">
        <v>97</v>
      </c>
      <c r="CW10" s="53" t="s">
        <v>43</v>
      </c>
      <c r="CX10" s="290">
        <f>B19</f>
        <v>3.7739999999999999E-8</v>
      </c>
      <c r="CY10" s="77" t="s">
        <v>35</v>
      </c>
      <c r="CZ10" s="77" t="s">
        <v>16</v>
      </c>
      <c r="DA10" s="288">
        <f>(DA38*DA11)/(1-EXP(-DA11*DA38))</f>
        <v>1.0324112592609469</v>
      </c>
      <c r="DC10" s="51" t="s">
        <v>499</v>
      </c>
      <c r="DD10" s="312">
        <f>(DD11*DD14*DD15)+(DD12*DD13*DD16)</f>
        <v>1583400</v>
      </c>
      <c r="DE10" s="80" t="s">
        <v>149</v>
      </c>
      <c r="DF10" s="80" t="s">
        <v>37</v>
      </c>
      <c r="DG10" s="287">
        <f>B44</f>
        <v>1.914E-5</v>
      </c>
      <c r="DL10" s="80"/>
      <c r="DO10" s="80" t="s">
        <v>37</v>
      </c>
      <c r="DP10" s="287">
        <f>B44</f>
        <v>1.914E-5</v>
      </c>
      <c r="DR10" s="153" t="s">
        <v>387</v>
      </c>
      <c r="DS10" s="298">
        <f>B158</f>
        <v>350</v>
      </c>
      <c r="DT10" s="51" t="s">
        <v>26</v>
      </c>
      <c r="DU10" s="80"/>
      <c r="DX10" s="153" t="s">
        <v>406</v>
      </c>
      <c r="DY10" s="289">
        <f>B193</f>
        <v>20.3</v>
      </c>
      <c r="EA10" s="153" t="s">
        <v>406</v>
      </c>
      <c r="EB10" s="289">
        <f>B193</f>
        <v>20.3</v>
      </c>
      <c r="EC10" s="77"/>
      <c r="ED10" s="153" t="s">
        <v>406</v>
      </c>
      <c r="EE10" s="289">
        <f>B193</f>
        <v>20.3</v>
      </c>
      <c r="EF10" s="77"/>
      <c r="EG10" s="153" t="s">
        <v>387</v>
      </c>
      <c r="EH10" s="298">
        <f>B158</f>
        <v>350</v>
      </c>
      <c r="EI10" s="51" t="s">
        <v>26</v>
      </c>
      <c r="EJ10" s="80"/>
      <c r="EM10" s="153" t="s">
        <v>410</v>
      </c>
      <c r="EN10" s="289">
        <f>B198</f>
        <v>11.77</v>
      </c>
      <c r="EP10" s="153" t="s">
        <v>410</v>
      </c>
      <c r="EQ10" s="289">
        <f>B198</f>
        <v>11.77</v>
      </c>
      <c r="ER10" s="77"/>
      <c r="ES10" s="153" t="s">
        <v>410</v>
      </c>
      <c r="ET10" s="289">
        <f>B198</f>
        <v>11.77</v>
      </c>
      <c r="EU10" s="77"/>
      <c r="EV10" s="153" t="s">
        <v>387</v>
      </c>
      <c r="EW10" s="298">
        <f>B158</f>
        <v>350</v>
      </c>
      <c r="EX10" s="51" t="s">
        <v>26</v>
      </c>
      <c r="EY10" s="77"/>
      <c r="EZ10" s="293"/>
      <c r="FA10" s="51"/>
      <c r="FB10" s="51" t="s">
        <v>177</v>
      </c>
      <c r="FC10" s="293">
        <f>B203</f>
        <v>0.2</v>
      </c>
      <c r="FD10" s="51"/>
      <c r="FE10" s="51" t="s">
        <v>177</v>
      </c>
      <c r="FF10" s="293">
        <f>B203</f>
        <v>0.2</v>
      </c>
      <c r="FG10" s="77"/>
      <c r="FH10" s="77" t="s">
        <v>177</v>
      </c>
      <c r="FI10" s="293">
        <f>B203</f>
        <v>0.2</v>
      </c>
      <c r="FJ10" s="77"/>
      <c r="FK10" s="153" t="s">
        <v>387</v>
      </c>
      <c r="FL10" s="298">
        <f>B158</f>
        <v>350</v>
      </c>
      <c r="FM10" s="51" t="s">
        <v>26</v>
      </c>
      <c r="FN10" s="77"/>
      <c r="FO10" s="307"/>
      <c r="FP10" s="77"/>
      <c r="FS10" s="77"/>
      <c r="FT10" s="77"/>
      <c r="FU10" s="308"/>
      <c r="FV10" s="77"/>
      <c r="FW10" s="51"/>
      <c r="FX10" s="308"/>
      <c r="FY10" s="51"/>
      <c r="FZ10" s="153" t="s">
        <v>387</v>
      </c>
      <c r="GA10" s="298">
        <f>B158</f>
        <v>350</v>
      </c>
      <c r="GB10" s="51" t="s">
        <v>26</v>
      </c>
      <c r="GC10" s="77"/>
      <c r="GD10" s="293"/>
      <c r="GE10" s="51"/>
      <c r="GF10" s="51" t="s">
        <v>415</v>
      </c>
      <c r="GG10" s="293">
        <f>B208</f>
        <v>0.2</v>
      </c>
      <c r="GH10" s="51"/>
      <c r="GI10" s="51" t="s">
        <v>415</v>
      </c>
      <c r="GJ10" s="293">
        <f>B208</f>
        <v>0.2</v>
      </c>
      <c r="GK10" s="51"/>
      <c r="GL10" s="51" t="s">
        <v>415</v>
      </c>
      <c r="GM10" s="293">
        <f>B208</f>
        <v>0.2</v>
      </c>
      <c r="GN10" s="77"/>
      <c r="GO10" s="153" t="s">
        <v>387</v>
      </c>
      <c r="GP10" s="298">
        <f>B158</f>
        <v>350</v>
      </c>
      <c r="GQ10" s="51" t="s">
        <v>26</v>
      </c>
      <c r="GR10" s="77"/>
      <c r="GS10" s="293"/>
      <c r="GT10" s="51"/>
      <c r="GU10" s="51" t="s">
        <v>419</v>
      </c>
      <c r="GV10" s="293">
        <f>B213</f>
        <v>4.7</v>
      </c>
      <c r="GW10" s="51"/>
      <c r="GX10" s="51" t="s">
        <v>419</v>
      </c>
      <c r="GY10" s="293">
        <f>B213</f>
        <v>4.7</v>
      </c>
      <c r="GZ10" s="51"/>
      <c r="HA10" s="51" t="s">
        <v>419</v>
      </c>
      <c r="HB10" s="293">
        <f>B213</f>
        <v>4.7</v>
      </c>
      <c r="HC10" s="77"/>
      <c r="HD10" s="77" t="s">
        <v>577</v>
      </c>
      <c r="HE10" s="298">
        <f>B282</f>
        <v>1.5</v>
      </c>
    </row>
    <row r="11" spans="1:214" x14ac:dyDescent="0.2">
      <c r="A11" s="160" t="s">
        <v>461</v>
      </c>
      <c r="B11" s="70">
        <v>0.66200000000000003</v>
      </c>
      <c r="C11" s="185"/>
      <c r="D11" s="155" t="s">
        <v>48</v>
      </c>
      <c r="E11" s="190">
        <f>((E14/E15)*E24*E12*E16)+((E15/E15)*E25*E13*E17)</f>
        <v>161000</v>
      </c>
      <c r="F11" s="88" t="s">
        <v>268</v>
      </c>
      <c r="G11" s="155" t="s">
        <v>74</v>
      </c>
      <c r="H11" s="295">
        <f>H5/(H7*H16*H28)</f>
        <v>3.2915633938651839E-4</v>
      </c>
      <c r="I11" s="86" t="s">
        <v>14</v>
      </c>
      <c r="J11" s="188" t="s">
        <v>16</v>
      </c>
      <c r="K11" s="109">
        <f>(K46*K12)/(1-EXP(-K12*K46))</f>
        <v>1.0209893435208997</v>
      </c>
      <c r="L11" s="88"/>
      <c r="M11" s="53" t="s">
        <v>52</v>
      </c>
      <c r="N11" s="289">
        <v>0.4</v>
      </c>
      <c r="P11" s="53" t="s">
        <v>52</v>
      </c>
      <c r="Q11" s="289">
        <v>0.4</v>
      </c>
      <c r="S11" s="53" t="s">
        <v>52</v>
      </c>
      <c r="T11" s="289">
        <v>0.4</v>
      </c>
      <c r="V11" s="53" t="s">
        <v>464</v>
      </c>
      <c r="W11" s="298">
        <f>B251</f>
        <v>8</v>
      </c>
      <c r="X11" s="77" t="s">
        <v>224</v>
      </c>
      <c r="Y11" s="139" t="s">
        <v>473</v>
      </c>
      <c r="Z11" s="298">
        <f>B227+B228</f>
        <v>8</v>
      </c>
      <c r="AA11" s="77" t="s">
        <v>224</v>
      </c>
      <c r="AB11" s="51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51" t="s">
        <v>69</v>
      </c>
      <c r="AI11" s="53" t="s">
        <v>52</v>
      </c>
      <c r="AJ11" s="289">
        <f>B237</f>
        <v>0.4</v>
      </c>
      <c r="AL11" s="53" t="s">
        <v>52</v>
      </c>
      <c r="AM11" s="289">
        <f>B237</f>
        <v>0.4</v>
      </c>
      <c r="AO11" s="53" t="s">
        <v>52</v>
      </c>
      <c r="AP11" s="289">
        <f>B237</f>
        <v>0.4</v>
      </c>
      <c r="AR11" s="53" t="s">
        <v>52</v>
      </c>
      <c r="AS11" s="289">
        <f>B249</f>
        <v>0.4</v>
      </c>
      <c r="AT11" s="152"/>
      <c r="AU11" s="53" t="s">
        <v>52</v>
      </c>
      <c r="AV11" s="289">
        <f>B249</f>
        <v>0.4</v>
      </c>
      <c r="AW11" s="152"/>
      <c r="AX11" s="53" t="s">
        <v>52</v>
      </c>
      <c r="AY11" s="289">
        <f>B249</f>
        <v>0.4</v>
      </c>
      <c r="AZ11" s="152"/>
      <c r="BA11" s="53" t="s">
        <v>52</v>
      </c>
      <c r="BB11" s="289">
        <f>B225</f>
        <v>0.4</v>
      </c>
      <c r="BD11" s="53" t="s">
        <v>52</v>
      </c>
      <c r="BE11" s="289">
        <f>B225</f>
        <v>0.4</v>
      </c>
      <c r="BG11" s="53" t="s">
        <v>52</v>
      </c>
      <c r="BH11" s="289">
        <f>B225</f>
        <v>0.4</v>
      </c>
      <c r="BJ11" s="153" t="s">
        <v>220</v>
      </c>
      <c r="BK11" s="289">
        <f>B279</f>
        <v>5</v>
      </c>
      <c r="BL11" s="53" t="s">
        <v>129</v>
      </c>
      <c r="BM11" s="153" t="s">
        <v>220</v>
      </c>
      <c r="BN11" s="289">
        <f>B279</f>
        <v>5</v>
      </c>
      <c r="BO11" s="152" t="s">
        <v>129</v>
      </c>
      <c r="BP11" s="153" t="s">
        <v>220</v>
      </c>
      <c r="BQ11" s="289">
        <f>B279</f>
        <v>5</v>
      </c>
      <c r="BR11" s="152" t="s">
        <v>129</v>
      </c>
      <c r="BS11" s="51" t="s">
        <v>48</v>
      </c>
      <c r="BT11" s="291">
        <f>(BT25*BT17*BT14*(1/24)*BT12)+(BT26*BT18*BT15*(1/24)*BT13)</f>
        <v>1437.5</v>
      </c>
      <c r="BU11" s="53" t="s">
        <v>268</v>
      </c>
      <c r="BV11" s="233" t="s">
        <v>160</v>
      </c>
      <c r="BW11" s="296">
        <f>BW5/(BW8*(1/BW31)*BW15)</f>
        <v>34047510.318460628</v>
      </c>
      <c r="BX11" s="234" t="s">
        <v>12</v>
      </c>
      <c r="BY11" s="233" t="s">
        <v>23</v>
      </c>
      <c r="BZ11" s="109">
        <f>0.693/BZ12</f>
        <v>1.6034243405830633E-3</v>
      </c>
      <c r="CA11" s="88"/>
      <c r="CB11" s="53" t="s">
        <v>456</v>
      </c>
      <c r="CC11" s="287">
        <f>B3</f>
        <v>2.41E-4</v>
      </c>
      <c r="CE11" s="53" t="s">
        <v>454</v>
      </c>
      <c r="CF11" s="287">
        <f>B6</f>
        <v>1.17E-4</v>
      </c>
      <c r="CG11" s="152"/>
      <c r="CH11" s="53" t="s">
        <v>460</v>
      </c>
      <c r="CI11" s="287">
        <f>B10</f>
        <v>2.2599999999999999E-4</v>
      </c>
      <c r="CJ11" s="152"/>
      <c r="CK11" s="249" t="s">
        <v>23</v>
      </c>
      <c r="CL11" s="288">
        <f>0.693/CL10</f>
        <v>1.6034243405830633E-3</v>
      </c>
      <c r="CM11" s="249"/>
      <c r="CN11" s="229" t="s">
        <v>189</v>
      </c>
      <c r="CO11" s="306">
        <f>B121</f>
        <v>1</v>
      </c>
      <c r="CP11" s="227" t="s">
        <v>283</v>
      </c>
      <c r="CQ11" s="227"/>
      <c r="CS11" s="227"/>
      <c r="CT11" s="77" t="s">
        <v>16</v>
      </c>
      <c r="CU11" s="288">
        <f>(CU44*CU12)/(1-EXP(-CU12*CU44))</f>
        <v>1.0324112592609469</v>
      </c>
      <c r="CW11" s="51" t="s">
        <v>48</v>
      </c>
      <c r="CX11" s="312">
        <f>((CX15/24)*CX24*CX12*CX16)+((CX14/24)*CX25*CX13*CX17)</f>
        <v>259000</v>
      </c>
      <c r="CY11" s="53" t="s">
        <v>268</v>
      </c>
      <c r="CZ11" s="51" t="s">
        <v>23</v>
      </c>
      <c r="DA11" s="288">
        <f>0.693/DA12</f>
        <v>1.6034243405830633E-3</v>
      </c>
      <c r="DC11" s="153" t="s">
        <v>382</v>
      </c>
      <c r="DD11" s="297">
        <f>B141</f>
        <v>41.7</v>
      </c>
      <c r="DE11" s="80" t="s">
        <v>254</v>
      </c>
      <c r="DF11" s="80" t="s">
        <v>55</v>
      </c>
      <c r="DG11" s="288">
        <f>DG19+DG20</f>
        <v>3.1394977168949772E-5</v>
      </c>
      <c r="DL11" s="80"/>
      <c r="DO11" s="80" t="s">
        <v>55</v>
      </c>
      <c r="DP11" s="288">
        <f>DP19+DP20</f>
        <v>3.1394977168949772E-5</v>
      </c>
      <c r="DR11" s="153" t="s">
        <v>388</v>
      </c>
      <c r="DS11" s="298">
        <f>B159</f>
        <v>350</v>
      </c>
      <c r="DT11" s="51" t="s">
        <v>26</v>
      </c>
      <c r="DU11" s="80"/>
      <c r="DX11" s="153" t="s">
        <v>407</v>
      </c>
      <c r="DY11" s="289">
        <f>B194</f>
        <v>0.4</v>
      </c>
      <c r="EA11" s="153" t="s">
        <v>407</v>
      </c>
      <c r="EB11" s="289">
        <f>B194</f>
        <v>0.4</v>
      </c>
      <c r="EC11" s="77"/>
      <c r="ED11" s="153" t="s">
        <v>407</v>
      </c>
      <c r="EE11" s="289">
        <f>B194</f>
        <v>0.4</v>
      </c>
      <c r="EF11" s="77"/>
      <c r="EG11" s="153" t="s">
        <v>388</v>
      </c>
      <c r="EH11" s="298">
        <f>B159</f>
        <v>350</v>
      </c>
      <c r="EI11" s="51" t="s">
        <v>26</v>
      </c>
      <c r="EJ11" s="80"/>
      <c r="EM11" s="153" t="s">
        <v>411</v>
      </c>
      <c r="EN11" s="289">
        <f>B199</f>
        <v>0.5</v>
      </c>
      <c r="EP11" s="153" t="s">
        <v>411</v>
      </c>
      <c r="EQ11" s="289">
        <f>B199</f>
        <v>0.5</v>
      </c>
      <c r="ER11" s="77"/>
      <c r="ES11" s="153" t="s">
        <v>411</v>
      </c>
      <c r="ET11" s="289">
        <f>B199</f>
        <v>0.5</v>
      </c>
      <c r="EU11" s="77"/>
      <c r="EV11" s="153" t="s">
        <v>388</v>
      </c>
      <c r="EW11" s="298">
        <f>B159</f>
        <v>350</v>
      </c>
      <c r="EX11" s="51" t="s">
        <v>26</v>
      </c>
      <c r="EY11" s="77"/>
      <c r="EZ11" s="293"/>
      <c r="FA11" s="51"/>
      <c r="FB11" s="51" t="s">
        <v>176</v>
      </c>
      <c r="FC11" s="293">
        <f>B204</f>
        <v>2.1999999999999999E-2</v>
      </c>
      <c r="FD11" s="51"/>
      <c r="FE11" s="51" t="s">
        <v>176</v>
      </c>
      <c r="FF11" s="293">
        <f>B204</f>
        <v>2.1999999999999999E-2</v>
      </c>
      <c r="FG11" s="77"/>
      <c r="FH11" s="77" t="s">
        <v>176</v>
      </c>
      <c r="FI11" s="293">
        <f>B204</f>
        <v>2.1999999999999999E-2</v>
      </c>
      <c r="FJ11" s="77"/>
      <c r="FK11" s="153" t="s">
        <v>388</v>
      </c>
      <c r="FL11" s="298">
        <f>B159</f>
        <v>350</v>
      </c>
      <c r="FM11" s="51" t="s">
        <v>26</v>
      </c>
      <c r="FN11" s="77"/>
      <c r="FO11" s="307"/>
      <c r="FP11" s="77"/>
      <c r="FS11" s="77"/>
      <c r="FT11" s="77"/>
      <c r="FU11" s="308"/>
      <c r="FV11" s="77"/>
      <c r="FW11" s="51"/>
      <c r="FX11" s="308"/>
      <c r="FY11" s="51"/>
      <c r="FZ11" s="153" t="s">
        <v>388</v>
      </c>
      <c r="GA11" s="298">
        <f>B159</f>
        <v>350</v>
      </c>
      <c r="GB11" s="51" t="s">
        <v>26</v>
      </c>
      <c r="GC11" s="77"/>
      <c r="GD11" s="293"/>
      <c r="GE11" s="51"/>
      <c r="GF11" s="51" t="s">
        <v>416</v>
      </c>
      <c r="GG11" s="293">
        <f>B209</f>
        <v>2.1999999999999999E-2</v>
      </c>
      <c r="GH11" s="51"/>
      <c r="GI11" s="51" t="s">
        <v>416</v>
      </c>
      <c r="GJ11" s="293">
        <f>B209</f>
        <v>2.1999999999999999E-2</v>
      </c>
      <c r="GK11" s="51"/>
      <c r="GL11" s="51" t="s">
        <v>416</v>
      </c>
      <c r="GM11" s="293">
        <f>B209</f>
        <v>2.1999999999999999E-2</v>
      </c>
      <c r="GN11" s="77"/>
      <c r="GO11" s="153" t="s">
        <v>388</v>
      </c>
      <c r="GP11" s="298">
        <f>B159</f>
        <v>350</v>
      </c>
      <c r="GQ11" s="51" t="s">
        <v>26</v>
      </c>
      <c r="GR11" s="77"/>
      <c r="GS11" s="293"/>
      <c r="GT11" s="51"/>
      <c r="GU11" s="51" t="s">
        <v>420</v>
      </c>
      <c r="GV11" s="293">
        <f>B214</f>
        <v>0.37</v>
      </c>
      <c r="GW11" s="51"/>
      <c r="GX11" s="51" t="s">
        <v>420</v>
      </c>
      <c r="GY11" s="293">
        <f>B214</f>
        <v>0.37</v>
      </c>
      <c r="GZ11" s="153"/>
      <c r="HA11" s="51" t="s">
        <v>420</v>
      </c>
      <c r="HB11" s="293">
        <f>B214</f>
        <v>0.37</v>
      </c>
      <c r="HC11" s="77"/>
      <c r="HD11" s="77" t="s">
        <v>107</v>
      </c>
      <c r="HE11" s="307">
        <f>B66</f>
        <v>26</v>
      </c>
    </row>
    <row r="12" spans="1:214" x14ac:dyDescent="0.2">
      <c r="A12" s="160" t="s">
        <v>462</v>
      </c>
      <c r="B12" s="70">
        <v>1.5699999999999999E-5</v>
      </c>
      <c r="C12" s="185"/>
      <c r="D12" s="155" t="s">
        <v>318</v>
      </c>
      <c r="E12" s="313">
        <f>B51</f>
        <v>10</v>
      </c>
      <c r="F12" s="86" t="s">
        <v>49</v>
      </c>
      <c r="G12" s="155" t="s">
        <v>160</v>
      </c>
      <c r="H12" s="295">
        <f>H5/(H8*(1/H45)*H21)</f>
        <v>10876907.785222514</v>
      </c>
      <c r="I12" s="86" t="s">
        <v>14</v>
      </c>
      <c r="J12" s="155" t="s">
        <v>23</v>
      </c>
      <c r="K12" s="109">
        <f>0.693/K13</f>
        <v>1.6034243405830633E-3</v>
      </c>
      <c r="L12" s="88"/>
      <c r="M12" s="53" t="s">
        <v>56</v>
      </c>
      <c r="N12" s="289">
        <v>1</v>
      </c>
      <c r="P12" s="53" t="s">
        <v>56</v>
      </c>
      <c r="Q12" s="289">
        <v>1</v>
      </c>
      <c r="S12" s="53" t="s">
        <v>56</v>
      </c>
      <c r="T12" s="289">
        <v>1</v>
      </c>
      <c r="W12" s="298">
        <v>24</v>
      </c>
      <c r="X12" s="77" t="s">
        <v>224</v>
      </c>
      <c r="Y12" s="139"/>
      <c r="Z12" s="298">
        <v>24</v>
      </c>
      <c r="AA12" s="77" t="s">
        <v>224</v>
      </c>
      <c r="AB12" s="51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51" t="s">
        <v>129</v>
      </c>
      <c r="AI12" s="53" t="s">
        <v>56</v>
      </c>
      <c r="AJ12" s="289">
        <f>B236</f>
        <v>1</v>
      </c>
      <c r="AL12" s="53" t="s">
        <v>56</v>
      </c>
      <c r="AM12" s="289">
        <f>B236</f>
        <v>1</v>
      </c>
      <c r="AO12" s="53" t="s">
        <v>56</v>
      </c>
      <c r="AP12" s="289">
        <f>B236</f>
        <v>1</v>
      </c>
      <c r="AR12" s="53" t="s">
        <v>56</v>
      </c>
      <c r="AS12" s="289">
        <f>B248</f>
        <v>1</v>
      </c>
      <c r="AT12" s="152"/>
      <c r="AU12" s="53" t="s">
        <v>56</v>
      </c>
      <c r="AV12" s="289">
        <f>B248</f>
        <v>1</v>
      </c>
      <c r="AW12" s="152"/>
      <c r="AX12" s="53" t="s">
        <v>56</v>
      </c>
      <c r="AY12" s="289">
        <f>B248</f>
        <v>1</v>
      </c>
      <c r="AZ12" s="152"/>
      <c r="BA12" s="53" t="s">
        <v>56</v>
      </c>
      <c r="BB12" s="289">
        <f>B224</f>
        <v>1</v>
      </c>
      <c r="BD12" s="53" t="s">
        <v>56</v>
      </c>
      <c r="BE12" s="289">
        <f>B224</f>
        <v>1</v>
      </c>
      <c r="BG12" s="53" t="s">
        <v>56</v>
      </c>
      <c r="BH12" s="289">
        <f>B224</f>
        <v>1</v>
      </c>
      <c r="BJ12" s="153" t="s">
        <v>186</v>
      </c>
      <c r="BK12" s="289">
        <f>B271</f>
        <v>1</v>
      </c>
      <c r="BL12" s="53" t="s">
        <v>169</v>
      </c>
      <c r="BM12" s="153" t="s">
        <v>186</v>
      </c>
      <c r="BN12" s="289">
        <f>B271</f>
        <v>1</v>
      </c>
      <c r="BO12" s="152" t="s">
        <v>169</v>
      </c>
      <c r="BP12" s="153" t="s">
        <v>186</v>
      </c>
      <c r="BQ12" s="289">
        <f>B271</f>
        <v>1</v>
      </c>
      <c r="BR12" s="152" t="s">
        <v>169</v>
      </c>
      <c r="BS12" s="153" t="s">
        <v>358</v>
      </c>
      <c r="BT12" s="292">
        <f>B99</f>
        <v>10</v>
      </c>
      <c r="BU12" s="80" t="s">
        <v>49</v>
      </c>
      <c r="BV12" s="233" t="s">
        <v>488</v>
      </c>
      <c r="BW12" s="209">
        <f>((BW17*BW20*BW22*BW25*BW13)+(BW18*BW21*BW23*BW26*BW14))</f>
        <v>97.5</v>
      </c>
      <c r="BX12" s="233" t="s">
        <v>116</v>
      </c>
      <c r="BY12" s="233" t="s">
        <v>270</v>
      </c>
      <c r="BZ12" s="189">
        <f>B31</f>
        <v>432.2</v>
      </c>
      <c r="CA12" s="88" t="s">
        <v>69</v>
      </c>
      <c r="CB12" s="53" t="s">
        <v>457</v>
      </c>
      <c r="CC12" s="287">
        <f>B4</f>
        <v>0.753</v>
      </c>
      <c r="CE12" s="53" t="s">
        <v>455</v>
      </c>
      <c r="CF12" s="287">
        <f>B7</f>
        <v>0.74299999999999999</v>
      </c>
      <c r="CG12" s="152"/>
      <c r="CH12" s="53" t="s">
        <v>461</v>
      </c>
      <c r="CI12" s="287">
        <f>B11</f>
        <v>0.66200000000000003</v>
      </c>
      <c r="CJ12" s="152"/>
      <c r="CK12" s="249" t="s">
        <v>16</v>
      </c>
      <c r="CL12" s="288">
        <f>(CL13*CL11)/(1-EXP(-CL11*CL13))</f>
        <v>1.0209893435208997</v>
      </c>
      <c r="CM12" s="249"/>
      <c r="CN12" s="229" t="s">
        <v>190</v>
      </c>
      <c r="CO12" s="306">
        <f>B122</f>
        <v>1</v>
      </c>
      <c r="CP12" s="227" t="s">
        <v>47</v>
      </c>
      <c r="CQ12" s="227"/>
      <c r="CS12" s="227"/>
      <c r="CT12" s="51" t="s">
        <v>23</v>
      </c>
      <c r="CU12" s="288">
        <f>0.693/CU13</f>
        <v>1.6034243405830633E-3</v>
      </c>
      <c r="CW12" s="51" t="s">
        <v>53</v>
      </c>
      <c r="CX12" s="292">
        <f>B51</f>
        <v>10</v>
      </c>
      <c r="CY12" s="80" t="s">
        <v>49</v>
      </c>
      <c r="CZ12" s="52" t="s">
        <v>270</v>
      </c>
      <c r="DA12" s="287">
        <f>B31</f>
        <v>432.2</v>
      </c>
      <c r="DB12" s="53" t="s">
        <v>69</v>
      </c>
      <c r="DC12" s="153" t="s">
        <v>383</v>
      </c>
      <c r="DD12" s="297">
        <f>B142</f>
        <v>125.7</v>
      </c>
      <c r="DE12" s="80" t="s">
        <v>254</v>
      </c>
      <c r="DF12" s="80" t="s">
        <v>60</v>
      </c>
      <c r="DG12" s="289">
        <v>10950</v>
      </c>
      <c r="DH12" s="53" t="s">
        <v>61</v>
      </c>
      <c r="DL12" s="80"/>
      <c r="DO12" s="80" t="s">
        <v>60</v>
      </c>
      <c r="DP12" s="289">
        <f>B183</f>
        <v>10950</v>
      </c>
      <c r="DQ12" s="53" t="s">
        <v>61</v>
      </c>
      <c r="DR12" s="153" t="s">
        <v>384</v>
      </c>
      <c r="DS12" s="297">
        <f>B155</f>
        <v>6</v>
      </c>
      <c r="DT12" s="77" t="s">
        <v>69</v>
      </c>
      <c r="DU12" s="80"/>
      <c r="DX12" s="153" t="s">
        <v>408</v>
      </c>
      <c r="DY12" s="289">
        <f>B195</f>
        <v>1</v>
      </c>
      <c r="EA12" s="153" t="s">
        <v>408</v>
      </c>
      <c r="EB12" s="289">
        <f>B195</f>
        <v>1</v>
      </c>
      <c r="EC12" s="77"/>
      <c r="ED12" s="153" t="s">
        <v>408</v>
      </c>
      <c r="EE12" s="289">
        <f>B195</f>
        <v>1</v>
      </c>
      <c r="EF12" s="77"/>
      <c r="EG12" s="153" t="s">
        <v>384</v>
      </c>
      <c r="EH12" s="297">
        <f>B155</f>
        <v>6</v>
      </c>
      <c r="EI12" s="51" t="s">
        <v>69</v>
      </c>
      <c r="EJ12" s="80"/>
      <c r="EM12" s="153" t="s">
        <v>412</v>
      </c>
      <c r="EN12" s="289">
        <f>B200</f>
        <v>1</v>
      </c>
      <c r="EP12" s="153" t="s">
        <v>412</v>
      </c>
      <c r="EQ12" s="289">
        <f>B200</f>
        <v>1</v>
      </c>
      <c r="ER12" s="77"/>
      <c r="ES12" s="153" t="s">
        <v>412</v>
      </c>
      <c r="ET12" s="289">
        <f>B200</f>
        <v>1</v>
      </c>
      <c r="EU12" s="77"/>
      <c r="EV12" s="153" t="s">
        <v>384</v>
      </c>
      <c r="EW12" s="297">
        <f>B155</f>
        <v>6</v>
      </c>
      <c r="EX12" s="77" t="s">
        <v>69</v>
      </c>
      <c r="EY12" s="77"/>
      <c r="EZ12" s="293"/>
      <c r="FA12" s="51"/>
      <c r="FB12" s="51" t="s">
        <v>178</v>
      </c>
      <c r="FC12" s="308">
        <f>B205</f>
        <v>1</v>
      </c>
      <c r="FD12" s="51"/>
      <c r="FE12" s="51" t="s">
        <v>178</v>
      </c>
      <c r="FF12" s="308">
        <f>B205</f>
        <v>1</v>
      </c>
      <c r="FG12" s="77"/>
      <c r="FH12" s="77" t="s">
        <v>178</v>
      </c>
      <c r="FI12" s="308">
        <f>B205</f>
        <v>1</v>
      </c>
      <c r="FJ12" s="77"/>
      <c r="FK12" s="153" t="s">
        <v>384</v>
      </c>
      <c r="FL12" s="297">
        <f>B155</f>
        <v>6</v>
      </c>
      <c r="FM12" s="80" t="s">
        <v>69</v>
      </c>
      <c r="FN12" s="77"/>
      <c r="FO12" s="307"/>
      <c r="FP12" s="77"/>
      <c r="FS12" s="77"/>
      <c r="FT12" s="77"/>
      <c r="FU12" s="308"/>
      <c r="FV12" s="77"/>
      <c r="FW12" s="51"/>
      <c r="FX12" s="308"/>
      <c r="FY12" s="51"/>
      <c r="FZ12" s="153" t="s">
        <v>384</v>
      </c>
      <c r="GA12" s="297">
        <f>B155</f>
        <v>6</v>
      </c>
      <c r="GB12" s="80" t="s">
        <v>69</v>
      </c>
      <c r="GC12" s="77"/>
      <c r="GD12" s="293"/>
      <c r="GE12" s="51"/>
      <c r="GF12" s="51" t="s">
        <v>417</v>
      </c>
      <c r="GG12" s="293">
        <f>B210</f>
        <v>1</v>
      </c>
      <c r="GH12" s="51"/>
      <c r="GI12" s="51" t="s">
        <v>417</v>
      </c>
      <c r="GJ12" s="293">
        <f>B210</f>
        <v>1</v>
      </c>
      <c r="GK12" s="51"/>
      <c r="GL12" s="51" t="s">
        <v>417</v>
      </c>
      <c r="GM12" s="293">
        <f>B210</f>
        <v>1</v>
      </c>
      <c r="GN12" s="77"/>
      <c r="GO12" s="153" t="s">
        <v>384</v>
      </c>
      <c r="GP12" s="297">
        <f>B155</f>
        <v>6</v>
      </c>
      <c r="GQ12" s="80" t="s">
        <v>69</v>
      </c>
      <c r="GR12" s="77"/>
      <c r="GS12" s="293"/>
      <c r="GT12" s="51"/>
      <c r="GU12" s="51" t="s">
        <v>421</v>
      </c>
      <c r="GV12" s="293">
        <f>B215</f>
        <v>1</v>
      </c>
      <c r="GW12" s="51"/>
      <c r="GX12" s="51" t="s">
        <v>421</v>
      </c>
      <c r="GY12" s="293">
        <f>B215</f>
        <v>1</v>
      </c>
      <c r="GZ12" s="51"/>
      <c r="HA12" s="51" t="s">
        <v>421</v>
      </c>
      <c r="HB12" s="293">
        <f>B215</f>
        <v>1</v>
      </c>
      <c r="HC12" s="77"/>
      <c r="HD12" s="77"/>
      <c r="HE12" s="290"/>
    </row>
    <row r="13" spans="1:214" ht="13.5" thickBot="1" x14ac:dyDescent="0.25">
      <c r="A13" s="162" t="s">
        <v>463</v>
      </c>
      <c r="B13" s="82">
        <v>0.80900000000000005</v>
      </c>
      <c r="C13" s="186"/>
      <c r="D13" s="155" t="s">
        <v>319</v>
      </c>
      <c r="E13" s="313">
        <f>B52</f>
        <v>20</v>
      </c>
      <c r="F13" s="86" t="s">
        <v>49</v>
      </c>
      <c r="G13" s="155" t="s">
        <v>249</v>
      </c>
      <c r="H13" s="295">
        <f>H14/((1/H42)*(H50+H51+H52))</f>
        <v>0.95944252414195208</v>
      </c>
      <c r="I13" s="86" t="s">
        <v>14</v>
      </c>
      <c r="J13" s="155" t="s">
        <v>270</v>
      </c>
      <c r="K13" s="189">
        <f>B31</f>
        <v>432.2</v>
      </c>
      <c r="L13" s="88" t="s">
        <v>69</v>
      </c>
      <c r="M13" s="139" t="s">
        <v>457</v>
      </c>
      <c r="N13" s="289">
        <v>1</v>
      </c>
      <c r="P13" s="53" t="s">
        <v>455</v>
      </c>
      <c r="Q13" s="289">
        <f>N13</f>
        <v>1</v>
      </c>
      <c r="S13" s="53" t="s">
        <v>461</v>
      </c>
      <c r="T13" s="289">
        <f>N13</f>
        <v>1</v>
      </c>
      <c r="V13" s="53" t="s">
        <v>58</v>
      </c>
      <c r="W13" s="297">
        <f>B243</f>
        <v>60</v>
      </c>
      <c r="X13" s="77" t="s">
        <v>49</v>
      </c>
      <c r="Y13" s="139" t="s">
        <v>474</v>
      </c>
      <c r="Z13" s="297">
        <f>B219</f>
        <v>60</v>
      </c>
      <c r="AA13" s="77" t="s">
        <v>49</v>
      </c>
      <c r="AB13" s="51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51" t="s">
        <v>130</v>
      </c>
      <c r="AI13" s="53" t="s">
        <v>62</v>
      </c>
      <c r="AJ13" s="289">
        <f>B238</f>
        <v>1</v>
      </c>
      <c r="AL13" s="53" t="s">
        <v>62</v>
      </c>
      <c r="AM13" s="289">
        <f>B238</f>
        <v>1</v>
      </c>
      <c r="AO13" s="53" t="s">
        <v>62</v>
      </c>
      <c r="AP13" s="289">
        <f>B238</f>
        <v>1</v>
      </c>
      <c r="AR13" s="53" t="s">
        <v>62</v>
      </c>
      <c r="AS13" s="289">
        <f>B250</f>
        <v>1</v>
      </c>
      <c r="AT13" s="152"/>
      <c r="AU13" s="53" t="s">
        <v>62</v>
      </c>
      <c r="AV13" s="289">
        <f>B250</f>
        <v>1</v>
      </c>
      <c r="AW13" s="152"/>
      <c r="AX13" s="53" t="s">
        <v>62</v>
      </c>
      <c r="AY13" s="289">
        <f>B250</f>
        <v>1</v>
      </c>
      <c r="AZ13" s="152"/>
      <c r="BA13" s="53" t="s">
        <v>62</v>
      </c>
      <c r="BB13" s="289">
        <f>B226</f>
        <v>1</v>
      </c>
      <c r="BD13" s="53" t="s">
        <v>62</v>
      </c>
      <c r="BE13" s="289">
        <f>B226</f>
        <v>1</v>
      </c>
      <c r="BG13" s="53" t="s">
        <v>62</v>
      </c>
      <c r="BH13" s="289">
        <f>B226</f>
        <v>1</v>
      </c>
      <c r="BJ13" s="53" t="s">
        <v>456</v>
      </c>
      <c r="BK13" s="287">
        <f>B3</f>
        <v>2.41E-4</v>
      </c>
      <c r="BM13" s="53" t="s">
        <v>454</v>
      </c>
      <c r="BN13" s="287">
        <f>B6</f>
        <v>1.17E-4</v>
      </c>
      <c r="BO13" s="152"/>
      <c r="BP13" s="53" t="s">
        <v>460</v>
      </c>
      <c r="BQ13" s="287">
        <f>B10</f>
        <v>2.2599999999999999E-4</v>
      </c>
      <c r="BR13" s="152"/>
      <c r="BS13" s="153" t="s">
        <v>360</v>
      </c>
      <c r="BT13" s="292">
        <f>B100</f>
        <v>20</v>
      </c>
      <c r="BU13" s="80" t="s">
        <v>49</v>
      </c>
      <c r="BV13" s="233" t="s">
        <v>305</v>
      </c>
      <c r="BW13" s="194">
        <f>B101</f>
        <v>0.05</v>
      </c>
      <c r="BX13" s="233" t="s">
        <v>361</v>
      </c>
      <c r="BY13" s="233" t="s">
        <v>80</v>
      </c>
      <c r="BZ13" s="294">
        <f>(BZ5/(BZ6*BZ16*(1/BZ36)))*BZ10</f>
        <v>23.087605908338301</v>
      </c>
      <c r="CA13" s="234" t="s">
        <v>13</v>
      </c>
      <c r="CB13" s="53" t="s">
        <v>105</v>
      </c>
      <c r="CC13" s="289">
        <f>B113</f>
        <v>1</v>
      </c>
      <c r="CD13" s="53" t="s">
        <v>224</v>
      </c>
      <c r="CE13" s="53" t="s">
        <v>105</v>
      </c>
      <c r="CF13" s="289">
        <f>B113</f>
        <v>1</v>
      </c>
      <c r="CG13" s="152" t="s">
        <v>224</v>
      </c>
      <c r="CH13" s="53" t="s">
        <v>105</v>
      </c>
      <c r="CI13" s="289">
        <f>B113</f>
        <v>1</v>
      </c>
      <c r="CJ13" s="152" t="s">
        <v>224</v>
      </c>
      <c r="CK13" s="249" t="s">
        <v>111</v>
      </c>
      <c r="CL13" s="289">
        <f>B109</f>
        <v>26</v>
      </c>
      <c r="CM13" s="249" t="s">
        <v>69</v>
      </c>
      <c r="CN13" s="222" t="s">
        <v>191</v>
      </c>
      <c r="CO13" s="306">
        <f>B123</f>
        <v>1</v>
      </c>
      <c r="CP13" s="220" t="s">
        <v>47</v>
      </c>
      <c r="CQ13" s="220"/>
      <c r="CS13" s="220"/>
      <c r="CT13" s="212" t="s">
        <v>270</v>
      </c>
      <c r="CU13" s="189">
        <f>B31</f>
        <v>432.2</v>
      </c>
      <c r="CV13" s="88" t="s">
        <v>69</v>
      </c>
      <c r="CW13" s="212" t="s">
        <v>57</v>
      </c>
      <c r="CX13" s="313">
        <f>B52</f>
        <v>20</v>
      </c>
      <c r="CY13" s="213" t="s">
        <v>49</v>
      </c>
      <c r="CZ13" s="212" t="s">
        <v>80</v>
      </c>
      <c r="DA13" s="294">
        <f>DA5/(DA6*DA23)</f>
        <v>0.30752229044570067</v>
      </c>
      <c r="DB13" s="212" t="s">
        <v>14</v>
      </c>
      <c r="DC13" s="153" t="s">
        <v>387</v>
      </c>
      <c r="DD13" s="297">
        <f>B158</f>
        <v>350</v>
      </c>
      <c r="DE13" s="51" t="s">
        <v>26</v>
      </c>
      <c r="DF13" s="80" t="s">
        <v>65</v>
      </c>
      <c r="DG13" s="289">
        <v>240</v>
      </c>
      <c r="DH13" s="53" t="s">
        <v>66</v>
      </c>
      <c r="DL13" s="80"/>
      <c r="DO13" s="80" t="s">
        <v>65</v>
      </c>
      <c r="DP13" s="289">
        <f>B184</f>
        <v>240</v>
      </c>
      <c r="DQ13" s="53" t="s">
        <v>66</v>
      </c>
      <c r="DR13" s="153" t="s">
        <v>385</v>
      </c>
      <c r="DS13" s="297">
        <f>B156</f>
        <v>34</v>
      </c>
      <c r="DT13" s="77" t="s">
        <v>69</v>
      </c>
      <c r="DU13" s="80"/>
      <c r="DX13" s="153" t="s">
        <v>409</v>
      </c>
      <c r="DY13" s="289">
        <f>B196</f>
        <v>1</v>
      </c>
      <c r="EA13" s="153" t="s">
        <v>409</v>
      </c>
      <c r="EB13" s="289">
        <f>B196</f>
        <v>1</v>
      </c>
      <c r="EC13" s="77"/>
      <c r="ED13" s="153" t="s">
        <v>409</v>
      </c>
      <c r="EE13" s="289">
        <f>B196</f>
        <v>1</v>
      </c>
      <c r="EF13" s="77"/>
      <c r="EG13" s="153" t="s">
        <v>385</v>
      </c>
      <c r="EH13" s="297">
        <f>B156</f>
        <v>34</v>
      </c>
      <c r="EI13" s="51" t="s">
        <v>69</v>
      </c>
      <c r="EJ13" s="80"/>
      <c r="EM13" s="153" t="s">
        <v>413</v>
      </c>
      <c r="EN13" s="289">
        <f>B201</f>
        <v>1</v>
      </c>
      <c r="EP13" s="153" t="s">
        <v>413</v>
      </c>
      <c r="EQ13" s="289">
        <f>B201</f>
        <v>1</v>
      </c>
      <c r="ER13" s="77"/>
      <c r="ES13" s="153" t="s">
        <v>413</v>
      </c>
      <c r="ET13" s="289">
        <f>B201</f>
        <v>1</v>
      </c>
      <c r="EU13" s="77"/>
      <c r="EV13" s="153" t="s">
        <v>385</v>
      </c>
      <c r="EW13" s="297">
        <f>B156</f>
        <v>34</v>
      </c>
      <c r="EX13" s="77" t="s">
        <v>69</v>
      </c>
      <c r="EY13" s="77"/>
      <c r="EZ13" s="293"/>
      <c r="FA13" s="51"/>
      <c r="FB13" s="51" t="s">
        <v>179</v>
      </c>
      <c r="FC13" s="308">
        <f>B206</f>
        <v>1</v>
      </c>
      <c r="FD13" s="51"/>
      <c r="FE13" s="51" t="s">
        <v>179</v>
      </c>
      <c r="FF13" s="308">
        <f>B206</f>
        <v>1</v>
      </c>
      <c r="FG13" s="77"/>
      <c r="FH13" s="77" t="s">
        <v>179</v>
      </c>
      <c r="FI13" s="308">
        <f>B206</f>
        <v>1</v>
      </c>
      <c r="FJ13" s="77"/>
      <c r="FK13" s="153" t="s">
        <v>385</v>
      </c>
      <c r="FL13" s="297">
        <f>B156</f>
        <v>34</v>
      </c>
      <c r="FM13" s="81" t="s">
        <v>69</v>
      </c>
      <c r="FN13" s="77"/>
      <c r="FO13" s="307"/>
      <c r="FP13" s="77"/>
      <c r="FS13" s="77"/>
      <c r="FT13" s="77"/>
      <c r="FU13" s="308"/>
      <c r="FV13" s="77"/>
      <c r="FW13" s="51"/>
      <c r="FX13" s="308"/>
      <c r="FY13" s="51"/>
      <c r="FZ13" s="153" t="s">
        <v>385</v>
      </c>
      <c r="GA13" s="297">
        <f>B156</f>
        <v>34</v>
      </c>
      <c r="GB13" s="81" t="s">
        <v>69</v>
      </c>
      <c r="GC13" s="77"/>
      <c r="GD13" s="293"/>
      <c r="GE13" s="51"/>
      <c r="GF13" s="51" t="s">
        <v>418</v>
      </c>
      <c r="GG13" s="293">
        <f>B211</f>
        <v>1</v>
      </c>
      <c r="GH13" s="51"/>
      <c r="GI13" s="51" t="s">
        <v>418</v>
      </c>
      <c r="GJ13" s="293">
        <f>B211</f>
        <v>1</v>
      </c>
      <c r="GK13" s="51"/>
      <c r="GL13" s="51" t="s">
        <v>418</v>
      </c>
      <c r="GM13" s="293">
        <f>B211</f>
        <v>1</v>
      </c>
      <c r="GN13" s="77"/>
      <c r="GO13" s="153" t="s">
        <v>385</v>
      </c>
      <c r="GP13" s="297">
        <f>B156</f>
        <v>34</v>
      </c>
      <c r="GQ13" s="81" t="s">
        <v>69</v>
      </c>
      <c r="GR13" s="77"/>
      <c r="GS13" s="293"/>
      <c r="GT13" s="51"/>
      <c r="GU13" s="51" t="s">
        <v>422</v>
      </c>
      <c r="GV13" s="293">
        <f>B216</f>
        <v>1</v>
      </c>
      <c r="GW13" s="51"/>
      <c r="GX13" s="51" t="s">
        <v>422</v>
      </c>
      <c r="GY13" s="293">
        <f>B216</f>
        <v>1</v>
      </c>
      <c r="GZ13" s="51"/>
      <c r="HA13" s="51" t="s">
        <v>422</v>
      </c>
      <c r="HB13" s="293">
        <f>B216</f>
        <v>1</v>
      </c>
      <c r="HC13" s="77"/>
      <c r="HD13" s="77" t="s">
        <v>261</v>
      </c>
      <c r="HE13" s="298">
        <v>1</v>
      </c>
    </row>
    <row r="14" spans="1:214" ht="13.5" thickTop="1" x14ac:dyDescent="0.2">
      <c r="A14" s="583" t="s">
        <v>272</v>
      </c>
      <c r="B14" s="584"/>
      <c r="C14" s="584"/>
      <c r="D14" s="88" t="s">
        <v>347</v>
      </c>
      <c r="E14" s="192">
        <f>B72</f>
        <v>24</v>
      </c>
      <c r="F14" s="88" t="s">
        <v>224</v>
      </c>
      <c r="G14" s="155" t="s">
        <v>248</v>
      </c>
      <c r="H14" s="296">
        <f>H5/(H9*(H22+H25)*H43)</f>
        <v>1.2211339332108596E-2</v>
      </c>
      <c r="I14" s="86" t="s">
        <v>13</v>
      </c>
      <c r="J14" s="155" t="s">
        <v>80</v>
      </c>
      <c r="K14" s="294">
        <f>(K5/(K6*K19*(1/K49)))*K11</f>
        <v>4.9473441232153501</v>
      </c>
      <c r="L14" s="86" t="s">
        <v>13</v>
      </c>
      <c r="M14" s="140" t="s">
        <v>351</v>
      </c>
      <c r="N14" s="289">
        <f>B96</f>
        <v>1.752</v>
      </c>
      <c r="O14" s="53" t="s">
        <v>224</v>
      </c>
      <c r="P14" s="140" t="s">
        <v>351</v>
      </c>
      <c r="Q14" s="289">
        <f>B96</f>
        <v>1.752</v>
      </c>
      <c r="R14" s="53" t="s">
        <v>224</v>
      </c>
      <c r="S14" s="140" t="s">
        <v>351</v>
      </c>
      <c r="T14" s="289">
        <f>B96</f>
        <v>1.752</v>
      </c>
      <c r="U14" s="53" t="s">
        <v>224</v>
      </c>
      <c r="V14" s="51" t="s">
        <v>63</v>
      </c>
      <c r="W14" s="287">
        <f>B28</f>
        <v>5.8031270640000001E-11</v>
      </c>
      <c r="X14" s="51" t="s">
        <v>64</v>
      </c>
      <c r="Y14" s="140" t="s">
        <v>63</v>
      </c>
      <c r="Z14" s="287">
        <f>B28</f>
        <v>5.8031270640000001E-11</v>
      </c>
      <c r="AA14" s="51" t="s">
        <v>64</v>
      </c>
      <c r="AB14" s="51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180" t="s">
        <v>54</v>
      </c>
      <c r="AI14" s="153" t="s">
        <v>469</v>
      </c>
      <c r="AJ14" s="289">
        <f>B239</f>
        <v>0</v>
      </c>
      <c r="AK14" s="152" t="s">
        <v>224</v>
      </c>
      <c r="AL14" s="153" t="s">
        <v>469</v>
      </c>
      <c r="AM14" s="289">
        <f>B239</f>
        <v>0</v>
      </c>
      <c r="AN14" s="152" t="s">
        <v>224</v>
      </c>
      <c r="AO14" s="153" t="s">
        <v>469</v>
      </c>
      <c r="AP14" s="289">
        <f>B239</f>
        <v>0</v>
      </c>
      <c r="AQ14" s="152" t="s">
        <v>224</v>
      </c>
      <c r="AR14" s="153" t="s">
        <v>466</v>
      </c>
      <c r="AS14" s="289">
        <f>B251</f>
        <v>8</v>
      </c>
      <c r="AT14" s="152" t="s">
        <v>224</v>
      </c>
      <c r="AU14" s="153" t="s">
        <v>466</v>
      </c>
      <c r="AV14" s="289">
        <f>B251</f>
        <v>8</v>
      </c>
      <c r="AW14" s="152" t="s">
        <v>224</v>
      </c>
      <c r="AX14" s="153" t="s">
        <v>466</v>
      </c>
      <c r="AY14" s="289">
        <f>B251</f>
        <v>8</v>
      </c>
      <c r="AZ14" s="152" t="s">
        <v>224</v>
      </c>
      <c r="BA14" s="153" t="s">
        <v>467</v>
      </c>
      <c r="BB14" s="289">
        <f>B227</f>
        <v>4</v>
      </c>
      <c r="BC14" s="53" t="s">
        <v>224</v>
      </c>
      <c r="BD14" s="153" t="s">
        <v>467</v>
      </c>
      <c r="BE14" s="289">
        <f>B227</f>
        <v>4</v>
      </c>
      <c r="BF14" s="152" t="s">
        <v>224</v>
      </c>
      <c r="BG14" s="153" t="s">
        <v>467</v>
      </c>
      <c r="BH14" s="289">
        <f>B227</f>
        <v>4</v>
      </c>
      <c r="BI14" s="152" t="s">
        <v>224</v>
      </c>
      <c r="BJ14" s="53" t="s">
        <v>457</v>
      </c>
      <c r="BK14" s="287">
        <f>B4</f>
        <v>0.753</v>
      </c>
      <c r="BM14" s="53" t="s">
        <v>455</v>
      </c>
      <c r="BN14" s="287">
        <f>B7</f>
        <v>0.74299999999999999</v>
      </c>
      <c r="BO14" s="152"/>
      <c r="BP14" s="53" t="s">
        <v>461</v>
      </c>
      <c r="BQ14" s="287">
        <f>B11</f>
        <v>0.66200000000000003</v>
      </c>
      <c r="BR14" s="152"/>
      <c r="BS14" s="92" t="s">
        <v>368</v>
      </c>
      <c r="BT14" s="292">
        <f>B114</f>
        <v>1</v>
      </c>
      <c r="BU14" s="53" t="s">
        <v>50</v>
      </c>
      <c r="BV14" s="233" t="s">
        <v>306</v>
      </c>
      <c r="BW14" s="194">
        <f>B102</f>
        <v>0.05</v>
      </c>
      <c r="BX14" s="233" t="s">
        <v>361</v>
      </c>
      <c r="BY14" s="233" t="s">
        <v>74</v>
      </c>
      <c r="BZ14" s="295">
        <f>(BZ5/(BZ7*BZ17*(1/BZ9)*BZ35))*BZ10</f>
        <v>25582.38237276876</v>
      </c>
      <c r="CA14" s="234" t="s">
        <v>13</v>
      </c>
      <c r="CB14" s="53" t="s">
        <v>71</v>
      </c>
      <c r="CC14" s="290">
        <f>B23</f>
        <v>2.767285944E-8</v>
      </c>
      <c r="CD14" s="77" t="s">
        <v>72</v>
      </c>
      <c r="CE14" s="53" t="s">
        <v>71</v>
      </c>
      <c r="CF14" s="290">
        <f>B25</f>
        <v>1.3754695536000001E-8</v>
      </c>
      <c r="CG14" s="77" t="s">
        <v>72</v>
      </c>
      <c r="CH14" s="53" t="s">
        <v>71</v>
      </c>
      <c r="CI14" s="290">
        <f>B27</f>
        <v>2.767285944E-8</v>
      </c>
      <c r="CJ14" s="77" t="s">
        <v>72</v>
      </c>
      <c r="CK14" s="222"/>
      <c r="CL14" s="307"/>
      <c r="CM14" s="222"/>
      <c r="CN14" s="220"/>
      <c r="CO14" s="308"/>
      <c r="CP14" s="220"/>
      <c r="CQ14" s="222"/>
      <c r="CR14" s="307"/>
      <c r="CS14" s="222"/>
      <c r="CT14" s="212" t="s">
        <v>80</v>
      </c>
      <c r="CU14" s="294">
        <f>(CU5/(CU6*CU24*(1/CU47)))*CU11</f>
        <v>3.4801325808890993</v>
      </c>
      <c r="CV14" s="213" t="s">
        <v>13</v>
      </c>
      <c r="CW14" s="212" t="s">
        <v>389</v>
      </c>
      <c r="CX14" s="192">
        <f>B160</f>
        <v>24</v>
      </c>
      <c r="CY14" s="88" t="s">
        <v>224</v>
      </c>
      <c r="CZ14" s="212" t="s">
        <v>74</v>
      </c>
      <c r="DA14" s="295">
        <f>DA5/(DA7*DA24*DA46)</f>
        <v>2.0461069745648442E-4</v>
      </c>
      <c r="DB14" s="212" t="s">
        <v>14</v>
      </c>
      <c r="DC14" s="153" t="s">
        <v>388</v>
      </c>
      <c r="DD14" s="297">
        <f>B159</f>
        <v>350</v>
      </c>
      <c r="DE14" s="51" t="s">
        <v>26</v>
      </c>
      <c r="DF14" s="80" t="s">
        <v>70</v>
      </c>
      <c r="DG14" s="289">
        <v>0.26</v>
      </c>
      <c r="DL14" s="80"/>
      <c r="DO14" s="152" t="s">
        <v>330</v>
      </c>
      <c r="DP14" s="289">
        <f>B48</f>
        <v>0.26</v>
      </c>
      <c r="DR14" s="153" t="s">
        <v>386</v>
      </c>
      <c r="DS14" s="298">
        <f>B157</f>
        <v>40</v>
      </c>
      <c r="DT14" s="77" t="s">
        <v>69</v>
      </c>
      <c r="DU14" s="80"/>
      <c r="DX14" s="53" t="s">
        <v>287</v>
      </c>
      <c r="DY14" s="297">
        <f>B192</f>
        <v>1.03</v>
      </c>
      <c r="DZ14" s="53" t="s">
        <v>288</v>
      </c>
      <c r="EA14" s="53" t="s">
        <v>287</v>
      </c>
      <c r="EB14" s="297">
        <f>B192</f>
        <v>1.03</v>
      </c>
      <c r="EC14" s="53" t="s">
        <v>288</v>
      </c>
      <c r="ED14" s="152" t="s">
        <v>331</v>
      </c>
      <c r="EE14" s="307">
        <f>B49</f>
        <v>0.25</v>
      </c>
      <c r="EF14" s="77"/>
      <c r="EG14" s="153" t="s">
        <v>386</v>
      </c>
      <c r="EH14" s="298">
        <f>B157</f>
        <v>40</v>
      </c>
      <c r="EI14" s="77" t="s">
        <v>69</v>
      </c>
      <c r="EJ14" s="80"/>
      <c r="EP14" s="154" t="s">
        <v>494</v>
      </c>
      <c r="EQ14" s="307">
        <f>EH14</f>
        <v>40</v>
      </c>
      <c r="ER14" s="77"/>
      <c r="ES14" s="152" t="s">
        <v>331</v>
      </c>
      <c r="ET14" s="307">
        <f>B49</f>
        <v>0.25</v>
      </c>
      <c r="EU14" s="77"/>
      <c r="EV14" s="153" t="s">
        <v>386</v>
      </c>
      <c r="EW14" s="298">
        <f>B157</f>
        <v>40</v>
      </c>
      <c r="EX14" s="77" t="s">
        <v>69</v>
      </c>
      <c r="EY14" s="77"/>
      <c r="EZ14" s="307"/>
      <c r="FA14" s="77"/>
      <c r="FB14" s="77"/>
      <c r="FC14" s="308"/>
      <c r="FD14" s="77"/>
      <c r="FE14" s="77" t="s">
        <v>494</v>
      </c>
      <c r="FF14" s="307">
        <f>EW14</f>
        <v>40</v>
      </c>
      <c r="FG14" s="77" t="s">
        <v>69</v>
      </c>
      <c r="FH14" s="77" t="s">
        <v>70</v>
      </c>
      <c r="FI14" s="293">
        <f>B49</f>
        <v>0.25</v>
      </c>
      <c r="FJ14" s="77"/>
      <c r="FK14" s="153" t="s">
        <v>386</v>
      </c>
      <c r="FL14" s="292">
        <f>B157</f>
        <v>40</v>
      </c>
      <c r="FM14" s="80" t="s">
        <v>69</v>
      </c>
      <c r="FN14" s="77"/>
      <c r="FO14" s="307"/>
      <c r="FP14" s="77"/>
      <c r="FS14" s="77"/>
      <c r="FV14" s="77"/>
      <c r="FW14" s="51"/>
      <c r="FX14" s="293"/>
      <c r="FY14" s="51"/>
      <c r="FZ14" s="153" t="s">
        <v>386</v>
      </c>
      <c r="GA14" s="292">
        <f>B157</f>
        <v>40</v>
      </c>
      <c r="GB14" s="80" t="s">
        <v>69</v>
      </c>
      <c r="GC14" s="77"/>
      <c r="GD14" s="293"/>
      <c r="GE14" s="51"/>
      <c r="GF14" s="51"/>
      <c r="GG14" s="293"/>
      <c r="GH14" s="51"/>
      <c r="GI14" s="154" t="s">
        <v>494</v>
      </c>
      <c r="GJ14" s="307">
        <f>GA14</f>
        <v>40</v>
      </c>
      <c r="GK14" s="154" t="s">
        <v>69</v>
      </c>
      <c r="GL14" s="152" t="s">
        <v>331</v>
      </c>
      <c r="GM14" s="293">
        <f>B49</f>
        <v>0.25</v>
      </c>
      <c r="GN14" s="77"/>
      <c r="GO14" s="153" t="s">
        <v>386</v>
      </c>
      <c r="GP14" s="292">
        <f>B157</f>
        <v>40</v>
      </c>
      <c r="GQ14" s="80" t="s">
        <v>69</v>
      </c>
      <c r="GR14" s="77"/>
      <c r="GS14" s="293"/>
      <c r="GT14" s="51"/>
      <c r="GU14" s="51"/>
      <c r="GV14" s="293"/>
      <c r="GW14" s="51"/>
      <c r="GX14" s="154" t="s">
        <v>494</v>
      </c>
      <c r="GY14" s="307">
        <f>GP14</f>
        <v>40</v>
      </c>
      <c r="GZ14" s="154" t="s">
        <v>69</v>
      </c>
      <c r="HA14" s="152" t="s">
        <v>331</v>
      </c>
      <c r="HB14" s="293">
        <f>B49</f>
        <v>0.25</v>
      </c>
      <c r="HC14" s="77"/>
      <c r="HD14" s="77" t="s">
        <v>579</v>
      </c>
      <c r="HE14" s="293">
        <f>B46</f>
        <v>4</v>
      </c>
      <c r="HF14" s="53" t="s">
        <v>19</v>
      </c>
    </row>
    <row r="15" spans="1:214" x14ac:dyDescent="0.2">
      <c r="A15" s="585"/>
      <c r="B15" s="586"/>
      <c r="C15" s="586"/>
      <c r="D15" s="88" t="s">
        <v>348</v>
      </c>
      <c r="E15" s="192">
        <f>B73</f>
        <v>24</v>
      </c>
      <c r="F15" s="88" t="s">
        <v>224</v>
      </c>
      <c r="G15" s="155" t="s">
        <v>440</v>
      </c>
      <c r="H15" s="193">
        <f>H32*H29*H17+H33*H30*H18</f>
        <v>19138</v>
      </c>
      <c r="I15" s="155" t="s">
        <v>116</v>
      </c>
      <c r="J15" s="155" t="s">
        <v>74</v>
      </c>
      <c r="K15" s="295">
        <f>(K5/(K7*K20*(1/K10)*K48))*K11</f>
        <v>228.41412832829249</v>
      </c>
      <c r="L15" s="86" t="s">
        <v>13</v>
      </c>
      <c r="M15" s="53" t="s">
        <v>448</v>
      </c>
      <c r="N15" s="290">
        <f>B23</f>
        <v>2.767285944E-8</v>
      </c>
      <c r="O15" s="77" t="s">
        <v>446</v>
      </c>
      <c r="P15" s="53" t="s">
        <v>449</v>
      </c>
      <c r="Q15" s="290">
        <f>B25</f>
        <v>1.3754695536000001E-8</v>
      </c>
      <c r="R15" s="77" t="s">
        <v>446</v>
      </c>
      <c r="S15" s="53" t="s">
        <v>453</v>
      </c>
      <c r="T15" s="290">
        <f>B27</f>
        <v>2.767285944E-8</v>
      </c>
      <c r="U15" s="77" t="s">
        <v>446</v>
      </c>
      <c r="V15" s="51" t="s">
        <v>255</v>
      </c>
      <c r="W15" s="293">
        <v>1</v>
      </c>
      <c r="Y15" s="140" t="s">
        <v>255</v>
      </c>
      <c r="Z15" s="293">
        <v>1</v>
      </c>
      <c r="AB15" s="51"/>
      <c r="AC15" s="297"/>
      <c r="AD15" s="297"/>
      <c r="AE15" s="297"/>
      <c r="AF15" s="297"/>
      <c r="AG15" s="297"/>
      <c r="AI15" s="152" t="s">
        <v>448</v>
      </c>
      <c r="AJ15" s="290">
        <f>B23</f>
        <v>2.767285944E-8</v>
      </c>
      <c r="AK15" s="77" t="s">
        <v>72</v>
      </c>
      <c r="AL15" s="153" t="s">
        <v>449</v>
      </c>
      <c r="AM15" s="290">
        <f>B25</f>
        <v>1.3754695536000001E-8</v>
      </c>
      <c r="AN15" s="77" t="s">
        <v>72</v>
      </c>
      <c r="AO15" s="153" t="s">
        <v>452</v>
      </c>
      <c r="AP15" s="290">
        <f>B27</f>
        <v>2.767285944E-8</v>
      </c>
      <c r="AQ15" s="77" t="s">
        <v>72</v>
      </c>
      <c r="AR15" s="152" t="s">
        <v>448</v>
      </c>
      <c r="AS15" s="290">
        <f>B23</f>
        <v>2.767285944E-8</v>
      </c>
      <c r="AT15" s="154" t="s">
        <v>72</v>
      </c>
      <c r="AU15" s="153" t="s">
        <v>449</v>
      </c>
      <c r="AV15" s="290">
        <f>B25</f>
        <v>1.3754695536000001E-8</v>
      </c>
      <c r="AW15" s="154" t="s">
        <v>72</v>
      </c>
      <c r="AX15" s="153" t="s">
        <v>452</v>
      </c>
      <c r="AY15" s="290">
        <f>B27</f>
        <v>2.767285944E-8</v>
      </c>
      <c r="AZ15" s="154" t="s">
        <v>72</v>
      </c>
      <c r="BA15" s="152" t="s">
        <v>448</v>
      </c>
      <c r="BB15" s="290">
        <f>B23</f>
        <v>2.767285944E-8</v>
      </c>
      <c r="BC15" s="77" t="s">
        <v>72</v>
      </c>
      <c r="BD15" s="153" t="s">
        <v>449</v>
      </c>
      <c r="BE15" s="290">
        <f>B25</f>
        <v>1.3754695536000001E-8</v>
      </c>
      <c r="BF15" s="77" t="s">
        <v>72</v>
      </c>
      <c r="BG15" s="153" t="s">
        <v>452</v>
      </c>
      <c r="BH15" s="290">
        <f>B27</f>
        <v>2.767285944E-8</v>
      </c>
      <c r="BI15" s="77" t="s">
        <v>72</v>
      </c>
      <c r="BJ15" s="153" t="s">
        <v>471</v>
      </c>
      <c r="BK15" s="289">
        <f>B276</f>
        <v>8</v>
      </c>
      <c r="BL15" s="152" t="s">
        <v>224</v>
      </c>
      <c r="BM15" s="153" t="s">
        <v>471</v>
      </c>
      <c r="BN15" s="289">
        <f>B276</f>
        <v>8</v>
      </c>
      <c r="BO15" s="152" t="s">
        <v>224</v>
      </c>
      <c r="BP15" s="153" t="s">
        <v>471</v>
      </c>
      <c r="BQ15" s="289">
        <f>B276</f>
        <v>8</v>
      </c>
      <c r="BR15" s="152" t="s">
        <v>224</v>
      </c>
      <c r="BS15" s="92" t="s">
        <v>369</v>
      </c>
      <c r="BT15" s="292">
        <f>B115</f>
        <v>1</v>
      </c>
      <c r="BU15" s="53" t="s">
        <v>50</v>
      </c>
      <c r="BV15" s="233" t="s">
        <v>489</v>
      </c>
      <c r="BW15" s="190">
        <f>((BW17*BW20*BW22*BW25)+(BW18*BW21*BW23*BW26))</f>
        <v>1950</v>
      </c>
      <c r="BX15" s="233" t="s">
        <v>162</v>
      </c>
      <c r="BY15" s="233" t="s">
        <v>117</v>
      </c>
      <c r="BZ15" s="296">
        <f>((BZ5)/(BZ8*BZ22*(1/BZ34)*BZ25*BZ28*(1/24)*BZ31*BZ32))*BZ10</f>
        <v>913323.53321404662</v>
      </c>
      <c r="CA15" s="234" t="s">
        <v>13</v>
      </c>
      <c r="CT15" s="212" t="s">
        <v>74</v>
      </c>
      <c r="CU15" s="295">
        <f>(CU5/(CU7*CU25*(1/CU10)*CU46))*CU11</f>
        <v>143.5755862341623</v>
      </c>
      <c r="CV15" s="213" t="s">
        <v>13</v>
      </c>
      <c r="CW15" s="212" t="s">
        <v>390</v>
      </c>
      <c r="CX15" s="192">
        <f>B161</f>
        <v>24</v>
      </c>
      <c r="CY15" s="88" t="s">
        <v>224</v>
      </c>
      <c r="CZ15" s="212" t="s">
        <v>160</v>
      </c>
      <c r="DA15" s="301">
        <f>DA5/(DA8*DA25*(DA47/DA48))</f>
        <v>6928169.1663360354</v>
      </c>
      <c r="DB15" s="212" t="s">
        <v>14</v>
      </c>
      <c r="DC15" s="153" t="s">
        <v>384</v>
      </c>
      <c r="DD15" s="298">
        <f>B155</f>
        <v>6</v>
      </c>
      <c r="DE15" s="51" t="s">
        <v>69</v>
      </c>
      <c r="DF15" s="80" t="s">
        <v>76</v>
      </c>
      <c r="DG15" s="289">
        <v>0.42</v>
      </c>
      <c r="DH15" s="53" t="s">
        <v>47</v>
      </c>
      <c r="DL15" s="80"/>
      <c r="DO15" s="80" t="s">
        <v>76</v>
      </c>
      <c r="DP15" s="289">
        <f>B185</f>
        <v>0.42</v>
      </c>
      <c r="DQ15" s="53" t="s">
        <v>47</v>
      </c>
      <c r="DS15" s="297">
        <v>1000</v>
      </c>
      <c r="DT15" s="80" t="s">
        <v>115</v>
      </c>
      <c r="DU15" s="80"/>
      <c r="EA15" s="154" t="s">
        <v>494</v>
      </c>
      <c r="EB15" s="307">
        <f>DS14</f>
        <v>40</v>
      </c>
      <c r="EC15" s="77" t="s">
        <v>69</v>
      </c>
      <c r="ED15" s="51" t="s">
        <v>29</v>
      </c>
      <c r="EE15" s="293">
        <v>92</v>
      </c>
      <c r="EF15" s="51" t="s">
        <v>30</v>
      </c>
      <c r="EH15" s="297">
        <v>1000</v>
      </c>
      <c r="EI15" s="80" t="s">
        <v>115</v>
      </c>
      <c r="EJ15" s="80"/>
      <c r="EP15" s="80"/>
      <c r="EQ15" s="307"/>
      <c r="ER15" s="77"/>
      <c r="ES15" s="51" t="s">
        <v>31</v>
      </c>
      <c r="ET15" s="293">
        <f>B197</f>
        <v>53</v>
      </c>
      <c r="EU15" s="51" t="s">
        <v>30</v>
      </c>
      <c r="EW15" s="351">
        <v>1000</v>
      </c>
      <c r="EX15" s="80" t="s">
        <v>115</v>
      </c>
      <c r="EY15" s="51"/>
      <c r="EZ15" s="293"/>
      <c r="FA15" s="51"/>
      <c r="FB15" s="51"/>
      <c r="FC15" s="293"/>
      <c r="FD15" s="51"/>
      <c r="FE15" s="51"/>
      <c r="FF15" s="293"/>
      <c r="FG15" s="51"/>
      <c r="FH15" s="51" t="s">
        <v>173</v>
      </c>
      <c r="FI15" s="308">
        <f>B202</f>
        <v>0.4</v>
      </c>
      <c r="FJ15" s="51" t="s">
        <v>30</v>
      </c>
      <c r="FL15" s="297">
        <v>1000</v>
      </c>
      <c r="FM15" s="80" t="s">
        <v>115</v>
      </c>
      <c r="FN15" s="51"/>
      <c r="FO15" s="293"/>
      <c r="FP15" s="51"/>
      <c r="FS15" s="51"/>
      <c r="FV15" s="51"/>
      <c r="FW15" s="51"/>
      <c r="FX15" s="308"/>
      <c r="FY15" s="51"/>
      <c r="GA15" s="297">
        <v>1000</v>
      </c>
      <c r="GB15" s="80" t="s">
        <v>115</v>
      </c>
      <c r="GC15" s="51"/>
      <c r="GD15" s="293"/>
      <c r="GE15" s="51"/>
      <c r="GF15" s="51"/>
      <c r="GG15" s="293"/>
      <c r="GH15" s="51"/>
      <c r="GI15" s="51"/>
      <c r="GJ15" s="293"/>
      <c r="GK15" s="51"/>
      <c r="GL15" s="51" t="s">
        <v>414</v>
      </c>
      <c r="GM15" s="308">
        <f>B207</f>
        <v>0.4</v>
      </c>
      <c r="GN15" s="51" t="s">
        <v>30</v>
      </c>
      <c r="GO15" s="156" t="s">
        <v>405</v>
      </c>
      <c r="GP15" s="297">
        <f>B180</f>
        <v>1</v>
      </c>
      <c r="GR15" s="51"/>
      <c r="GS15" s="293"/>
      <c r="GT15" s="51"/>
      <c r="GU15" s="51"/>
      <c r="GV15" s="293"/>
      <c r="GW15" s="51"/>
      <c r="GX15" s="51"/>
      <c r="GY15" s="293"/>
      <c r="GZ15" s="51"/>
      <c r="HA15" s="51" t="s">
        <v>174</v>
      </c>
      <c r="HB15" s="293">
        <f>B212</f>
        <v>11.4</v>
      </c>
      <c r="HC15" s="51" t="s">
        <v>30</v>
      </c>
      <c r="HD15" s="77"/>
    </row>
    <row r="16" spans="1:214" s="51" customFormat="1" x14ac:dyDescent="0.2">
      <c r="A16" s="585"/>
      <c r="B16" s="586"/>
      <c r="C16" s="586"/>
      <c r="D16" s="88" t="s">
        <v>343</v>
      </c>
      <c r="E16" s="194">
        <f>B64</f>
        <v>6</v>
      </c>
      <c r="F16" s="88" t="s">
        <v>69</v>
      </c>
      <c r="G16" s="155" t="s">
        <v>441</v>
      </c>
      <c r="H16" s="195">
        <f>H29*H19*H32*H36*(1/24)+H30*H20*H33*H37*(1/24)</f>
        <v>161000</v>
      </c>
      <c r="I16" s="155" t="s">
        <v>268</v>
      </c>
      <c r="J16" s="155" t="s">
        <v>117</v>
      </c>
      <c r="K16" s="295">
        <f>(K5/(K8*K45*((K40*K44*(1/24))+(K41*K43*(1/24)))*K32*(1/K47)*K34))*K11</f>
        <v>4.2696284710388834</v>
      </c>
      <c r="L16" s="86" t="s">
        <v>13</v>
      </c>
      <c r="M16" s="140" t="s">
        <v>352</v>
      </c>
      <c r="N16" s="289">
        <f>B97</f>
        <v>16.416</v>
      </c>
      <c r="O16" s="53" t="s">
        <v>224</v>
      </c>
      <c r="P16" s="140" t="s">
        <v>352</v>
      </c>
      <c r="Q16" s="289">
        <f>B97</f>
        <v>16.416</v>
      </c>
      <c r="R16" s="53" t="s">
        <v>224</v>
      </c>
      <c r="S16" s="140" t="s">
        <v>352</v>
      </c>
      <c r="T16" s="289">
        <f>B97</f>
        <v>16.416</v>
      </c>
      <c r="U16" s="53" t="s">
        <v>224</v>
      </c>
      <c r="V16" s="88" t="s">
        <v>74</v>
      </c>
      <c r="W16" s="294">
        <f>(W5)/((W11/W12)*W8*W9*W10*W13)</f>
        <v>2.3552964729435318E-4</v>
      </c>
      <c r="X16" s="88" t="s">
        <v>15</v>
      </c>
      <c r="Y16" s="88" t="s">
        <v>74</v>
      </c>
      <c r="Z16" s="294">
        <f>(Z5)/((Z11/Z12)*Z8*Z9*Z10*Z13)</f>
        <v>2.1197668256491787E-4</v>
      </c>
      <c r="AA16" s="88" t="s">
        <v>15</v>
      </c>
      <c r="AB16" s="51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2.41E-4</v>
      </c>
      <c r="AG16" s="305">
        <f>B3</f>
        <v>2.41E-4</v>
      </c>
      <c r="AH16" s="80"/>
      <c r="AI16" s="153" t="s">
        <v>470</v>
      </c>
      <c r="AJ16" s="289">
        <f>B240</f>
        <v>8</v>
      </c>
      <c r="AK16" s="152" t="s">
        <v>224</v>
      </c>
      <c r="AL16" s="153" t="s">
        <v>470</v>
      </c>
      <c r="AM16" s="289">
        <f>B240</f>
        <v>8</v>
      </c>
      <c r="AN16" s="152" t="s">
        <v>224</v>
      </c>
      <c r="AO16" s="153" t="s">
        <v>470</v>
      </c>
      <c r="AP16" s="289">
        <f>B240</f>
        <v>8</v>
      </c>
      <c r="AQ16" s="152" t="s">
        <v>224</v>
      </c>
      <c r="AR16" s="153" t="s">
        <v>465</v>
      </c>
      <c r="AS16" s="289">
        <f>B252</f>
        <v>0</v>
      </c>
      <c r="AT16" s="152" t="s">
        <v>224</v>
      </c>
      <c r="AU16" s="153" t="s">
        <v>465</v>
      </c>
      <c r="AV16" s="289">
        <f>B252</f>
        <v>0</v>
      </c>
      <c r="AW16" s="152" t="s">
        <v>224</v>
      </c>
      <c r="AX16" s="153" t="s">
        <v>465</v>
      </c>
      <c r="AY16" s="289">
        <f>B252</f>
        <v>0</v>
      </c>
      <c r="AZ16" s="152" t="s">
        <v>224</v>
      </c>
      <c r="BA16" s="153" t="s">
        <v>468</v>
      </c>
      <c r="BB16" s="289">
        <f>B228</f>
        <v>4</v>
      </c>
      <c r="BC16" s="152" t="s">
        <v>224</v>
      </c>
      <c r="BD16" s="153" t="s">
        <v>468</v>
      </c>
      <c r="BE16" s="289">
        <f>B228</f>
        <v>4</v>
      </c>
      <c r="BF16" s="152" t="s">
        <v>224</v>
      </c>
      <c r="BG16" s="153" t="s">
        <v>468</v>
      </c>
      <c r="BH16" s="289">
        <f>B228</f>
        <v>4</v>
      </c>
      <c r="BI16" s="152" t="s">
        <v>224</v>
      </c>
      <c r="BJ16" s="152" t="s">
        <v>448</v>
      </c>
      <c r="BK16" s="290">
        <f>B23</f>
        <v>2.767285944E-8</v>
      </c>
      <c r="BL16" s="77" t="s">
        <v>72</v>
      </c>
      <c r="BM16" s="153" t="s">
        <v>449</v>
      </c>
      <c r="BN16" s="290">
        <f>B25</f>
        <v>1.3754695536000001E-8</v>
      </c>
      <c r="BO16" s="77" t="s">
        <v>72</v>
      </c>
      <c r="BP16" s="153" t="s">
        <v>452</v>
      </c>
      <c r="BQ16" s="290">
        <f>B27</f>
        <v>2.767285944E-8</v>
      </c>
      <c r="BR16" s="77" t="s">
        <v>72</v>
      </c>
      <c r="BS16" s="53" t="s">
        <v>105</v>
      </c>
      <c r="BT16" s="289">
        <f>B113</f>
        <v>1</v>
      </c>
      <c r="BU16" s="53" t="s">
        <v>50</v>
      </c>
      <c r="BV16" s="51" t="s">
        <v>83</v>
      </c>
      <c r="BW16" s="292">
        <f>B131</f>
        <v>0.5</v>
      </c>
      <c r="BX16" s="53" t="s">
        <v>84</v>
      </c>
      <c r="BY16" s="51" t="s">
        <v>490</v>
      </c>
      <c r="BZ16" s="312">
        <f>(BZ18*BZ22*BZ27+BZ19*BZ23*BZ26)</f>
        <v>240000</v>
      </c>
      <c r="CA16" s="51" t="s">
        <v>267</v>
      </c>
      <c r="CC16" s="293"/>
      <c r="CF16" s="293"/>
      <c r="CH16" s="53"/>
      <c r="CI16" s="289"/>
      <c r="CJ16" s="53"/>
      <c r="CL16" s="293"/>
      <c r="CO16" s="293"/>
      <c r="CR16" s="293"/>
      <c r="CT16" s="212" t="s">
        <v>117</v>
      </c>
      <c r="CU16" s="295">
        <f>(CU5*CU44*CU12)/((1-EXP(-CU12*CU44))*CU8*CU31*(1/365)*CU32*((CU38*(1/24)*CU42)+(CU39*(1/24)*CU41))*CU43)</f>
        <v>1.4435522806287202</v>
      </c>
      <c r="CV16" s="213" t="s">
        <v>13</v>
      </c>
      <c r="CW16" s="88" t="s">
        <v>73</v>
      </c>
      <c r="CX16" s="194">
        <f>B155</f>
        <v>6</v>
      </c>
      <c r="CY16" s="88" t="s">
        <v>69</v>
      </c>
      <c r="CZ16" s="212" t="s">
        <v>170</v>
      </c>
      <c r="DA16" s="301">
        <f>DG2</f>
        <v>0.15357147147603734</v>
      </c>
      <c r="DB16" s="212" t="s">
        <v>14</v>
      </c>
      <c r="DC16" s="153" t="s">
        <v>385</v>
      </c>
      <c r="DD16" s="298">
        <f>B156</f>
        <v>34</v>
      </c>
      <c r="DE16" s="51" t="s">
        <v>69</v>
      </c>
      <c r="DF16" s="80" t="s">
        <v>81</v>
      </c>
      <c r="DG16" s="299">
        <f>DG20+(0.693/DG22)</f>
        <v>4.9504394977168943E-2</v>
      </c>
      <c r="DH16" s="51" t="s">
        <v>82</v>
      </c>
      <c r="DJ16" s="293"/>
      <c r="DL16" s="80"/>
      <c r="DM16" s="293"/>
      <c r="DO16" s="80" t="s">
        <v>81</v>
      </c>
      <c r="DP16" s="299">
        <f>DP20+(0.693/DP22)</f>
        <v>4.9504394977168943E-2</v>
      </c>
      <c r="DQ16" s="51" t="s">
        <v>82</v>
      </c>
      <c r="DR16" s="156" t="s">
        <v>400</v>
      </c>
      <c r="DS16" s="297">
        <f>B175</f>
        <v>1</v>
      </c>
      <c r="DT16" s="53"/>
      <c r="DU16" s="80"/>
      <c r="DV16" s="293"/>
      <c r="DY16" s="293"/>
      <c r="EA16" s="80"/>
      <c r="EB16" s="293"/>
      <c r="ED16" s="80" t="s">
        <v>81</v>
      </c>
      <c r="EE16" s="299">
        <f>EE20+(0.693/EE22)</f>
        <v>4.9504394977168943E-2</v>
      </c>
      <c r="EF16" s="51" t="s">
        <v>82</v>
      </c>
      <c r="EG16" s="156" t="s">
        <v>401</v>
      </c>
      <c r="EH16" s="297">
        <f>B176</f>
        <v>1</v>
      </c>
      <c r="EI16" s="53"/>
      <c r="EJ16" s="80"/>
      <c r="EK16" s="293"/>
      <c r="EN16" s="293"/>
      <c r="EP16" s="80"/>
      <c r="EQ16" s="293"/>
      <c r="ES16" s="80" t="s">
        <v>81</v>
      </c>
      <c r="ET16" s="299">
        <f>ET20+(0.693/ET22)</f>
        <v>4.9504394977168943E-2</v>
      </c>
      <c r="EU16" s="51" t="s">
        <v>82</v>
      </c>
      <c r="EV16" s="156" t="s">
        <v>402</v>
      </c>
      <c r="EW16" s="297">
        <f>B177</f>
        <v>1</v>
      </c>
      <c r="EX16" s="53"/>
      <c r="EZ16" s="293"/>
      <c r="FC16" s="293"/>
      <c r="FF16" s="293"/>
      <c r="FH16" s="51" t="s">
        <v>81</v>
      </c>
      <c r="FI16" s="299">
        <f>FI20+(0.693/FI22)</f>
        <v>4.9504394977168943E-2</v>
      </c>
      <c r="FJ16" s="51" t="s">
        <v>82</v>
      </c>
      <c r="FK16" s="156" t="s">
        <v>403</v>
      </c>
      <c r="FL16" s="297">
        <f>B178</f>
        <v>1</v>
      </c>
      <c r="FM16" s="53"/>
      <c r="FO16" s="293"/>
      <c r="FR16" s="293"/>
      <c r="FU16" s="293"/>
      <c r="FX16" s="293"/>
      <c r="FZ16" s="156" t="s">
        <v>404</v>
      </c>
      <c r="GA16" s="297">
        <f>B179</f>
        <v>1</v>
      </c>
      <c r="GB16" s="53"/>
      <c r="GD16" s="293"/>
      <c r="GG16" s="293"/>
      <c r="GJ16" s="293"/>
      <c r="GL16" s="51" t="s">
        <v>81</v>
      </c>
      <c r="GM16" s="299">
        <f>GM20+(0.693/GM22)</f>
        <v>4.9504394977168943E-2</v>
      </c>
      <c r="GN16" s="51" t="s">
        <v>82</v>
      </c>
      <c r="GP16" s="297">
        <v>365</v>
      </c>
      <c r="GQ16" s="53" t="s">
        <v>26</v>
      </c>
      <c r="GS16" s="293"/>
      <c r="GV16" s="293"/>
      <c r="GY16" s="293"/>
      <c r="HA16" s="51" t="s">
        <v>81</v>
      </c>
      <c r="HB16" s="299">
        <f>HB20+(0.693/HB22)</f>
        <v>4.9504394977168943E-2</v>
      </c>
      <c r="HC16" s="51" t="s">
        <v>82</v>
      </c>
      <c r="HE16" s="293"/>
    </row>
    <row r="17" spans="1:214" ht="13.5" thickBot="1" x14ac:dyDescent="0.25">
      <c r="A17" s="587"/>
      <c r="B17" s="588"/>
      <c r="C17" s="588"/>
      <c r="D17" s="88" t="s">
        <v>342</v>
      </c>
      <c r="E17" s="304">
        <f>B65</f>
        <v>20</v>
      </c>
      <c r="F17" s="155" t="s">
        <v>69</v>
      </c>
      <c r="G17" s="155" t="s">
        <v>322</v>
      </c>
      <c r="H17" s="194">
        <f>B55</f>
        <v>0.78</v>
      </c>
      <c r="I17" s="155" t="s">
        <v>30</v>
      </c>
      <c r="J17" s="155" t="s">
        <v>249</v>
      </c>
      <c r="K17" s="301">
        <f>(K18/(K50+K51))*K11</f>
        <v>4.7948959942719978E-2</v>
      </c>
      <c r="L17" s="86" t="s">
        <v>13</v>
      </c>
      <c r="M17" s="51"/>
      <c r="N17" s="293"/>
      <c r="O17" s="51"/>
      <c r="P17" s="51"/>
      <c r="Q17" s="293"/>
      <c r="R17" s="51"/>
      <c r="S17" s="51"/>
      <c r="T17" s="293"/>
      <c r="U17" s="51"/>
      <c r="V17" s="88" t="s">
        <v>78</v>
      </c>
      <c r="W17" s="296">
        <f>(W5)/((W11/W12)*W8*W9*W14*(1/365))</f>
        <v>3354.5132567282808</v>
      </c>
      <c r="X17" s="88" t="s">
        <v>15</v>
      </c>
      <c r="Y17" s="88" t="s">
        <v>78</v>
      </c>
      <c r="Z17" s="296">
        <f>(Z5)/((Z11/Z12)*Z8*Z9*Z14*(1/365))</f>
        <v>3019.0619310554534</v>
      </c>
      <c r="AA17" s="88" t="s">
        <v>15</v>
      </c>
      <c r="AB17" s="51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80" t="s">
        <v>49</v>
      </c>
      <c r="AI17" s="51"/>
      <c r="AJ17" s="293"/>
      <c r="AK17" s="51"/>
      <c r="AL17" s="51"/>
      <c r="AM17" s="293"/>
      <c r="AN17" s="51"/>
      <c r="AO17" s="51"/>
      <c r="AP17" s="293"/>
      <c r="AQ17" s="51"/>
      <c r="AR17" s="51"/>
      <c r="AS17" s="293"/>
      <c r="AT17" s="51"/>
      <c r="AU17" s="51"/>
      <c r="AV17" s="293"/>
      <c r="AW17" s="51"/>
      <c r="AX17" s="51"/>
      <c r="AY17" s="293"/>
      <c r="AZ17" s="51"/>
      <c r="BA17" s="51"/>
      <c r="BB17" s="293"/>
      <c r="BC17" s="51"/>
      <c r="BD17" s="51"/>
      <c r="BE17" s="293"/>
      <c r="BF17" s="51"/>
      <c r="BG17" s="51"/>
      <c r="BH17" s="293"/>
      <c r="BI17" s="51"/>
      <c r="BJ17" s="51"/>
      <c r="BK17" s="293"/>
      <c r="BL17" s="51"/>
      <c r="BM17" s="51"/>
      <c r="BN17" s="293"/>
      <c r="BO17" s="51"/>
      <c r="BP17" s="51"/>
      <c r="BQ17" s="293"/>
      <c r="BR17" s="51"/>
      <c r="BS17" s="94" t="s">
        <v>373</v>
      </c>
      <c r="BT17" s="297">
        <f>B107</f>
        <v>6</v>
      </c>
      <c r="BU17" s="53" t="s">
        <v>33</v>
      </c>
      <c r="BV17" s="94" t="s">
        <v>371</v>
      </c>
      <c r="BW17" s="329">
        <f>B110</f>
        <v>75</v>
      </c>
      <c r="BX17" s="51" t="s">
        <v>26</v>
      </c>
      <c r="BY17" s="51" t="s">
        <v>491</v>
      </c>
      <c r="BZ17" s="312">
        <f>(BZ27*BZ24*BZ20*(BZ29/24))+(BZ26*BZ23*BZ21*(BZ30/24))</f>
        <v>1437.5</v>
      </c>
      <c r="CA17" s="53" t="s">
        <v>268</v>
      </c>
      <c r="CH17" s="51"/>
      <c r="CI17" s="293"/>
      <c r="CJ17" s="51"/>
      <c r="CK17" s="220"/>
      <c r="CM17" s="220"/>
      <c r="CN17" s="220"/>
      <c r="CP17" s="220"/>
      <c r="CQ17" s="220"/>
      <c r="CS17" s="220"/>
      <c r="CT17" s="212" t="s">
        <v>249</v>
      </c>
      <c r="CU17" s="301">
        <f>DJ2</f>
        <v>7.7607250385718085E-3</v>
      </c>
      <c r="CV17" s="213" t="s">
        <v>13</v>
      </c>
      <c r="CW17" s="212" t="s">
        <v>77</v>
      </c>
      <c r="CX17" s="304">
        <f>B156</f>
        <v>34</v>
      </c>
      <c r="CY17" s="88" t="s">
        <v>69</v>
      </c>
      <c r="CZ17" s="212" t="s">
        <v>182</v>
      </c>
      <c r="DA17" s="295">
        <f>EZ2</f>
        <v>9475.0983841202997</v>
      </c>
      <c r="DB17" s="88"/>
      <c r="DC17" s="153" t="s">
        <v>386</v>
      </c>
      <c r="DD17" s="297">
        <f>B157</f>
        <v>40</v>
      </c>
      <c r="DE17" s="51" t="s">
        <v>69</v>
      </c>
      <c r="DF17" s="80" t="s">
        <v>85</v>
      </c>
      <c r="DG17" s="293">
        <v>60</v>
      </c>
      <c r="DH17" s="51" t="s">
        <v>61</v>
      </c>
      <c r="DL17" s="80"/>
      <c r="DM17" s="293"/>
      <c r="DN17" s="51"/>
      <c r="DO17" s="80" t="s">
        <v>85</v>
      </c>
      <c r="DP17" s="293">
        <f>B186</f>
        <v>60</v>
      </c>
      <c r="DQ17" s="51" t="s">
        <v>61</v>
      </c>
      <c r="DR17" s="51"/>
      <c r="DS17" s="297">
        <v>365</v>
      </c>
      <c r="DT17" s="53" t="s">
        <v>26</v>
      </c>
      <c r="DU17" s="80"/>
      <c r="DV17" s="293"/>
      <c r="DW17" s="51"/>
      <c r="EA17" s="80"/>
      <c r="EB17" s="293"/>
      <c r="EC17" s="51"/>
      <c r="ED17" s="80" t="s">
        <v>85</v>
      </c>
      <c r="EE17" s="293">
        <f>B186</f>
        <v>60</v>
      </c>
      <c r="EF17" s="51" t="s">
        <v>61</v>
      </c>
      <c r="EH17" s="297">
        <v>365</v>
      </c>
      <c r="EI17" s="53" t="s">
        <v>165</v>
      </c>
      <c r="EJ17" s="80"/>
      <c r="EK17" s="293"/>
      <c r="EL17" s="51"/>
      <c r="EP17" s="80"/>
      <c r="EQ17" s="293"/>
      <c r="ER17" s="51"/>
      <c r="ES17" s="80" t="s">
        <v>85</v>
      </c>
      <c r="ET17" s="293">
        <f>B186</f>
        <v>60</v>
      </c>
      <c r="EU17" s="51" t="s">
        <v>61</v>
      </c>
      <c r="EV17" s="51"/>
      <c r="EW17" s="297">
        <v>365</v>
      </c>
      <c r="EX17" s="53" t="s">
        <v>26</v>
      </c>
      <c r="EY17" s="51"/>
      <c r="EZ17" s="293"/>
      <c r="FA17" s="51"/>
      <c r="FB17" s="51"/>
      <c r="FC17" s="293"/>
      <c r="FD17" s="51"/>
      <c r="FE17" s="51"/>
      <c r="FF17" s="293"/>
      <c r="FG17" s="51"/>
      <c r="FH17" s="51" t="s">
        <v>85</v>
      </c>
      <c r="FI17" s="293">
        <f>B186</f>
        <v>60</v>
      </c>
      <c r="FJ17" s="51" t="s">
        <v>61</v>
      </c>
      <c r="FK17" s="51"/>
      <c r="FL17" s="297">
        <v>365</v>
      </c>
      <c r="FM17" s="53" t="s">
        <v>26</v>
      </c>
      <c r="FN17" s="51"/>
      <c r="FO17" s="293"/>
      <c r="FP17" s="51"/>
      <c r="FQ17" s="51"/>
      <c r="FR17" s="293"/>
      <c r="FS17" s="51"/>
      <c r="FT17" s="51"/>
      <c r="FU17" s="293"/>
      <c r="FV17" s="51"/>
      <c r="FW17" s="51"/>
      <c r="FX17" s="293"/>
      <c r="FY17" s="51"/>
      <c r="FZ17" s="51"/>
      <c r="GA17" s="297">
        <v>365</v>
      </c>
      <c r="GB17" s="53" t="s">
        <v>26</v>
      </c>
      <c r="GC17" s="51"/>
      <c r="GD17" s="293"/>
      <c r="GE17" s="51"/>
      <c r="GI17" s="51"/>
      <c r="GJ17" s="293"/>
      <c r="GK17" s="51"/>
      <c r="GL17" s="51" t="s">
        <v>85</v>
      </c>
      <c r="GM17" s="293">
        <f>B186</f>
        <v>60</v>
      </c>
      <c r="GN17" s="51" t="s">
        <v>61</v>
      </c>
      <c r="GO17" s="152" t="s">
        <v>23</v>
      </c>
      <c r="GP17" s="287">
        <f>0.693/GP18</f>
        <v>1.6034243405830633E-3</v>
      </c>
      <c r="GQ17" s="152"/>
      <c r="GR17" s="51"/>
      <c r="GS17" s="293"/>
      <c r="GT17" s="51"/>
      <c r="GU17" s="51"/>
      <c r="GV17" s="328"/>
      <c r="GW17" s="51"/>
      <c r="GX17" s="51"/>
      <c r="GY17" s="293"/>
      <c r="GZ17" s="51"/>
      <c r="HA17" s="51" t="s">
        <v>85</v>
      </c>
      <c r="HB17" s="293">
        <f>B186</f>
        <v>60</v>
      </c>
      <c r="HC17" s="51" t="s">
        <v>61</v>
      </c>
      <c r="HD17" s="77"/>
      <c r="HE17" s="307"/>
    </row>
    <row r="18" spans="1:214" ht="18.75" thickTop="1" x14ac:dyDescent="0.2">
      <c r="A18" s="53" t="s">
        <v>17</v>
      </c>
      <c r="B18" s="100">
        <v>9.9999999999999995E-7</v>
      </c>
      <c r="D18" s="155" t="s">
        <v>63</v>
      </c>
      <c r="E18" s="189">
        <f>B28</f>
        <v>5.8031270640000001E-11</v>
      </c>
      <c r="F18" s="155" t="s">
        <v>64</v>
      </c>
      <c r="G18" s="155" t="s">
        <v>323</v>
      </c>
      <c r="H18" s="194">
        <f>B56</f>
        <v>2.5</v>
      </c>
      <c r="I18" s="155" t="s">
        <v>30</v>
      </c>
      <c r="J18" s="155" t="s">
        <v>248</v>
      </c>
      <c r="K18" s="302">
        <f>K5/(K9*(K25+K28)*K39)</f>
        <v>1.2211339332108596E-2</v>
      </c>
      <c r="L18" s="86" t="s">
        <v>13</v>
      </c>
      <c r="V18" s="88" t="s">
        <v>74</v>
      </c>
      <c r="W18" s="294">
        <f>(W5*W6*W9)/((W11/W12)*(1-EXP(-W6*W9))*W10*W13*W8*W9)</f>
        <v>2.4028185958637006E-4</v>
      </c>
      <c r="X18" s="88" t="s">
        <v>16</v>
      </c>
      <c r="Y18" s="88" t="s">
        <v>74</v>
      </c>
      <c r="Z18" s="294">
        <f>(Z5*Z6*Z9)/((Z11/Z12)*(1-EXP(-Z6*Z9))*Z10*Z13*Z8*Z9)</f>
        <v>2.1625367362773307E-4</v>
      </c>
      <c r="AA18" s="88" t="s">
        <v>16</v>
      </c>
      <c r="AB18" s="51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80"/>
      <c r="BS18" s="94" t="s">
        <v>372</v>
      </c>
      <c r="BT18" s="293">
        <f>B108</f>
        <v>20</v>
      </c>
      <c r="BU18" s="51" t="s">
        <v>33</v>
      </c>
      <c r="BV18" s="94" t="s">
        <v>370</v>
      </c>
      <c r="BW18" s="298">
        <f>B111</f>
        <v>75</v>
      </c>
      <c r="BX18" s="51" t="s">
        <v>26</v>
      </c>
      <c r="BY18" s="153" t="s">
        <v>362</v>
      </c>
      <c r="BZ18" s="297">
        <f>B103</f>
        <v>200</v>
      </c>
      <c r="CA18" s="77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12" t="s">
        <v>182</v>
      </c>
      <c r="CU18" s="295">
        <f>FC2</f>
        <v>54.342224943870114</v>
      </c>
      <c r="CV18" s="213" t="s">
        <v>13</v>
      </c>
      <c r="CW18" s="212" t="s">
        <v>63</v>
      </c>
      <c r="CX18" s="189">
        <f>B28</f>
        <v>5.8031270640000001E-11</v>
      </c>
      <c r="CY18" s="212" t="s">
        <v>64</v>
      </c>
      <c r="CZ18" s="212" t="s">
        <v>258</v>
      </c>
      <c r="DA18" s="295">
        <f>GS2</f>
        <v>3208.9379300072542</v>
      </c>
      <c r="DB18" s="88"/>
      <c r="DC18" s="78"/>
      <c r="DD18" s="287">
        <v>9.9999999999999995E-7</v>
      </c>
      <c r="DE18" s="83"/>
      <c r="DF18" s="80" t="s">
        <v>87</v>
      </c>
      <c r="DG18" s="293">
        <v>2</v>
      </c>
      <c r="DH18" s="51" t="s">
        <v>66</v>
      </c>
      <c r="DL18" s="80"/>
      <c r="DM18" s="293"/>
      <c r="DN18" s="51"/>
      <c r="DO18" s="80" t="s">
        <v>87</v>
      </c>
      <c r="DP18" s="293">
        <f>B187</f>
        <v>2</v>
      </c>
      <c r="DQ18" s="51" t="s">
        <v>66</v>
      </c>
      <c r="DR18" s="152" t="s">
        <v>23</v>
      </c>
      <c r="DS18" s="287">
        <f>0.693/DS19</f>
        <v>1.6034243405830633E-3</v>
      </c>
      <c r="DT18" s="152"/>
      <c r="DU18" s="80"/>
      <c r="DV18" s="293"/>
      <c r="DW18" s="51"/>
      <c r="EA18" s="80"/>
      <c r="EB18" s="293"/>
      <c r="EC18" s="51"/>
      <c r="ED18" s="80" t="s">
        <v>87</v>
      </c>
      <c r="EE18" s="293">
        <f>B187</f>
        <v>2</v>
      </c>
      <c r="EF18" s="51" t="s">
        <v>66</v>
      </c>
      <c r="EG18" s="152" t="s">
        <v>23</v>
      </c>
      <c r="EH18" s="287">
        <f>0.693/EH19</f>
        <v>1.6034243405830633E-3</v>
      </c>
      <c r="EJ18" s="80"/>
      <c r="EK18" s="293"/>
      <c r="EL18" s="51"/>
      <c r="EP18" s="80"/>
      <c r="EQ18" s="293"/>
      <c r="ER18" s="51"/>
      <c r="ES18" s="80" t="s">
        <v>87</v>
      </c>
      <c r="ET18" s="293">
        <f>B187</f>
        <v>2</v>
      </c>
      <c r="EU18" s="51" t="s">
        <v>66</v>
      </c>
      <c r="EV18" s="53" t="s">
        <v>23</v>
      </c>
      <c r="EW18" s="287">
        <f>0.693/EW19</f>
        <v>1.6034243405830633E-3</v>
      </c>
      <c r="EY18" s="51"/>
      <c r="EZ18" s="293"/>
      <c r="FA18" s="51"/>
      <c r="FB18" s="51"/>
      <c r="FC18" s="293"/>
      <c r="FD18" s="51"/>
      <c r="FE18" s="51"/>
      <c r="FF18" s="293"/>
      <c r="FG18" s="51"/>
      <c r="FH18" s="51" t="s">
        <v>87</v>
      </c>
      <c r="FI18" s="293">
        <f>B187</f>
        <v>2</v>
      </c>
      <c r="FJ18" s="51" t="s">
        <v>66</v>
      </c>
      <c r="FK18" s="152" t="s">
        <v>23</v>
      </c>
      <c r="FL18" s="287">
        <f>0.693/FL19</f>
        <v>1.6034243405830633E-3</v>
      </c>
      <c r="FM18" s="152"/>
      <c r="FN18" s="51"/>
      <c r="FO18" s="293"/>
      <c r="FP18" s="51"/>
      <c r="FQ18" s="51"/>
      <c r="FR18" s="293"/>
      <c r="FS18" s="51"/>
      <c r="FT18" s="51"/>
      <c r="FU18" s="293"/>
      <c r="FV18" s="51"/>
      <c r="FW18" s="51"/>
      <c r="FX18" s="293"/>
      <c r="FY18" s="51"/>
      <c r="FZ18" s="152" t="s">
        <v>23</v>
      </c>
      <c r="GA18" s="287">
        <f>0.693/GA19</f>
        <v>1.6034243405830633E-3</v>
      </c>
      <c r="GB18" s="152"/>
      <c r="GC18" s="51"/>
      <c r="GD18" s="293"/>
      <c r="GE18" s="51"/>
      <c r="GI18" s="51"/>
      <c r="GJ18" s="293"/>
      <c r="GK18" s="51"/>
      <c r="GL18" s="51" t="s">
        <v>87</v>
      </c>
      <c r="GM18" s="293">
        <f>B187</f>
        <v>2</v>
      </c>
      <c r="GN18" s="51" t="s">
        <v>66</v>
      </c>
      <c r="GO18" s="155" t="s">
        <v>270</v>
      </c>
      <c r="GP18" s="287">
        <f>B31</f>
        <v>432.2</v>
      </c>
      <c r="GQ18" s="152" t="s">
        <v>69</v>
      </c>
      <c r="GR18" s="51"/>
      <c r="GS18" s="293"/>
      <c r="GT18" s="51"/>
      <c r="GU18" s="51"/>
      <c r="GV18" s="293"/>
      <c r="GW18" s="51"/>
      <c r="HA18" s="51" t="s">
        <v>87</v>
      </c>
      <c r="HB18" s="293">
        <f>B187</f>
        <v>2</v>
      </c>
      <c r="HC18" s="51" t="s">
        <v>66</v>
      </c>
    </row>
    <row r="19" spans="1:214" ht="13.5" thickBot="1" x14ac:dyDescent="0.25">
      <c r="A19" s="51" t="s">
        <v>43</v>
      </c>
      <c r="B19" s="104">
        <v>3.7739999999999999E-8</v>
      </c>
      <c r="C19" s="77" t="s">
        <v>35</v>
      </c>
      <c r="D19" s="155" t="s">
        <v>255</v>
      </c>
      <c r="E19" s="304">
        <v>1</v>
      </c>
      <c r="F19" s="88"/>
      <c r="G19" s="155" t="s">
        <v>318</v>
      </c>
      <c r="H19" s="194">
        <f>B51</f>
        <v>10</v>
      </c>
      <c r="I19" s="86" t="s">
        <v>49</v>
      </c>
      <c r="J19" s="155" t="s">
        <v>51</v>
      </c>
      <c r="K19" s="196">
        <f>K21*K31*K36+K22*K32*K35</f>
        <v>1120000</v>
      </c>
      <c r="L19" s="155" t="s">
        <v>267</v>
      </c>
      <c r="V19" s="88" t="s">
        <v>78</v>
      </c>
      <c r="W19" s="296">
        <f>(W5*W6*W9)/((W11/W12)*(1-EXP(-W6*W9))*W14*W8*W9*(1/365))</f>
        <v>3422.1962822644887</v>
      </c>
      <c r="X19" s="88" t="s">
        <v>16</v>
      </c>
      <c r="Y19" s="88" t="s">
        <v>78</v>
      </c>
      <c r="Z19" s="296">
        <f>(Z5*Z6*Z9)/((Z11/Z12)*(1-EXP(-Z6*Z9))*Z14*Z8*Z9*(1/365))</f>
        <v>3079.9766540380397</v>
      </c>
      <c r="AA19" s="88" t="s">
        <v>16</v>
      </c>
      <c r="AB19" s="51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0.753</v>
      </c>
      <c r="AG19" s="305">
        <f>B4</f>
        <v>0.753</v>
      </c>
      <c r="AH19" s="80"/>
      <c r="BS19" s="51" t="s">
        <v>63</v>
      </c>
      <c r="BT19" s="287">
        <f>E18</f>
        <v>5.8031270640000001E-11</v>
      </c>
      <c r="BU19" s="51" t="s">
        <v>64</v>
      </c>
      <c r="BV19" s="51" t="s">
        <v>59</v>
      </c>
      <c r="BW19" s="298">
        <f>B109</f>
        <v>26</v>
      </c>
      <c r="BX19" s="77" t="s">
        <v>69</v>
      </c>
      <c r="BY19" s="153" t="s">
        <v>363</v>
      </c>
      <c r="BZ19" s="297">
        <f>B104</f>
        <v>100</v>
      </c>
      <c r="CA19" s="77" t="s">
        <v>54</v>
      </c>
      <c r="CB19" s="410" t="s">
        <v>561</v>
      </c>
      <c r="CC19" s="400">
        <f>(CC22*CC23*CC24)/((1-EXP(-CC24*CC23))*CC27*CC31*(CC26/365)*CC29*(CC30/24)*CC28)</f>
        <v>19329332.472699534</v>
      </c>
      <c r="CD19" s="404" t="s">
        <v>94</v>
      </c>
      <c r="CE19" s="402" t="s">
        <v>562</v>
      </c>
      <c r="CF19" s="400">
        <f>(CF22*CF23*CF24)/((1-EXP(-CF24*CF23))*CF27*CF31*(CF26/365)*CF29*(CF30/24)*CF28)</f>
        <v>1853457.2546850138</v>
      </c>
      <c r="CG19" s="398" t="s">
        <v>13</v>
      </c>
      <c r="CK19" s="410" t="s">
        <v>510</v>
      </c>
      <c r="CL19" s="400">
        <f>CL22/(CL23*CL24*CL25*CL26)</f>
        <v>3.8393390193944206</v>
      </c>
      <c r="CM19" s="404" t="s">
        <v>13</v>
      </c>
      <c r="CN19" s="402" t="s">
        <v>7</v>
      </c>
      <c r="CO19" s="400">
        <f>((CL19)/(CO22*((CO27*CO29*CO30*(CO23+CO24)+(CO28*CO29)))))*CL29</f>
        <v>6271.768376821663</v>
      </c>
      <c r="CP19" s="412" t="s">
        <v>13</v>
      </c>
      <c r="CQ19" s="402" t="s">
        <v>6</v>
      </c>
      <c r="CR19" s="400">
        <f>CL19/(CR22*CR23*(1/CR24))</f>
        <v>7678678.0387888411</v>
      </c>
      <c r="CS19" s="415" t="s">
        <v>14</v>
      </c>
      <c r="CT19" s="212" t="s">
        <v>258</v>
      </c>
      <c r="CU19" s="295">
        <f>GV2</f>
        <v>24.443385213560891</v>
      </c>
      <c r="CV19" s="213" t="s">
        <v>13</v>
      </c>
      <c r="CW19" s="212" t="s">
        <v>255</v>
      </c>
      <c r="CX19" s="304">
        <f>B173</f>
        <v>1</v>
      </c>
      <c r="CY19" s="88"/>
      <c r="CZ19" s="212" t="s">
        <v>184</v>
      </c>
      <c r="DA19" s="295">
        <f>EK2</f>
        <v>128.27647873935561</v>
      </c>
      <c r="DB19" s="88"/>
      <c r="DC19" s="83"/>
      <c r="DD19" s="287">
        <v>1000</v>
      </c>
      <c r="DE19" s="80" t="s">
        <v>115</v>
      </c>
      <c r="DF19" s="80" t="s">
        <v>89</v>
      </c>
      <c r="DG19" s="289">
        <v>2.6999999999999999E-5</v>
      </c>
      <c r="DH19" s="53" t="s">
        <v>82</v>
      </c>
      <c r="DL19" s="80"/>
      <c r="DO19" s="80" t="s">
        <v>89</v>
      </c>
      <c r="DP19" s="289">
        <f>B188</f>
        <v>2.6999999999999999E-5</v>
      </c>
      <c r="DQ19" s="53" t="s">
        <v>82</v>
      </c>
      <c r="DR19" s="155" t="s">
        <v>270</v>
      </c>
      <c r="DS19" s="287">
        <f>B31</f>
        <v>432.2</v>
      </c>
      <c r="DT19" s="152" t="s">
        <v>69</v>
      </c>
      <c r="DU19" s="80"/>
      <c r="EA19" s="80"/>
      <c r="EB19" s="307"/>
      <c r="EC19" s="77"/>
      <c r="ED19" s="80" t="s">
        <v>89</v>
      </c>
      <c r="EE19" s="307">
        <f>B188</f>
        <v>2.6999999999999999E-5</v>
      </c>
      <c r="EF19" s="77" t="s">
        <v>82</v>
      </c>
      <c r="EG19" s="155" t="s">
        <v>270</v>
      </c>
      <c r="EH19" s="287">
        <f>B31</f>
        <v>432.2</v>
      </c>
      <c r="EI19" s="152" t="s">
        <v>69</v>
      </c>
      <c r="EJ19" s="80"/>
      <c r="EP19" s="80"/>
      <c r="EQ19" s="307"/>
      <c r="ER19" s="77"/>
      <c r="ES19" s="80" t="s">
        <v>89</v>
      </c>
      <c r="ET19" s="307">
        <f>B188</f>
        <v>2.6999999999999999E-5</v>
      </c>
      <c r="EU19" s="77" t="s">
        <v>82</v>
      </c>
      <c r="EV19" s="155" t="s">
        <v>270</v>
      </c>
      <c r="EW19" s="287">
        <f>B31</f>
        <v>432.2</v>
      </c>
      <c r="EX19" s="152" t="s">
        <v>69</v>
      </c>
      <c r="EY19" s="77"/>
      <c r="EZ19" s="307"/>
      <c r="FA19" s="77"/>
      <c r="FB19" s="77"/>
      <c r="FC19" s="307"/>
      <c r="FD19" s="77"/>
      <c r="FE19" s="77"/>
      <c r="FF19" s="307"/>
      <c r="FG19" s="77"/>
      <c r="FH19" s="77" t="s">
        <v>89</v>
      </c>
      <c r="FI19" s="293">
        <f>B188</f>
        <v>2.6999999999999999E-5</v>
      </c>
      <c r="FJ19" s="77" t="s">
        <v>82</v>
      </c>
      <c r="FK19" s="155" t="s">
        <v>270</v>
      </c>
      <c r="FL19" s="287">
        <f>B31</f>
        <v>432.2</v>
      </c>
      <c r="FM19" s="152" t="s">
        <v>69</v>
      </c>
      <c r="FN19" s="77"/>
      <c r="FO19" s="307"/>
      <c r="FP19" s="77"/>
      <c r="FQ19" s="77"/>
      <c r="FR19" s="307"/>
      <c r="FS19" s="77"/>
      <c r="FT19" s="77"/>
      <c r="FU19" s="307"/>
      <c r="FV19" s="77"/>
      <c r="FW19" s="51"/>
      <c r="FX19" s="293"/>
      <c r="FY19" s="51"/>
      <c r="FZ19" s="155" t="s">
        <v>270</v>
      </c>
      <c r="GA19" s="287">
        <f>B31</f>
        <v>432.2</v>
      </c>
      <c r="GB19" s="152" t="s">
        <v>69</v>
      </c>
      <c r="GC19" s="77"/>
      <c r="GD19" s="293"/>
      <c r="GE19" s="51"/>
      <c r="GI19" s="51"/>
      <c r="GJ19" s="293"/>
      <c r="GK19" s="51"/>
      <c r="GL19" s="51" t="s">
        <v>89</v>
      </c>
      <c r="GM19" s="293">
        <f>B188</f>
        <v>2.6999999999999999E-5</v>
      </c>
      <c r="GN19" s="77" t="s">
        <v>82</v>
      </c>
      <c r="GO19" s="80"/>
      <c r="GP19" s="292"/>
      <c r="GQ19" s="80"/>
      <c r="GR19" s="77"/>
      <c r="GS19" s="293"/>
      <c r="GT19" s="51"/>
      <c r="GU19" s="51"/>
      <c r="GV19" s="293"/>
      <c r="GW19" s="51"/>
      <c r="HA19" s="51" t="s">
        <v>89</v>
      </c>
      <c r="HB19" s="293">
        <f>B188</f>
        <v>2.6999999999999999E-5</v>
      </c>
      <c r="HC19" s="77" t="s">
        <v>82</v>
      </c>
    </row>
    <row r="20" spans="1:214" ht="19.5" thickTop="1" thickBot="1" x14ac:dyDescent="0.25">
      <c r="A20" s="51" t="s">
        <v>439</v>
      </c>
      <c r="B20" s="103">
        <v>1.036E-10</v>
      </c>
      <c r="C20" s="77" t="s">
        <v>35</v>
      </c>
      <c r="D20" s="88" t="s">
        <v>74</v>
      </c>
      <c r="E20" s="294">
        <f>(E5)/(E10*E11)</f>
        <v>1.645781696932592E-4</v>
      </c>
      <c r="F20" s="88" t="s">
        <v>15</v>
      </c>
      <c r="G20" s="155" t="s">
        <v>319</v>
      </c>
      <c r="H20" s="194">
        <f>B52</f>
        <v>20</v>
      </c>
      <c r="I20" s="86" t="s">
        <v>49</v>
      </c>
      <c r="J20" s="155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AB20" s="51" t="s">
        <v>71</v>
      </c>
      <c r="AC20" s="287">
        <f>B23</f>
        <v>2.767285944E-8</v>
      </c>
      <c r="AD20" s="287">
        <f>B23</f>
        <v>2.767285944E-8</v>
      </c>
      <c r="AE20" s="287">
        <f>B23</f>
        <v>2.767285944E-8</v>
      </c>
      <c r="AF20" s="287">
        <f>B23</f>
        <v>2.767285944E-8</v>
      </c>
      <c r="AG20" s="287">
        <f>B23</f>
        <v>2.767285944E-8</v>
      </c>
      <c r="AH20" s="51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37"/>
      <c r="AP20" s="352"/>
      <c r="AQ20" s="237"/>
      <c r="AR20" s="393" t="s">
        <v>568</v>
      </c>
      <c r="AS20" s="394"/>
      <c r="AT20" s="395"/>
      <c r="AU20" s="396" t="s">
        <v>569</v>
      </c>
      <c r="AV20" s="394"/>
      <c r="AW20" s="397"/>
      <c r="AX20" s="237"/>
      <c r="AY20" s="352"/>
      <c r="AZ20" s="237"/>
      <c r="BA20" s="393" t="s">
        <v>570</v>
      </c>
      <c r="BB20" s="394"/>
      <c r="BC20" s="395"/>
      <c r="BD20" s="396" t="s">
        <v>571</v>
      </c>
      <c r="BE20" s="394"/>
      <c r="BF20" s="397"/>
      <c r="BG20" s="237"/>
      <c r="BH20" s="352"/>
      <c r="BI20" s="237"/>
      <c r="BJ20" s="393" t="s">
        <v>572</v>
      </c>
      <c r="BK20" s="394"/>
      <c r="BL20" s="395"/>
      <c r="BM20" s="396" t="s">
        <v>573</v>
      </c>
      <c r="BN20" s="394"/>
      <c r="BO20" s="397"/>
      <c r="BS20" s="51" t="s">
        <v>255</v>
      </c>
      <c r="BT20" s="293">
        <f>B130</f>
        <v>1</v>
      </c>
      <c r="BV20" s="94" t="s">
        <v>373</v>
      </c>
      <c r="BW20" s="297">
        <f>B107</f>
        <v>6</v>
      </c>
      <c r="BY20" s="153" t="s">
        <v>358</v>
      </c>
      <c r="BZ20" s="292">
        <f>B99</f>
        <v>10</v>
      </c>
      <c r="CA20" s="80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12" t="s">
        <v>184</v>
      </c>
      <c r="CU20" s="295">
        <f>EN2</f>
        <v>2.0387736732707418</v>
      </c>
      <c r="CV20" s="213" t="s">
        <v>13</v>
      </c>
      <c r="CW20" s="88" t="s">
        <v>74</v>
      </c>
      <c r="CX20" s="294">
        <f>(CX5)/((CX14/CX15)*CX10*CX11)</f>
        <v>1.0230534872824221E-4</v>
      </c>
      <c r="CY20" s="88" t="s">
        <v>15</v>
      </c>
      <c r="CZ20" s="212" t="s">
        <v>493</v>
      </c>
      <c r="DA20" s="295">
        <f>DV2</f>
        <v>33059.745124869463</v>
      </c>
      <c r="DB20" s="88"/>
      <c r="DC20" s="156" t="s">
        <v>399</v>
      </c>
      <c r="DD20" s="297">
        <f>B174</f>
        <v>1</v>
      </c>
      <c r="DE20" s="78"/>
      <c r="DF20" s="80" t="s">
        <v>90</v>
      </c>
      <c r="DG20" s="288">
        <f>0.693/DG23</f>
        <v>4.3949771689497717E-6</v>
      </c>
      <c r="DH20" s="53" t="s">
        <v>82</v>
      </c>
      <c r="DL20" s="80"/>
      <c r="DO20" s="80" t="s">
        <v>90</v>
      </c>
      <c r="DP20" s="288">
        <f>0.693/B35</f>
        <v>4.3949771689497717E-6</v>
      </c>
      <c r="DQ20" s="53" t="s">
        <v>82</v>
      </c>
      <c r="DU20" s="80"/>
      <c r="EA20" s="80"/>
      <c r="EB20" s="307"/>
      <c r="EC20" s="77"/>
      <c r="ED20" s="80" t="s">
        <v>90</v>
      </c>
      <c r="EE20" s="299">
        <f>0.693/B35</f>
        <v>4.3949771689497717E-6</v>
      </c>
      <c r="EF20" s="77" t="s">
        <v>82</v>
      </c>
      <c r="EJ20" s="80"/>
      <c r="EP20" s="80"/>
      <c r="EQ20" s="307"/>
      <c r="ER20" s="77"/>
      <c r="ES20" s="80" t="s">
        <v>90</v>
      </c>
      <c r="ET20" s="299">
        <f>0.693/B35</f>
        <v>4.3949771689497717E-6</v>
      </c>
      <c r="EU20" s="77" t="s">
        <v>82</v>
      </c>
      <c r="EY20" s="77"/>
      <c r="EZ20" s="307"/>
      <c r="FA20" s="77"/>
      <c r="FB20" s="77"/>
      <c r="FC20" s="307"/>
      <c r="FD20" s="77"/>
      <c r="FE20" s="77"/>
      <c r="FF20" s="307"/>
      <c r="FG20" s="77"/>
      <c r="FH20" s="77" t="s">
        <v>90</v>
      </c>
      <c r="FI20" s="299">
        <f>0.693/B35</f>
        <v>4.3949771689497717E-6</v>
      </c>
      <c r="FJ20" s="77" t="s">
        <v>82</v>
      </c>
      <c r="FK20" s="80"/>
      <c r="FL20" s="292"/>
      <c r="FM20" s="80"/>
      <c r="FN20" s="77"/>
      <c r="FO20" s="307"/>
      <c r="FP20" s="77"/>
      <c r="FQ20" s="77"/>
      <c r="FR20" s="307"/>
      <c r="FS20" s="77"/>
      <c r="FT20" s="77"/>
      <c r="FU20" s="307"/>
      <c r="FV20" s="77"/>
      <c r="FW20" s="51"/>
      <c r="FX20" s="293"/>
      <c r="FY20" s="51"/>
      <c r="FZ20" s="80"/>
      <c r="GA20" s="292"/>
      <c r="GB20" s="80"/>
      <c r="GC20" s="77"/>
      <c r="GD20" s="293"/>
      <c r="GE20" s="51"/>
      <c r="GI20" s="51"/>
      <c r="GJ20" s="293"/>
      <c r="GK20" s="51"/>
      <c r="GL20" s="51" t="s">
        <v>90</v>
      </c>
      <c r="GM20" s="299">
        <f>0.693/B35</f>
        <v>4.3949771689497717E-6</v>
      </c>
      <c r="GN20" s="77" t="s">
        <v>82</v>
      </c>
      <c r="GO20" s="80"/>
      <c r="GP20" s="292"/>
      <c r="GQ20" s="80"/>
      <c r="GR20" s="77"/>
      <c r="GS20" s="293"/>
      <c r="GT20" s="51"/>
      <c r="GU20" s="51"/>
      <c r="GV20" s="293"/>
      <c r="GW20" s="51"/>
      <c r="HA20" s="51" t="s">
        <v>90</v>
      </c>
      <c r="HB20" s="299">
        <f>0.693/B35</f>
        <v>4.3949771689497717E-6</v>
      </c>
      <c r="HC20" s="77" t="s">
        <v>82</v>
      </c>
    </row>
    <row r="21" spans="1:214" ht="15" thickTop="1" thickBot="1" x14ac:dyDescent="0.25">
      <c r="A21" s="51" t="s">
        <v>316</v>
      </c>
      <c r="B21" s="103">
        <v>1.8425999999999999E-10</v>
      </c>
      <c r="C21" s="51" t="s">
        <v>35</v>
      </c>
      <c r="D21" s="88" t="s">
        <v>78</v>
      </c>
      <c r="E21" s="295">
        <f>(E5)/((E14/E15)*E8*E9*E18*(1/365)*E19)</f>
        <v>691.17718201818968</v>
      </c>
      <c r="F21" s="88" t="s">
        <v>15</v>
      </c>
      <c r="G21" s="155" t="s">
        <v>442</v>
      </c>
      <c r="H21" s="197">
        <f>(H29*H32*H38*H34)+(H30*H33*H39*H35)</f>
        <v>6104</v>
      </c>
      <c r="I21" s="155" t="s">
        <v>218</v>
      </c>
      <c r="J21" s="155" t="s">
        <v>320</v>
      </c>
      <c r="K21" s="194">
        <f>B53</f>
        <v>200</v>
      </c>
      <c r="L21" s="188" t="s">
        <v>54</v>
      </c>
      <c r="M21" s="617" t="s">
        <v>516</v>
      </c>
      <c r="N21" s="647">
        <f>(N24*N25*N26)/((1-EXP(-N26*N25))*N29*N34*(N28/365)*N32*(((N33/24)*N31)+((N35/24)*N30)))</f>
        <v>6.3243871727263468</v>
      </c>
      <c r="O21" s="637" t="s">
        <v>94</v>
      </c>
      <c r="P21" s="639" t="s">
        <v>516</v>
      </c>
      <c r="Q21" s="647">
        <f>(Q24*Q25*Q26)/((1-EXP(-Q26*Q25))*Q29*Q34*(Q28/365)*Q32*(((Q33/24)*Q31)+((Q35/24)*Q30)))</f>
        <v>4.5828892555988023</v>
      </c>
      <c r="R21" s="643" t="s">
        <v>13</v>
      </c>
      <c r="AB21" s="51" t="s">
        <v>43</v>
      </c>
      <c r="AC21" s="290">
        <f>B19</f>
        <v>3.7739999999999999E-8</v>
      </c>
      <c r="AD21" s="290">
        <f>B19</f>
        <v>3.7739999999999999E-8</v>
      </c>
      <c r="AE21" s="290">
        <f>B19</f>
        <v>3.7739999999999999E-8</v>
      </c>
      <c r="AF21" s="290">
        <f>B19</f>
        <v>3.7739999999999999E-8</v>
      </c>
      <c r="AG21" s="290">
        <f>B19</f>
        <v>3.7739999999999999E-8</v>
      </c>
      <c r="AH21" s="77" t="s">
        <v>35</v>
      </c>
      <c r="AI21" s="381" t="s">
        <v>516</v>
      </c>
      <c r="AJ21" s="387">
        <f>(AJ24*AJ25*AJ26)/((1-EXP(-AJ26*AJ25))*AJ34*(AJ28/365)*AJ29*(AJ35/24)*AJ30*AJ32)</f>
        <v>23.917943704014156</v>
      </c>
      <c r="AK21" s="629" t="s">
        <v>94</v>
      </c>
      <c r="AL21" s="383" t="s">
        <v>516</v>
      </c>
      <c r="AM21" s="387">
        <f>(AM24*AM25*AM26)/((1-EXP(-AM26*AM25))*AM34*(AM28/365)*AM29*(AM35/24)*AM30*AM32)</f>
        <v>17.331843263778367</v>
      </c>
      <c r="AN21" s="635" t="s">
        <v>13</v>
      </c>
      <c r="AR21" s="381" t="s">
        <v>516</v>
      </c>
      <c r="AS21" s="387">
        <f>(AS24*AS25*AS26)/((1-EXP(-AS26*AS25))*AS34*(AS28/365)*AS29*(AS33/24)*AS31*AS32)</f>
        <v>10.630197201784068</v>
      </c>
      <c r="AT21" s="391" t="s">
        <v>94</v>
      </c>
      <c r="AU21" s="383" t="s">
        <v>516</v>
      </c>
      <c r="AV21" s="387">
        <f>(AV24*AV25*AV26)/((1-EXP(-AV26*AV25))*AV34*(AV28/365)*AV29*(AV33/24)*AV31*AV32)</f>
        <v>7.7030414505681648</v>
      </c>
      <c r="AW21" s="385" t="s">
        <v>13</v>
      </c>
      <c r="BA21" s="381" t="s">
        <v>516</v>
      </c>
      <c r="BB21" s="387">
        <f>(BB24*BB25*BB26)/((1-EXP(-BB26*BB25))*BB34*(BB28/365)*BB29*((BB33+BB35)/24)*BB31*BB32)</f>
        <v>9.5671774816056629</v>
      </c>
      <c r="BC21" s="391" t="s">
        <v>94</v>
      </c>
      <c r="BD21" s="383" t="s">
        <v>516</v>
      </c>
      <c r="BE21" s="387">
        <f>(BE24*BE25*BE26)/((1-EXP(-BE26*BE25))*BE34*(BE28/365)*BE29*((BE33+BE35)/24)*BE31*BE32)</f>
        <v>6.9327373055113481</v>
      </c>
      <c r="BF21" s="385" t="s">
        <v>13</v>
      </c>
      <c r="BJ21" s="381" t="s">
        <v>561</v>
      </c>
      <c r="BK21" s="389">
        <f>(BK24*BK25*BK26)/((1-EXP(-BK26*BK25))*BK31*BK35*(BK28/365)*BK33*(BK34/24)*BK32)</f>
        <v>35525896.948277816</v>
      </c>
      <c r="BL21" s="391" t="s">
        <v>94</v>
      </c>
      <c r="BM21" s="383" t="s">
        <v>562</v>
      </c>
      <c r="BN21" s="389">
        <f>(BN24*BN25*BN26)/((1-EXP(-BN26*BN25))*BN31*BN35*(BN28/365)*BN33*(BN34/24)*BN32)</f>
        <v>3406518.6431542453</v>
      </c>
      <c r="BO21" s="385" t="s">
        <v>13</v>
      </c>
      <c r="BS21" s="88" t="s">
        <v>74</v>
      </c>
      <c r="BT21" s="294">
        <f>(BT5)/(BT10*BT11)</f>
        <v>1.8432755005645032E-2</v>
      </c>
      <c r="BU21" s="88" t="s">
        <v>15</v>
      </c>
      <c r="BV21" s="94" t="s">
        <v>372</v>
      </c>
      <c r="BW21" s="297">
        <f>B108</f>
        <v>20</v>
      </c>
      <c r="BY21" s="153" t="s">
        <v>360</v>
      </c>
      <c r="BZ21" s="292">
        <f>B100</f>
        <v>20</v>
      </c>
      <c r="CA21" s="80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12" t="s">
        <v>493</v>
      </c>
      <c r="CU21" s="295">
        <f>DY2</f>
        <v>573.48295292653268</v>
      </c>
      <c r="CV21" s="213" t="s">
        <v>13</v>
      </c>
      <c r="CW21" s="88" t="s">
        <v>78</v>
      </c>
      <c r="CX21" s="296">
        <f>(CX5)/((CX14/CX15)*CX8*CX9*CX18*(1/365)*CX19)</f>
        <v>449.26516831182323</v>
      </c>
      <c r="CY21" s="88" t="s">
        <v>15</v>
      </c>
      <c r="CZ21" s="212" t="s">
        <v>492</v>
      </c>
      <c r="DA21" s="295">
        <f>GD2</f>
        <v>2366.636031604557</v>
      </c>
      <c r="DB21" s="88"/>
      <c r="DC21" s="152" t="s">
        <v>23</v>
      </c>
      <c r="DD21" s="287">
        <f>0.693/DD22</f>
        <v>1.6034243405830633E-3</v>
      </c>
      <c r="DE21" s="152"/>
      <c r="DF21" s="80" t="s">
        <v>91</v>
      </c>
      <c r="DG21" s="289">
        <v>1</v>
      </c>
      <c r="DH21" s="53" t="s">
        <v>47</v>
      </c>
      <c r="DL21" s="80"/>
      <c r="DO21" s="80" t="s">
        <v>91</v>
      </c>
      <c r="DP21" s="289">
        <f>B189</f>
        <v>1</v>
      </c>
      <c r="DQ21" s="53" t="s">
        <v>47</v>
      </c>
      <c r="DU21" s="80"/>
      <c r="EA21" s="80"/>
      <c r="EB21" s="307"/>
      <c r="EC21" s="77"/>
      <c r="ED21" s="80" t="s">
        <v>91</v>
      </c>
      <c r="EE21" s="307">
        <f>B189</f>
        <v>1</v>
      </c>
      <c r="EF21" s="77" t="s">
        <v>47</v>
      </c>
      <c r="EJ21" s="80"/>
      <c r="EP21" s="80"/>
      <c r="EQ21" s="307"/>
      <c r="ER21" s="77"/>
      <c r="ES21" s="80" t="s">
        <v>91</v>
      </c>
      <c r="ET21" s="307">
        <f>B189</f>
        <v>1</v>
      </c>
      <c r="EU21" s="77" t="s">
        <v>47</v>
      </c>
      <c r="EY21" s="77"/>
      <c r="EZ21" s="307"/>
      <c r="FA21" s="77"/>
      <c r="FB21" s="77"/>
      <c r="FC21" s="307"/>
      <c r="FD21" s="77"/>
      <c r="FE21" s="77"/>
      <c r="FF21" s="307"/>
      <c r="FG21" s="77"/>
      <c r="FH21" s="77" t="s">
        <v>91</v>
      </c>
      <c r="FI21" s="293">
        <f>B189</f>
        <v>1</v>
      </c>
      <c r="FJ21" s="77" t="s">
        <v>47</v>
      </c>
      <c r="FK21" s="80"/>
      <c r="FL21" s="292"/>
      <c r="FM21" s="80"/>
      <c r="FN21" s="77"/>
      <c r="FO21" s="307"/>
      <c r="FP21" s="77"/>
      <c r="FQ21" s="77"/>
      <c r="FR21" s="307"/>
      <c r="FS21" s="77"/>
      <c r="FT21" s="77"/>
      <c r="FU21" s="307"/>
      <c r="FV21" s="77"/>
      <c r="FW21" s="51"/>
      <c r="FX21" s="293"/>
      <c r="FY21" s="51"/>
      <c r="GC21" s="77"/>
      <c r="GD21" s="293"/>
      <c r="GE21" s="51"/>
      <c r="GI21" s="51"/>
      <c r="GJ21" s="293"/>
      <c r="GK21" s="51"/>
      <c r="GL21" s="51" t="s">
        <v>91</v>
      </c>
      <c r="GM21" s="293">
        <f>B189</f>
        <v>1</v>
      </c>
      <c r="GN21" s="77" t="s">
        <v>47</v>
      </c>
      <c r="GR21" s="77"/>
      <c r="GS21" s="293"/>
      <c r="GT21" s="51"/>
      <c r="GU21" s="51"/>
      <c r="GV21" s="293"/>
      <c r="GW21" s="51"/>
      <c r="HA21" s="51" t="s">
        <v>91</v>
      </c>
      <c r="HB21" s="293">
        <f>B189</f>
        <v>1</v>
      </c>
      <c r="HC21" s="77" t="s">
        <v>47</v>
      </c>
      <c r="HD21" s="423" t="s">
        <v>552</v>
      </c>
      <c r="HE21" s="424"/>
      <c r="HF21" s="425"/>
    </row>
    <row r="22" spans="1:214" ht="14.25" thickTop="1" thickBot="1" x14ac:dyDescent="0.25">
      <c r="A22" s="51" t="s">
        <v>317</v>
      </c>
      <c r="B22" s="103">
        <v>9.1019999999999999E-11</v>
      </c>
      <c r="C22" s="51" t="s">
        <v>35</v>
      </c>
      <c r="D22" s="88" t="s">
        <v>74</v>
      </c>
      <c r="E22" s="295">
        <f>(E5*E9*E6)/((1-EXP(-E6*E9))*E10*E11)</f>
        <v>1.6803255743299192E-4</v>
      </c>
      <c r="F22" s="88" t="s">
        <v>16</v>
      </c>
      <c r="G22" s="155" t="s">
        <v>443</v>
      </c>
      <c r="H22" s="190">
        <f>(H29*H32*H23)+(H30*H33*H24)</f>
        <v>1462510</v>
      </c>
      <c r="I22" s="86" t="s">
        <v>149</v>
      </c>
      <c r="J22" s="155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(BT5)/((BT14/24)*(BT8/365)*BT9*BT19*BT20)</f>
        <v>77411.84438603725</v>
      </c>
      <c r="BU22" s="88" t="s">
        <v>15</v>
      </c>
      <c r="BV22" s="92" t="s">
        <v>368</v>
      </c>
      <c r="BW22" s="289">
        <f>B114</f>
        <v>1</v>
      </c>
      <c r="BX22" s="53" t="s">
        <v>104</v>
      </c>
      <c r="BY22" s="51" t="s">
        <v>157</v>
      </c>
      <c r="BZ22" s="298">
        <f>B112</f>
        <v>75</v>
      </c>
      <c r="CA22" s="51" t="s">
        <v>26</v>
      </c>
      <c r="CB22" s="53" t="s">
        <v>17</v>
      </c>
      <c r="CC22" s="287">
        <f>B18</f>
        <v>9.9999999999999995E-7</v>
      </c>
      <c r="CE22" s="53" t="s">
        <v>17</v>
      </c>
      <c r="CF22" s="287">
        <f>B18</f>
        <v>9.9999999999999995E-7</v>
      </c>
      <c r="CK22" s="220" t="s">
        <v>17</v>
      </c>
      <c r="CL22" s="287">
        <f>B18</f>
        <v>9.9999999999999995E-7</v>
      </c>
      <c r="CM22" s="76"/>
      <c r="CN22" s="220" t="s">
        <v>265</v>
      </c>
      <c r="CO22" s="287">
        <f>B42</f>
        <v>5.0000000000000001E-4</v>
      </c>
      <c r="CP22" s="220"/>
      <c r="CQ22" s="221" t="s">
        <v>265</v>
      </c>
      <c r="CR22" s="287">
        <f>CO22</f>
        <v>5.0000000000000001E-4</v>
      </c>
      <c r="CS22" s="220"/>
      <c r="CT22" s="212" t="s">
        <v>492</v>
      </c>
      <c r="CU22" s="295">
        <f>GG2</f>
        <v>13.573290996667932</v>
      </c>
      <c r="CV22" s="213" t="s">
        <v>13</v>
      </c>
      <c r="CW22" s="88" t="s">
        <v>74</v>
      </c>
      <c r="CX22" s="294">
        <f>(CX5*CX9*CX6)/((CX14/CX15)*(1-EXP(-CX6*CX9))*CX10*CX11)</f>
        <v>1.0562119390965484E-4</v>
      </c>
      <c r="CY22" s="88" t="s">
        <v>16</v>
      </c>
      <c r="CZ22" s="212" t="s">
        <v>183</v>
      </c>
      <c r="DA22" s="296">
        <f>FO2</f>
        <v>1.6262957621747974E-2</v>
      </c>
      <c r="DB22" s="88"/>
      <c r="DC22" s="155" t="s">
        <v>270</v>
      </c>
      <c r="DD22" s="287">
        <f>B31</f>
        <v>432.2</v>
      </c>
      <c r="DE22" s="152" t="s">
        <v>69</v>
      </c>
      <c r="DF22" s="80" t="s">
        <v>92</v>
      </c>
      <c r="DG22" s="289">
        <v>14</v>
      </c>
      <c r="DH22" s="53" t="s">
        <v>93</v>
      </c>
      <c r="DL22" s="80"/>
      <c r="DO22" s="80" t="s">
        <v>92</v>
      </c>
      <c r="DP22" s="289">
        <f>B190</f>
        <v>14</v>
      </c>
      <c r="DQ22" s="53" t="s">
        <v>93</v>
      </c>
      <c r="DU22" s="80"/>
      <c r="EA22" s="80"/>
      <c r="EB22" s="307"/>
      <c r="EC22" s="77"/>
      <c r="ED22" s="80" t="s">
        <v>92</v>
      </c>
      <c r="EE22" s="307">
        <f>B190</f>
        <v>14</v>
      </c>
      <c r="EF22" s="77" t="s">
        <v>93</v>
      </c>
      <c r="EJ22" s="80"/>
      <c r="EP22" s="80"/>
      <c r="EQ22" s="307"/>
      <c r="ER22" s="77"/>
      <c r="ES22" s="80" t="s">
        <v>92</v>
      </c>
      <c r="ET22" s="307">
        <f>B190</f>
        <v>14</v>
      </c>
      <c r="EU22" s="77" t="s">
        <v>93</v>
      </c>
      <c r="EY22" s="77"/>
      <c r="EZ22" s="307"/>
      <c r="FD22" s="77"/>
      <c r="FE22" s="77"/>
      <c r="FF22" s="307"/>
      <c r="FG22" s="77"/>
      <c r="FH22" s="77" t="s">
        <v>92</v>
      </c>
      <c r="FI22" s="293">
        <f>B190</f>
        <v>14</v>
      </c>
      <c r="FJ22" s="77" t="s">
        <v>93</v>
      </c>
      <c r="FN22" s="77"/>
      <c r="FO22" s="307"/>
      <c r="FP22" s="77"/>
      <c r="FQ22" s="77"/>
      <c r="FR22" s="307"/>
      <c r="FS22" s="77"/>
      <c r="FT22" s="77"/>
      <c r="FU22" s="307"/>
      <c r="FV22" s="77"/>
      <c r="FW22" s="51"/>
      <c r="FX22" s="293"/>
      <c r="FY22" s="51"/>
      <c r="GC22" s="77"/>
      <c r="GD22" s="293"/>
      <c r="GE22" s="51"/>
      <c r="GI22" s="51"/>
      <c r="GJ22" s="293"/>
      <c r="GK22" s="51"/>
      <c r="GL22" s="51" t="s">
        <v>92</v>
      </c>
      <c r="GM22" s="293">
        <f>B190</f>
        <v>14</v>
      </c>
      <c r="GN22" s="77" t="s">
        <v>93</v>
      </c>
      <c r="GR22" s="77"/>
      <c r="GS22" s="293"/>
      <c r="GT22" s="51"/>
      <c r="GU22" s="51"/>
      <c r="GV22" s="293"/>
      <c r="GW22" s="51"/>
      <c r="HA22" s="51" t="s">
        <v>92</v>
      </c>
      <c r="HB22" s="293">
        <f>B190</f>
        <v>14</v>
      </c>
      <c r="HC22" s="77" t="s">
        <v>93</v>
      </c>
      <c r="HD22" s="68"/>
      <c r="HE22" s="350"/>
      <c r="HF22" s="69"/>
    </row>
    <row r="23" spans="1:214" ht="19.5" thickTop="1" thickBot="1" x14ac:dyDescent="0.25">
      <c r="A23" s="51" t="s">
        <v>448</v>
      </c>
      <c r="B23" s="103">
        <v>2.767285944E-8</v>
      </c>
      <c r="C23" s="51" t="s">
        <v>95</v>
      </c>
      <c r="D23" s="88" t="s">
        <v>78</v>
      </c>
      <c r="E23" s="296">
        <f>(E5*E9*E6)/((E14/E15)*E8*E9*(1-EXP(-E6*E9))*E18*(1/365)*E19)</f>
        <v>705.68453732537682</v>
      </c>
      <c r="F23" s="88" t="s">
        <v>16</v>
      </c>
      <c r="G23" s="155" t="s">
        <v>332</v>
      </c>
      <c r="H23" s="194">
        <f>B60</f>
        <v>68.099999999999994</v>
      </c>
      <c r="I23" s="86" t="s">
        <v>254</v>
      </c>
      <c r="J23" s="155" t="s">
        <v>318</v>
      </c>
      <c r="K23" s="313">
        <f>B51</f>
        <v>10</v>
      </c>
      <c r="L23" s="86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51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77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(BT5*BT28*BT6)/((1-EXP(-BT6*BT28))*BT10*BT11)</f>
        <v>1.8819646432495094E-2</v>
      </c>
      <c r="BU23" s="88" t="s">
        <v>16</v>
      </c>
      <c r="BV23" s="92" t="s">
        <v>369</v>
      </c>
      <c r="BW23" s="289">
        <f>B115</f>
        <v>1</v>
      </c>
      <c r="BX23" s="53" t="s">
        <v>104</v>
      </c>
      <c r="BY23" s="94" t="s">
        <v>370</v>
      </c>
      <c r="BZ23" s="298">
        <f>B111</f>
        <v>75</v>
      </c>
      <c r="CA23" s="51" t="s">
        <v>26</v>
      </c>
      <c r="CB23" s="249" t="s">
        <v>111</v>
      </c>
      <c r="CC23" s="289">
        <f>CC10</f>
        <v>26</v>
      </c>
      <c r="CD23" s="152" t="s">
        <v>69</v>
      </c>
      <c r="CE23" s="249" t="s">
        <v>111</v>
      </c>
      <c r="CF23" s="289">
        <f>CC10</f>
        <v>26</v>
      </c>
      <c r="CG23" s="152" t="s">
        <v>69</v>
      </c>
      <c r="CK23" s="220" t="s">
        <v>256</v>
      </c>
      <c r="CL23" s="287">
        <f>E34</f>
        <v>1.3357000000000001E-10</v>
      </c>
      <c r="CM23" s="224" t="s">
        <v>13</v>
      </c>
      <c r="CN23" s="220" t="s">
        <v>21</v>
      </c>
      <c r="CO23" s="290">
        <f>CO25</f>
        <v>2.1999999999999999E-5</v>
      </c>
      <c r="CP23" s="220"/>
      <c r="CQ23" s="222" t="s">
        <v>200</v>
      </c>
      <c r="CR23" s="306">
        <f>B129</f>
        <v>1</v>
      </c>
      <c r="CS23" s="220" t="s">
        <v>30</v>
      </c>
      <c r="CT23" s="212" t="s">
        <v>183</v>
      </c>
      <c r="CU23" s="296">
        <f>FR2</f>
        <v>6.7160242230304975E-5</v>
      </c>
      <c r="CV23" s="213" t="s">
        <v>13</v>
      </c>
      <c r="CW23" s="88" t="s">
        <v>78</v>
      </c>
      <c r="CX23" s="296">
        <f>(CX5*CX9*CX6)/((CX14/CX15)*CX8*CX9*(1-EXP(-CX6*CX9))*CX18*(1/365)*CX19)</f>
        <v>463.8264181588907</v>
      </c>
      <c r="CY23" s="88" t="s">
        <v>16</v>
      </c>
      <c r="CZ23" s="212" t="s">
        <v>495</v>
      </c>
      <c r="DA23" s="190">
        <f>(DA34*DA36*DA26)+(DA35*DA37*DA27)</f>
        <v>31388</v>
      </c>
      <c r="DB23" s="88" t="s">
        <v>116</v>
      </c>
      <c r="DF23" s="51" t="s">
        <v>17</v>
      </c>
      <c r="DG23" s="287">
        <f>B35</f>
        <v>157680</v>
      </c>
      <c r="DH23" s="53" t="s">
        <v>257</v>
      </c>
      <c r="DO23" s="51" t="s">
        <v>20</v>
      </c>
      <c r="DP23" s="305">
        <f>DP25</f>
        <v>1.914E-5</v>
      </c>
      <c r="EA23" s="51"/>
      <c r="EB23" s="293"/>
      <c r="EC23" s="77"/>
      <c r="ED23" s="51" t="s">
        <v>20</v>
      </c>
      <c r="EE23" s="305">
        <f>EE25</f>
        <v>2.1999999999999999E-5</v>
      </c>
      <c r="EF23" s="77"/>
      <c r="EP23" s="51"/>
      <c r="EQ23" s="293"/>
      <c r="ER23" s="77"/>
      <c r="ES23" s="51" t="s">
        <v>20</v>
      </c>
      <c r="ET23" s="305">
        <f>ET25</f>
        <v>2.1999999999999999E-5</v>
      </c>
      <c r="EU23" s="77"/>
      <c r="EY23" s="77"/>
      <c r="EZ23" s="307"/>
      <c r="FD23" s="77"/>
      <c r="FE23" s="77"/>
      <c r="FF23" s="307"/>
      <c r="FG23" s="77"/>
      <c r="FH23" s="77" t="s">
        <v>20</v>
      </c>
      <c r="FI23" s="305">
        <f>FI25</f>
        <v>1.914E-5</v>
      </c>
      <c r="FJ23" s="77"/>
      <c r="FN23" s="77"/>
      <c r="FO23" s="307"/>
      <c r="FP23" s="77"/>
      <c r="FQ23" s="77"/>
      <c r="FR23" s="307"/>
      <c r="FS23" s="77"/>
      <c r="FT23" s="77"/>
      <c r="FU23" s="307"/>
      <c r="FV23" s="77"/>
      <c r="FW23" s="51"/>
      <c r="FX23" s="293"/>
      <c r="FY23" s="51"/>
      <c r="GC23" s="77"/>
      <c r="GD23" s="293"/>
      <c r="GE23" s="51"/>
      <c r="GI23" s="51"/>
      <c r="GJ23" s="293"/>
      <c r="GK23" s="51"/>
      <c r="GL23" s="51" t="s">
        <v>20</v>
      </c>
      <c r="GM23" s="305">
        <f>GM25</f>
        <v>1.914E-5</v>
      </c>
      <c r="GN23" s="77"/>
      <c r="GR23" s="77"/>
      <c r="GS23" s="293"/>
      <c r="GT23" s="51"/>
      <c r="GU23" s="51"/>
      <c r="GV23" s="293"/>
      <c r="GW23" s="51"/>
      <c r="HA23" s="51" t="s">
        <v>20</v>
      </c>
      <c r="HB23" s="305">
        <f>HB25</f>
        <v>1.914E-5</v>
      </c>
      <c r="HC23" s="77"/>
      <c r="HD23" s="219" t="s">
        <v>574</v>
      </c>
      <c r="HE23" s="348">
        <f>(HE25*HE33*HE38*HE32*10^-3*HE31*HE27)/(HE30*HE41*(1-EXP(-HE27*HE31)))</f>
        <v>0.32201175741800775</v>
      </c>
      <c r="HF23" s="238" t="s">
        <v>13</v>
      </c>
    </row>
    <row r="24" spans="1:214" ht="14.25" thickTop="1" thickBot="1" x14ac:dyDescent="0.25">
      <c r="A24" s="51" t="s">
        <v>450</v>
      </c>
      <c r="B24" s="103">
        <v>1.86820992E-8</v>
      </c>
      <c r="C24" s="51" t="s">
        <v>282</v>
      </c>
      <c r="D24" s="139" t="s">
        <v>340</v>
      </c>
      <c r="E24" s="289">
        <f>B67</f>
        <v>350</v>
      </c>
      <c r="F24" s="53" t="s">
        <v>26</v>
      </c>
      <c r="G24" s="51" t="s">
        <v>333</v>
      </c>
      <c r="H24" s="297">
        <f>B61</f>
        <v>188.5</v>
      </c>
      <c r="I24" s="80" t="s">
        <v>254</v>
      </c>
      <c r="J24" s="140" t="s">
        <v>319</v>
      </c>
      <c r="K24" s="292">
        <f>B52</f>
        <v>20</v>
      </c>
      <c r="L24" s="80" t="s">
        <v>49</v>
      </c>
      <c r="M24" s="53" t="s">
        <v>17</v>
      </c>
      <c r="N24" s="287">
        <f>B18</f>
        <v>9.9999999999999995E-7</v>
      </c>
      <c r="P24" s="168" t="s">
        <v>17</v>
      </c>
      <c r="Q24" s="287">
        <f>B18</f>
        <v>9.9999999999999995E-7</v>
      </c>
      <c r="R24" s="169"/>
      <c r="V24" s="55"/>
      <c r="W24" s="357"/>
      <c r="X24" s="56"/>
      <c r="Y24" s="57"/>
      <c r="Z24" s="357"/>
      <c r="AA24" s="58"/>
      <c r="AB24" s="51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77"/>
      <c r="AI24" s="53" t="s">
        <v>17</v>
      </c>
      <c r="AJ24" s="287">
        <f>B18</f>
        <v>9.9999999999999995E-7</v>
      </c>
      <c r="AL24" s="53" t="s">
        <v>17</v>
      </c>
      <c r="AM24" s="287">
        <f>B18</f>
        <v>9.9999999999999995E-7</v>
      </c>
      <c r="AR24" s="53" t="s">
        <v>17</v>
      </c>
      <c r="AS24" s="287">
        <f>B18</f>
        <v>9.9999999999999995E-7</v>
      </c>
      <c r="AU24" s="53" t="s">
        <v>17</v>
      </c>
      <c r="AV24" s="287">
        <f>B18</f>
        <v>9.9999999999999995E-7</v>
      </c>
      <c r="BA24" s="53" t="s">
        <v>17</v>
      </c>
      <c r="BB24" s="287">
        <f>B18</f>
        <v>9.9999999999999995E-7</v>
      </c>
      <c r="BD24" s="53" t="s">
        <v>17</v>
      </c>
      <c r="BE24" s="287">
        <f>B18</f>
        <v>9.9999999999999995E-7</v>
      </c>
      <c r="BJ24" s="53" t="s">
        <v>17</v>
      </c>
      <c r="BK24" s="287">
        <f>B18</f>
        <v>9.9999999999999995E-7</v>
      </c>
      <c r="BM24" s="53" t="s">
        <v>17</v>
      </c>
      <c r="BN24" s="287">
        <f>B18</f>
        <v>9.9999999999999995E-7</v>
      </c>
      <c r="BS24" s="88" t="s">
        <v>78</v>
      </c>
      <c r="BT24" s="296">
        <f>(BT5*BT28*BT6)/((BT14/24)*(BT8/365)*BT9*(1-EXP(-BT6*BT28))*BT19*BT20)</f>
        <v>79036.668180442211</v>
      </c>
      <c r="BU24" s="88" t="s">
        <v>16</v>
      </c>
      <c r="BV24" s="152" t="s">
        <v>105</v>
      </c>
      <c r="BW24" s="298">
        <f>B113</f>
        <v>1</v>
      </c>
      <c r="BX24" s="53" t="s">
        <v>50</v>
      </c>
      <c r="BY24" s="94" t="s">
        <v>371</v>
      </c>
      <c r="BZ24" s="329">
        <f>B110</f>
        <v>75</v>
      </c>
      <c r="CA24" s="51" t="s">
        <v>26</v>
      </c>
      <c r="CB24" s="51" t="s">
        <v>23</v>
      </c>
      <c r="CC24" s="288">
        <f>0.693/CC25</f>
        <v>1.6034243405830633E-3</v>
      </c>
      <c r="CD24" s="152"/>
      <c r="CE24" s="51" t="s">
        <v>23</v>
      </c>
      <c r="CF24" s="288">
        <f>0.693/CF25</f>
        <v>1.6034243405830633E-3</v>
      </c>
      <c r="CG24" s="152"/>
      <c r="CK24" s="220" t="s">
        <v>157</v>
      </c>
      <c r="CL24" s="289">
        <f>B112</f>
        <v>75</v>
      </c>
      <c r="CM24" s="224" t="s">
        <v>165</v>
      </c>
      <c r="CN24" s="220" t="s">
        <v>28</v>
      </c>
      <c r="CO24" s="307">
        <f>CO26</f>
        <v>0.25</v>
      </c>
      <c r="CP24" s="220"/>
      <c r="CQ24" s="220"/>
      <c r="CR24" s="289">
        <v>1000</v>
      </c>
      <c r="CS24" s="220" t="s">
        <v>149</v>
      </c>
      <c r="CT24" s="212" t="s">
        <v>51</v>
      </c>
      <c r="CU24" s="196">
        <f>(CU26*CU30*CU34+CU27*CU31*CU33)</f>
        <v>1610000</v>
      </c>
      <c r="CV24" s="212" t="s">
        <v>267</v>
      </c>
      <c r="CW24" s="212" t="s">
        <v>387</v>
      </c>
      <c r="CX24" s="192">
        <f>B158</f>
        <v>350</v>
      </c>
      <c r="CY24" s="88" t="s">
        <v>26</v>
      </c>
      <c r="CZ24" s="212" t="s">
        <v>496</v>
      </c>
      <c r="DA24" s="190">
        <f>(DA34*DA36*DA28*(DA39/24))+(DA35*DA37*DA29*(DA40/24))</f>
        <v>259000</v>
      </c>
      <c r="DB24" s="212" t="s">
        <v>268</v>
      </c>
      <c r="DG24" s="289">
        <v>1000</v>
      </c>
      <c r="DO24" s="51" t="s">
        <v>28</v>
      </c>
      <c r="DP24" s="293">
        <f>DP26</f>
        <v>0.26</v>
      </c>
      <c r="EA24" s="51"/>
      <c r="EB24" s="293"/>
      <c r="EC24" s="77"/>
      <c r="ED24" s="51" t="s">
        <v>28</v>
      </c>
      <c r="EE24" s="293">
        <f>EE26</f>
        <v>0.25</v>
      </c>
      <c r="EF24" s="77"/>
      <c r="EP24" s="51"/>
      <c r="EQ24" s="293"/>
      <c r="ER24" s="77"/>
      <c r="ES24" s="51" t="s">
        <v>28</v>
      </c>
      <c r="ET24" s="293">
        <f>ET26</f>
        <v>0.25</v>
      </c>
      <c r="EU24" s="77"/>
      <c r="EY24" s="77"/>
      <c r="EZ24" s="307"/>
      <c r="FD24" s="77"/>
      <c r="FE24" s="77"/>
      <c r="FF24" s="307"/>
      <c r="FG24" s="77"/>
      <c r="FH24" s="77" t="s">
        <v>28</v>
      </c>
      <c r="FI24" s="293">
        <f>FI26</f>
        <v>0.25</v>
      </c>
      <c r="FJ24" s="77"/>
      <c r="FN24" s="77"/>
      <c r="FO24" s="307"/>
      <c r="FP24" s="77"/>
      <c r="FQ24" s="77"/>
      <c r="FR24" s="307"/>
      <c r="FS24" s="77"/>
      <c r="FT24" s="77"/>
      <c r="FU24" s="307"/>
      <c r="FV24" s="77"/>
      <c r="FW24" s="51"/>
      <c r="FX24" s="293"/>
      <c r="FY24" s="51"/>
      <c r="GC24" s="77"/>
      <c r="GD24" s="293"/>
      <c r="GE24" s="51"/>
      <c r="GI24" s="51"/>
      <c r="GJ24" s="293"/>
      <c r="GK24" s="51"/>
      <c r="GL24" s="51" t="s">
        <v>28</v>
      </c>
      <c r="GM24" s="293">
        <f>GM26</f>
        <v>0.25</v>
      </c>
      <c r="GN24" s="77"/>
      <c r="GR24" s="77"/>
      <c r="GS24" s="293"/>
      <c r="GT24" s="51"/>
      <c r="GU24" s="51"/>
      <c r="GV24" s="293"/>
      <c r="GW24" s="51"/>
      <c r="HA24" s="51" t="s">
        <v>28</v>
      </c>
      <c r="HB24" s="293">
        <f>HB26</f>
        <v>0.25</v>
      </c>
      <c r="HC24" s="77"/>
      <c r="HD24" s="246" t="s">
        <v>575</v>
      </c>
      <c r="HE24" s="349">
        <f>(HE26*HE33*HE38*HE32*10^-3*HE31*HE27)/(HE30*HE41*(1-EXP(-HE27*HE31)))</f>
        <v>7.0967510219887963E-3</v>
      </c>
      <c r="HF24" s="75" t="s">
        <v>13</v>
      </c>
    </row>
    <row r="25" spans="1:214" ht="13.5" thickTop="1" x14ac:dyDescent="0.2">
      <c r="A25" s="51" t="s">
        <v>449</v>
      </c>
      <c r="B25" s="103">
        <v>1.3754695536000001E-8</v>
      </c>
      <c r="C25" s="51" t="s">
        <v>95</v>
      </c>
      <c r="D25" s="139" t="s">
        <v>339</v>
      </c>
      <c r="E25" s="289">
        <f>B68</f>
        <v>350</v>
      </c>
      <c r="F25" s="53" t="s">
        <v>26</v>
      </c>
      <c r="G25" s="51" t="s">
        <v>444</v>
      </c>
      <c r="H25" s="291">
        <f>(H29*H32*H26)+(H30*H33*H27)</f>
        <v>989870</v>
      </c>
      <c r="I25" s="80" t="s">
        <v>149</v>
      </c>
      <c r="J25" s="140" t="s">
        <v>443</v>
      </c>
      <c r="K25" s="291">
        <f>(K31*K36*K26)+(K32*K35*K27)</f>
        <v>1462510</v>
      </c>
      <c r="L25" s="80" t="s">
        <v>149</v>
      </c>
      <c r="M25" s="146" t="s">
        <v>107</v>
      </c>
      <c r="N25" s="289">
        <v>26</v>
      </c>
      <c r="O25" s="139" t="s">
        <v>69</v>
      </c>
      <c r="P25" s="146" t="s">
        <v>107</v>
      </c>
      <c r="Q25" s="289">
        <v>26</v>
      </c>
      <c r="R25" s="139" t="s">
        <v>69</v>
      </c>
      <c r="V25" s="200" t="s">
        <v>16</v>
      </c>
      <c r="W25" s="358">
        <f>1/((1/W40)+(1/W41))</f>
        <v>2.1625365844396598E-4</v>
      </c>
      <c r="X25" s="173" t="s">
        <v>10</v>
      </c>
      <c r="Y25" s="198" t="s">
        <v>16</v>
      </c>
      <c r="Z25" s="358">
        <f>1/((1/Z38)+(1/Z39))</f>
        <v>1.0199358527462165E-2</v>
      </c>
      <c r="AA25" s="177" t="s">
        <v>10</v>
      </c>
      <c r="AB25" s="51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152" t="s">
        <v>485</v>
      </c>
      <c r="AJ25" s="289">
        <f>AJ29</f>
        <v>25</v>
      </c>
      <c r="AK25" s="152" t="s">
        <v>69</v>
      </c>
      <c r="AL25" s="152" t="s">
        <v>485</v>
      </c>
      <c r="AM25" s="289">
        <f>AM29</f>
        <v>25</v>
      </c>
      <c r="AN25" s="152" t="s">
        <v>69</v>
      </c>
      <c r="AR25" s="152" t="s">
        <v>486</v>
      </c>
      <c r="AS25" s="289">
        <f>AS10</f>
        <v>25</v>
      </c>
      <c r="AT25" s="152" t="s">
        <v>69</v>
      </c>
      <c r="AU25" s="152" t="s">
        <v>486</v>
      </c>
      <c r="AV25" s="289">
        <f>AS10</f>
        <v>25</v>
      </c>
      <c r="AW25" s="152" t="s">
        <v>69</v>
      </c>
      <c r="BA25" s="152" t="s">
        <v>92</v>
      </c>
      <c r="BB25" s="289">
        <f>BB10</f>
        <v>25</v>
      </c>
      <c r="BC25" s="152" t="s">
        <v>69</v>
      </c>
      <c r="BD25" s="152" t="s">
        <v>92</v>
      </c>
      <c r="BE25" s="289">
        <f>BB10</f>
        <v>25</v>
      </c>
      <c r="BF25" s="152" t="s">
        <v>69</v>
      </c>
      <c r="BJ25" s="152" t="s">
        <v>487</v>
      </c>
      <c r="BK25" s="289">
        <f>BK12</f>
        <v>1</v>
      </c>
      <c r="BL25" s="152" t="s">
        <v>69</v>
      </c>
      <c r="BM25" s="152" t="s">
        <v>487</v>
      </c>
      <c r="BN25" s="289">
        <f>BK12</f>
        <v>1</v>
      </c>
      <c r="BO25" s="152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53" t="s">
        <v>98</v>
      </c>
      <c r="BY25" s="51" t="s">
        <v>59</v>
      </c>
      <c r="BZ25" s="292">
        <f>B109</f>
        <v>26</v>
      </c>
      <c r="CA25" s="80" t="s">
        <v>69</v>
      </c>
      <c r="CB25" s="52" t="s">
        <v>270</v>
      </c>
      <c r="CC25" s="287">
        <f>B31</f>
        <v>432.2</v>
      </c>
      <c r="CD25" s="152" t="s">
        <v>69</v>
      </c>
      <c r="CE25" s="52" t="s">
        <v>270</v>
      </c>
      <c r="CF25" s="287">
        <f>B31</f>
        <v>432.2</v>
      </c>
      <c r="CG25" s="152" t="s">
        <v>69</v>
      </c>
      <c r="CK25" s="220" t="s">
        <v>59</v>
      </c>
      <c r="CL25" s="289">
        <f>B109</f>
        <v>26</v>
      </c>
      <c r="CM25" s="224" t="s">
        <v>169</v>
      </c>
      <c r="CN25" s="220" t="s">
        <v>38</v>
      </c>
      <c r="CO25" s="287">
        <f>B45</f>
        <v>2.1999999999999999E-5</v>
      </c>
      <c r="CP25" s="220"/>
      <c r="CQ25" s="220"/>
      <c r="CS25" s="220"/>
      <c r="CT25" s="212" t="s">
        <v>48</v>
      </c>
      <c r="CU25" s="196">
        <f>((CU34*CU30*CU28*CU35/24))+(CU33*CU31*CU29*(CU36/24))</f>
        <v>259000</v>
      </c>
      <c r="CV25" s="88" t="s">
        <v>268</v>
      </c>
      <c r="CW25" s="212" t="s">
        <v>388</v>
      </c>
      <c r="CX25" s="192">
        <f>B159</f>
        <v>350</v>
      </c>
      <c r="CY25" s="88" t="s">
        <v>26</v>
      </c>
      <c r="CZ25" s="212" t="s">
        <v>497</v>
      </c>
      <c r="DA25" s="190">
        <f>(DA34*DA36*DA41*DA43)+(DA35*DA37*DA42*DA44)</f>
        <v>9583</v>
      </c>
      <c r="DB25" s="88" t="s">
        <v>269</v>
      </c>
      <c r="DO25" s="51" t="s">
        <v>37</v>
      </c>
      <c r="DP25" s="287">
        <f>B44</f>
        <v>1.914E-5</v>
      </c>
      <c r="EA25" s="51"/>
      <c r="EC25" s="77"/>
      <c r="ED25" s="51" t="s">
        <v>38</v>
      </c>
      <c r="EE25" s="287">
        <f>B45</f>
        <v>2.1999999999999999E-5</v>
      </c>
      <c r="EF25" s="77"/>
      <c r="EP25" s="51"/>
      <c r="ER25" s="77"/>
      <c r="ES25" s="154" t="s">
        <v>37</v>
      </c>
      <c r="ET25" s="287">
        <f>B45</f>
        <v>2.1999999999999999E-5</v>
      </c>
      <c r="EU25" s="77"/>
      <c r="EY25" s="77"/>
      <c r="EZ25" s="307"/>
      <c r="FD25" s="77"/>
      <c r="FE25" s="77"/>
      <c r="FF25" s="307"/>
      <c r="FG25" s="77"/>
      <c r="FH25" s="77" t="s">
        <v>37</v>
      </c>
      <c r="FI25" s="305">
        <f>B44</f>
        <v>1.914E-5</v>
      </c>
      <c r="FJ25" s="77"/>
      <c r="FN25" s="77"/>
      <c r="FO25" s="307"/>
      <c r="FP25" s="77"/>
      <c r="FQ25" s="77"/>
      <c r="FR25" s="307"/>
      <c r="FS25" s="77"/>
      <c r="FT25" s="77"/>
      <c r="FU25" s="307"/>
      <c r="FV25" s="77"/>
      <c r="FW25" s="51"/>
      <c r="FX25" s="305"/>
      <c r="FY25" s="51"/>
      <c r="GC25" s="77"/>
      <c r="GD25" s="293"/>
      <c r="GE25" s="51"/>
      <c r="GI25" s="51"/>
      <c r="GJ25" s="293"/>
      <c r="GK25" s="51"/>
      <c r="GL25" s="51" t="s">
        <v>37</v>
      </c>
      <c r="GM25" s="305">
        <f>B44</f>
        <v>1.914E-5</v>
      </c>
      <c r="GN25" s="77"/>
      <c r="GR25" s="77"/>
      <c r="GS25" s="293"/>
      <c r="GT25" s="51"/>
      <c r="GU25" s="51"/>
      <c r="GV25" s="293"/>
      <c r="GW25" s="51"/>
      <c r="HA25" s="51" t="s">
        <v>37</v>
      </c>
      <c r="HB25" s="305">
        <f>B44</f>
        <v>1.914E-5</v>
      </c>
      <c r="HC25" s="77"/>
      <c r="HD25" s="79" t="s">
        <v>22</v>
      </c>
      <c r="HE25" s="305">
        <f>B47</f>
        <v>15</v>
      </c>
      <c r="HF25" s="51" t="s">
        <v>14</v>
      </c>
    </row>
    <row r="26" spans="1:214" ht="13.5" thickBot="1" x14ac:dyDescent="0.25">
      <c r="A26" s="51" t="s">
        <v>451</v>
      </c>
      <c r="B26" s="103">
        <v>2.5781296896000001E-8</v>
      </c>
      <c r="C26" s="51" t="s">
        <v>95</v>
      </c>
      <c r="G26" s="51" t="s">
        <v>334</v>
      </c>
      <c r="H26" s="297">
        <f>B62</f>
        <v>41.7</v>
      </c>
      <c r="I26" s="80" t="s">
        <v>254</v>
      </c>
      <c r="J26" s="140" t="s">
        <v>332</v>
      </c>
      <c r="K26" s="297">
        <f>B60</f>
        <v>68.099999999999994</v>
      </c>
      <c r="L26" s="80" t="s">
        <v>254</v>
      </c>
      <c r="M26" s="51" t="s">
        <v>23</v>
      </c>
      <c r="N26" s="288">
        <f>0.693/N27</f>
        <v>1.6034243405830633E-3</v>
      </c>
      <c r="O26" s="139"/>
      <c r="P26" s="51" t="s">
        <v>23</v>
      </c>
      <c r="Q26" s="288">
        <f>0.693/Q27</f>
        <v>1.6034243405830633E-3</v>
      </c>
      <c r="R26" s="139"/>
      <c r="V26" s="201" t="s">
        <v>15</v>
      </c>
      <c r="W26" s="359">
        <f>1/((1/W38)+(1/W39))</f>
        <v>2.1197666768145014E-4</v>
      </c>
      <c r="X26" s="174" t="s">
        <v>10</v>
      </c>
      <c r="Y26" s="199" t="s">
        <v>15</v>
      </c>
      <c r="Z26" s="360">
        <f>1/((1/Z40)+(1/Z41))</f>
        <v>1.0191185946223567E-2</v>
      </c>
      <c r="AA26" s="178" t="s">
        <v>10</v>
      </c>
      <c r="AB26" s="81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81" t="s">
        <v>69</v>
      </c>
      <c r="AI26" s="51" t="s">
        <v>23</v>
      </c>
      <c r="AJ26" s="288">
        <f>0.693/AJ27</f>
        <v>1.6034243405830633E-3</v>
      </c>
      <c r="AL26" s="51" t="s">
        <v>23</v>
      </c>
      <c r="AM26" s="288">
        <f>0.693/AM27</f>
        <v>1.6034243405830633E-3</v>
      </c>
      <c r="AR26" s="51" t="s">
        <v>23</v>
      </c>
      <c r="AS26" s="288">
        <f>0.693/AS27</f>
        <v>1.6034243405830633E-3</v>
      </c>
      <c r="AT26" s="152"/>
      <c r="AU26" s="51" t="s">
        <v>23</v>
      </c>
      <c r="AV26" s="288">
        <f>0.693/AV27</f>
        <v>1.6034243405830633E-3</v>
      </c>
      <c r="AW26" s="152"/>
      <c r="BA26" s="51" t="s">
        <v>23</v>
      </c>
      <c r="BB26" s="288">
        <f>0.693/BB27</f>
        <v>1.6034243405830633E-3</v>
      </c>
      <c r="BD26" s="51" t="s">
        <v>23</v>
      </c>
      <c r="BE26" s="288">
        <f>0.693/BE27</f>
        <v>1.6034243405830633E-3</v>
      </c>
      <c r="BJ26" s="51" t="s">
        <v>23</v>
      </c>
      <c r="BK26" s="288">
        <f>0.693/BK27</f>
        <v>1.6034243405830633E-3</v>
      </c>
      <c r="BL26" s="152"/>
      <c r="BM26" s="51" t="s">
        <v>23</v>
      </c>
      <c r="BN26" s="288">
        <f>0.693/BN27</f>
        <v>1.6034243405830633E-3</v>
      </c>
      <c r="BO26" s="152"/>
      <c r="BS26" s="94" t="s">
        <v>370</v>
      </c>
      <c r="BT26" s="289">
        <f>B111</f>
        <v>75</v>
      </c>
      <c r="BU26" s="53" t="s">
        <v>26</v>
      </c>
      <c r="BV26" s="94" t="s">
        <v>365</v>
      </c>
      <c r="BW26" s="289">
        <f>B119</f>
        <v>1</v>
      </c>
      <c r="BX26" s="53" t="s">
        <v>98</v>
      </c>
      <c r="BY26" s="94" t="s">
        <v>372</v>
      </c>
      <c r="BZ26" s="297">
        <f>B108</f>
        <v>20</v>
      </c>
      <c r="CA26" s="77" t="s">
        <v>69</v>
      </c>
      <c r="CB26" s="152" t="s">
        <v>157</v>
      </c>
      <c r="CC26" s="289">
        <f>B112</f>
        <v>75</v>
      </c>
      <c r="CD26" s="152" t="s">
        <v>26</v>
      </c>
      <c r="CE26" s="152" t="s">
        <v>157</v>
      </c>
      <c r="CF26" s="289">
        <f>B112</f>
        <v>75</v>
      </c>
      <c r="CG26" s="152" t="s">
        <v>26</v>
      </c>
      <c r="CK26" s="220" t="s">
        <v>188</v>
      </c>
      <c r="CL26" s="306">
        <f>B106</f>
        <v>1</v>
      </c>
      <c r="CM26" s="220" t="s">
        <v>254</v>
      </c>
      <c r="CN26" s="263" t="s">
        <v>331</v>
      </c>
      <c r="CO26" s="306">
        <f>B49</f>
        <v>0.25</v>
      </c>
      <c r="CP26" s="220"/>
      <c r="CQ26" s="220"/>
      <c r="CS26" s="220"/>
      <c r="CT26" s="212" t="s">
        <v>374</v>
      </c>
      <c r="CU26" s="194">
        <f>B133</f>
        <v>200</v>
      </c>
      <c r="CV26" s="188" t="s">
        <v>54</v>
      </c>
      <c r="CW26" s="88"/>
      <c r="CX26" s="192"/>
      <c r="CY26" s="88"/>
      <c r="CZ26" s="213" t="s">
        <v>378</v>
      </c>
      <c r="DA26" s="304">
        <f>B137</f>
        <v>0.78</v>
      </c>
      <c r="DB26" s="212" t="s">
        <v>30</v>
      </c>
      <c r="DF26" s="53" t="s">
        <v>38</v>
      </c>
      <c r="DG26" s="287">
        <f>B45</f>
        <v>2.1999999999999999E-5</v>
      </c>
      <c r="DO26" s="152" t="s">
        <v>330</v>
      </c>
      <c r="DP26" s="289">
        <f>B48</f>
        <v>0.26</v>
      </c>
      <c r="EA26" s="51"/>
      <c r="EB26" s="307"/>
      <c r="EC26" s="77"/>
      <c r="ED26" s="152" t="s">
        <v>331</v>
      </c>
      <c r="EE26" s="307">
        <f>B49</f>
        <v>0.25</v>
      </c>
      <c r="EF26" s="77"/>
      <c r="EP26" s="51"/>
      <c r="EQ26" s="307"/>
      <c r="ER26" s="77"/>
      <c r="ES26" s="152" t="s">
        <v>331</v>
      </c>
      <c r="ET26" s="307">
        <f>B49</f>
        <v>0.25</v>
      </c>
      <c r="EU26" s="77"/>
      <c r="EY26" s="77"/>
      <c r="EZ26" s="307"/>
      <c r="FD26" s="77"/>
      <c r="FE26" s="77"/>
      <c r="FF26" s="307"/>
      <c r="FG26" s="77"/>
      <c r="FH26" s="77" t="s">
        <v>175</v>
      </c>
      <c r="FI26" s="293">
        <f>B49</f>
        <v>0.25</v>
      </c>
      <c r="FJ26" s="77"/>
      <c r="FN26" s="77"/>
      <c r="FO26" s="307"/>
      <c r="FP26" s="77"/>
      <c r="FQ26" s="77"/>
      <c r="FR26" s="307"/>
      <c r="FS26" s="77"/>
      <c r="FT26" s="77"/>
      <c r="FU26" s="307"/>
      <c r="FV26" s="77"/>
      <c r="FW26" s="51"/>
      <c r="FX26" s="293"/>
      <c r="FY26" s="51"/>
      <c r="GC26" s="77"/>
      <c r="GD26" s="293"/>
      <c r="GE26" s="51"/>
      <c r="GI26" s="51"/>
      <c r="GJ26" s="293"/>
      <c r="GK26" s="51"/>
      <c r="GL26" s="152" t="s">
        <v>331</v>
      </c>
      <c r="GM26" s="293">
        <f>B49</f>
        <v>0.25</v>
      </c>
      <c r="GN26" s="77"/>
      <c r="GR26" s="77"/>
      <c r="GS26" s="293"/>
      <c r="GT26" s="51"/>
      <c r="GU26" s="51"/>
      <c r="GV26" s="293"/>
      <c r="GW26" s="51"/>
      <c r="HA26" s="152" t="s">
        <v>331</v>
      </c>
      <c r="HB26" s="293">
        <f>B49</f>
        <v>0.25</v>
      </c>
      <c r="HC26" s="77"/>
      <c r="HD26" s="77" t="s">
        <v>9</v>
      </c>
      <c r="HE26" s="305">
        <f>H2</f>
        <v>0.33058192093168237</v>
      </c>
      <c r="HF26" s="51" t="s">
        <v>14</v>
      </c>
    </row>
    <row r="27" spans="1:214" ht="15" thickTop="1" x14ac:dyDescent="0.2">
      <c r="A27" s="51" t="s">
        <v>452</v>
      </c>
      <c r="B27" s="103">
        <v>2.767285944E-8</v>
      </c>
      <c r="C27" s="51" t="s">
        <v>95</v>
      </c>
      <c r="G27" s="51" t="s">
        <v>335</v>
      </c>
      <c r="H27" s="297">
        <f>B63</f>
        <v>128.9</v>
      </c>
      <c r="I27" s="80" t="s">
        <v>254</v>
      </c>
      <c r="J27" s="140" t="s">
        <v>333</v>
      </c>
      <c r="K27" s="297">
        <f>B61</f>
        <v>188.5</v>
      </c>
      <c r="L27" s="80" t="s">
        <v>254</v>
      </c>
      <c r="M27" s="52" t="s">
        <v>270</v>
      </c>
      <c r="N27" s="287">
        <f>B31</f>
        <v>432.2</v>
      </c>
      <c r="O27" s="139" t="s">
        <v>69</v>
      </c>
      <c r="P27" s="52" t="s">
        <v>270</v>
      </c>
      <c r="Q27" s="287">
        <f>B31</f>
        <v>432.2</v>
      </c>
      <c r="R27" s="139" t="s">
        <v>69</v>
      </c>
      <c r="V27" s="139" t="s">
        <v>17</v>
      </c>
      <c r="W27" s="287">
        <f>B18</f>
        <v>9.9999999999999995E-7</v>
      </c>
      <c r="Y27" s="139" t="s">
        <v>17</v>
      </c>
      <c r="Z27" s="287">
        <f>B18</f>
        <v>9.9999999999999995E-7</v>
      </c>
      <c r="AB27" s="81" t="s">
        <v>23</v>
      </c>
      <c r="AC27" s="288">
        <f>0.693/AC28</f>
        <v>1.6034243405830633E-3</v>
      </c>
      <c r="AD27" s="288">
        <f>0.693/AD28</f>
        <v>1.6034243405830633E-3</v>
      </c>
      <c r="AE27" s="288">
        <f>0.693/AE28</f>
        <v>1.6034243405830633E-3</v>
      </c>
      <c r="AF27" s="288">
        <f>0.693/AF28</f>
        <v>1.6034243405830633E-3</v>
      </c>
      <c r="AG27" s="288">
        <f>0.693/AG28</f>
        <v>1.6034243405830633E-3</v>
      </c>
      <c r="AI27" s="52" t="s">
        <v>270</v>
      </c>
      <c r="AJ27" s="287">
        <f>B31</f>
        <v>432.2</v>
      </c>
      <c r="AK27" s="53" t="s">
        <v>69</v>
      </c>
      <c r="AL27" s="52" t="s">
        <v>270</v>
      </c>
      <c r="AM27" s="287">
        <f>B31</f>
        <v>432.2</v>
      </c>
      <c r="AN27" s="53" t="s">
        <v>69</v>
      </c>
      <c r="AR27" s="52" t="s">
        <v>270</v>
      </c>
      <c r="AS27" s="287">
        <f>B31</f>
        <v>432.2</v>
      </c>
      <c r="AT27" s="152" t="s">
        <v>69</v>
      </c>
      <c r="AU27" s="52" t="s">
        <v>270</v>
      </c>
      <c r="AV27" s="287">
        <f>B31</f>
        <v>432.2</v>
      </c>
      <c r="AW27" s="152" t="s">
        <v>69</v>
      </c>
      <c r="BA27" s="52" t="s">
        <v>270</v>
      </c>
      <c r="BB27" s="287">
        <f>B31</f>
        <v>432.2</v>
      </c>
      <c r="BC27" s="53" t="s">
        <v>69</v>
      </c>
      <c r="BD27" s="52" t="s">
        <v>270</v>
      </c>
      <c r="BE27" s="287">
        <f>B31</f>
        <v>432.2</v>
      </c>
      <c r="BF27" s="53" t="s">
        <v>69</v>
      </c>
      <c r="BJ27" s="52" t="s">
        <v>270</v>
      </c>
      <c r="BK27" s="287">
        <f>B31</f>
        <v>432.2</v>
      </c>
      <c r="BL27" s="152" t="s">
        <v>69</v>
      </c>
      <c r="BM27" s="52" t="s">
        <v>270</v>
      </c>
      <c r="BN27" s="287">
        <f>B31</f>
        <v>432.2</v>
      </c>
      <c r="BO27" s="152" t="s">
        <v>69</v>
      </c>
      <c r="BS27" s="94" t="s">
        <v>157</v>
      </c>
      <c r="BT27" s="289">
        <f>B112</f>
        <v>75</v>
      </c>
      <c r="BU27" s="53" t="s">
        <v>26</v>
      </c>
      <c r="BW27" s="289">
        <f>1/1000</f>
        <v>1E-3</v>
      </c>
      <c r="BX27" s="53" t="s">
        <v>99</v>
      </c>
      <c r="BY27" s="94" t="s">
        <v>373</v>
      </c>
      <c r="BZ27" s="297">
        <f>B107</f>
        <v>6</v>
      </c>
      <c r="CA27" s="51" t="s">
        <v>69</v>
      </c>
      <c r="CB27" s="152" t="s">
        <v>59</v>
      </c>
      <c r="CC27" s="289">
        <f>B109</f>
        <v>26</v>
      </c>
      <c r="CD27" s="152" t="s">
        <v>69</v>
      </c>
      <c r="CE27" s="152" t="s">
        <v>59</v>
      </c>
      <c r="CF27" s="289">
        <f>B109</f>
        <v>26</v>
      </c>
      <c r="CG27" s="152" t="s">
        <v>69</v>
      </c>
      <c r="CK27" s="266" t="s">
        <v>270</v>
      </c>
      <c r="CL27" s="287">
        <f>B31</f>
        <v>432.2</v>
      </c>
      <c r="CM27" s="249" t="s">
        <v>69</v>
      </c>
      <c r="CN27" s="220" t="s">
        <v>193</v>
      </c>
      <c r="CO27" s="306">
        <f>B125</f>
        <v>1</v>
      </c>
      <c r="CP27" s="220" t="s">
        <v>283</v>
      </c>
      <c r="CQ27" s="220"/>
      <c r="CS27" s="220"/>
      <c r="CT27" s="212" t="s">
        <v>375</v>
      </c>
      <c r="CU27" s="194">
        <f>B134</f>
        <v>100</v>
      </c>
      <c r="CV27" s="188" t="s">
        <v>54</v>
      </c>
      <c r="CW27" s="212"/>
      <c r="CX27" s="304"/>
      <c r="CY27" s="212"/>
      <c r="CZ27" s="213" t="s">
        <v>379</v>
      </c>
      <c r="DA27" s="304">
        <f>B138</f>
        <v>2.5</v>
      </c>
      <c r="DB27" s="212" t="s">
        <v>30</v>
      </c>
      <c r="DW27" s="83"/>
      <c r="DX27" s="83"/>
      <c r="DY27" s="328"/>
      <c r="DZ27" s="83"/>
      <c r="EA27" s="51"/>
      <c r="EB27" s="287"/>
      <c r="ED27" s="153" t="s">
        <v>278</v>
      </c>
      <c r="EE27" s="287">
        <f>B37</f>
        <v>4.2E-7</v>
      </c>
      <c r="EP27" s="51"/>
      <c r="EQ27" s="310"/>
      <c r="ES27" s="153" t="s">
        <v>275</v>
      </c>
      <c r="ET27" s="310">
        <f>B38</f>
        <v>5.0000000000000001E-4</v>
      </c>
      <c r="FH27" s="51" t="s">
        <v>201</v>
      </c>
      <c r="FI27" s="310">
        <f>B40</f>
        <v>3.0000000000000001E-3</v>
      </c>
      <c r="FW27" s="51"/>
      <c r="FX27" s="308"/>
      <c r="FY27" s="83"/>
      <c r="GD27" s="328"/>
      <c r="GE27" s="83"/>
      <c r="GI27" s="83"/>
      <c r="GJ27" s="328"/>
      <c r="GK27" s="83"/>
      <c r="GL27" s="51" t="s">
        <v>276</v>
      </c>
      <c r="GM27" s="310">
        <f>B39</f>
        <v>6.0000000000000001E-3</v>
      </c>
      <c r="GS27" s="328"/>
      <c r="GT27" s="83"/>
      <c r="GU27" s="83"/>
      <c r="GV27" s="328"/>
      <c r="GW27" s="83"/>
      <c r="HA27" s="51" t="s">
        <v>277</v>
      </c>
      <c r="HB27" s="310">
        <f>B41</f>
        <v>1.7000000000000001E-4</v>
      </c>
      <c r="HD27" s="51" t="s">
        <v>23</v>
      </c>
      <c r="HE27" s="288">
        <f>0.693/HE28</f>
        <v>1.6034243405830633E-3</v>
      </c>
    </row>
    <row r="28" spans="1:214" ht="15.75" thickBot="1" x14ac:dyDescent="0.25">
      <c r="A28" s="51" t="s">
        <v>63</v>
      </c>
      <c r="B28" s="103">
        <v>5.8031270640000001E-11</v>
      </c>
      <c r="C28" s="51" t="s">
        <v>95</v>
      </c>
      <c r="G28" s="51" t="s">
        <v>83</v>
      </c>
      <c r="H28" s="292">
        <f>B83</f>
        <v>0.5</v>
      </c>
      <c r="I28" s="53" t="s">
        <v>84</v>
      </c>
      <c r="J28" s="140" t="s">
        <v>444</v>
      </c>
      <c r="K28" s="291">
        <f>(K31*K36*K29)+(K32*K35*K30)</f>
        <v>989870</v>
      </c>
      <c r="L28" s="80" t="s">
        <v>149</v>
      </c>
      <c r="M28" s="140" t="s">
        <v>338</v>
      </c>
      <c r="N28" s="289">
        <f>B68</f>
        <v>350</v>
      </c>
      <c r="O28" s="139" t="s">
        <v>26</v>
      </c>
      <c r="P28" s="140" t="s">
        <v>338</v>
      </c>
      <c r="Q28" s="289">
        <f>B68</f>
        <v>350</v>
      </c>
      <c r="R28" s="139" t="s">
        <v>26</v>
      </c>
      <c r="V28" s="140" t="s">
        <v>23</v>
      </c>
      <c r="W28" s="288">
        <f>0.693/W29</f>
        <v>1.6034243405830633E-3</v>
      </c>
      <c r="Y28" s="140" t="s">
        <v>23</v>
      </c>
      <c r="Z28" s="288">
        <f>0.693/Z29</f>
        <v>1.6034243405830633E-3</v>
      </c>
      <c r="AB28" s="52" t="s">
        <v>270</v>
      </c>
      <c r="AC28" s="287">
        <f>B31</f>
        <v>432.2</v>
      </c>
      <c r="AD28" s="287">
        <f>B31</f>
        <v>432.2</v>
      </c>
      <c r="AE28" s="287">
        <f>B31</f>
        <v>432.2</v>
      </c>
      <c r="AF28" s="287">
        <f>B31</f>
        <v>432.2</v>
      </c>
      <c r="AG28" s="287">
        <f>B31</f>
        <v>432.2</v>
      </c>
      <c r="AH28" s="53" t="s">
        <v>69</v>
      </c>
      <c r="AI28" s="153" t="s">
        <v>40</v>
      </c>
      <c r="AJ28" s="289">
        <f>B232</f>
        <v>250</v>
      </c>
      <c r="AK28" s="152" t="s">
        <v>26</v>
      </c>
      <c r="AL28" s="153" t="s">
        <v>40</v>
      </c>
      <c r="AM28" s="289">
        <f>B232</f>
        <v>250</v>
      </c>
      <c r="AN28" s="152" t="s">
        <v>26</v>
      </c>
      <c r="AR28" s="153" t="s">
        <v>431</v>
      </c>
      <c r="AS28" s="289">
        <f>B244</f>
        <v>225</v>
      </c>
      <c r="AT28" s="152" t="s">
        <v>26</v>
      </c>
      <c r="AU28" s="153" t="s">
        <v>431</v>
      </c>
      <c r="AV28" s="289">
        <f>B244</f>
        <v>225</v>
      </c>
      <c r="AW28" s="152" t="s">
        <v>26</v>
      </c>
      <c r="BA28" s="153" t="s">
        <v>425</v>
      </c>
      <c r="BB28" s="289">
        <f>B220</f>
        <v>250</v>
      </c>
      <c r="BC28" s="152" t="s">
        <v>26</v>
      </c>
      <c r="BD28" s="153" t="s">
        <v>425</v>
      </c>
      <c r="BE28" s="289">
        <f>B220</f>
        <v>250</v>
      </c>
      <c r="BF28" s="152" t="s">
        <v>26</v>
      </c>
      <c r="BJ28" s="153" t="s">
        <v>221</v>
      </c>
      <c r="BK28" s="289">
        <f>B256</f>
        <v>130</v>
      </c>
      <c r="BL28" s="152" t="s">
        <v>26</v>
      </c>
      <c r="BM28" s="153" t="s">
        <v>221</v>
      </c>
      <c r="BN28" s="289">
        <f>B256</f>
        <v>130</v>
      </c>
      <c r="BO28" s="152" t="s">
        <v>26</v>
      </c>
      <c r="BS28" s="52" t="s">
        <v>111</v>
      </c>
      <c r="BT28" s="304">
        <f>BT9</f>
        <v>26</v>
      </c>
      <c r="BU28" s="52" t="s">
        <v>69</v>
      </c>
      <c r="BW28" s="289">
        <v>1000</v>
      </c>
      <c r="BX28" s="53" t="s">
        <v>101</v>
      </c>
      <c r="BY28" s="94" t="s">
        <v>105</v>
      </c>
      <c r="BZ28" s="298">
        <f>B113</f>
        <v>1</v>
      </c>
      <c r="CA28" s="92" t="s">
        <v>224</v>
      </c>
      <c r="CB28" s="53" t="s">
        <v>462</v>
      </c>
      <c r="CC28" s="287">
        <f>B12</f>
        <v>1.5699999999999999E-5</v>
      </c>
      <c r="CD28" s="152"/>
      <c r="CE28" s="53" t="s">
        <v>458</v>
      </c>
      <c r="CF28" s="287">
        <f>B8</f>
        <v>1.35E-4</v>
      </c>
      <c r="CG28" s="152"/>
      <c r="CK28" s="249" t="s">
        <v>23</v>
      </c>
      <c r="CL28" s="288">
        <f>0.693/CL27</f>
        <v>1.6034243405830633E-3</v>
      </c>
      <c r="CM28" s="249"/>
      <c r="CN28" s="220" t="s">
        <v>196</v>
      </c>
      <c r="CO28" s="306">
        <f>B126</f>
        <v>1</v>
      </c>
      <c r="CP28" s="220" t="s">
        <v>283</v>
      </c>
      <c r="CQ28" s="220"/>
      <c r="CS28" s="220"/>
      <c r="CT28" s="153" t="s">
        <v>376</v>
      </c>
      <c r="CU28" s="292">
        <f>B135</f>
        <v>10</v>
      </c>
      <c r="CV28" s="80" t="s">
        <v>49</v>
      </c>
      <c r="CZ28" s="153" t="s">
        <v>376</v>
      </c>
      <c r="DA28" s="293">
        <f>B135</f>
        <v>10</v>
      </c>
      <c r="DB28" s="51" t="s">
        <v>164</v>
      </c>
      <c r="DW28" s="83"/>
      <c r="DX28" s="83"/>
      <c r="DY28" s="328"/>
      <c r="DZ28" s="83"/>
      <c r="FW28" s="51"/>
      <c r="FX28" s="305"/>
      <c r="FY28" s="83"/>
      <c r="GD28" s="328"/>
      <c r="GE28" s="83"/>
      <c r="GI28" s="83"/>
      <c r="GJ28" s="328"/>
      <c r="GK28" s="83"/>
      <c r="GL28" s="83"/>
      <c r="GM28" s="328"/>
      <c r="GS28" s="328"/>
      <c r="GT28" s="83"/>
      <c r="GU28" s="83"/>
      <c r="GV28" s="328"/>
      <c r="GW28" s="83"/>
      <c r="HA28" s="83"/>
      <c r="HB28" s="328"/>
      <c r="HD28" s="52" t="s">
        <v>270</v>
      </c>
      <c r="HE28" s="310">
        <f>B31</f>
        <v>432.2</v>
      </c>
      <c r="HF28" s="53" t="s">
        <v>69</v>
      </c>
    </row>
    <row r="29" spans="1:214" ht="18.75" thickTop="1" x14ac:dyDescent="0.2">
      <c r="A29" s="52" t="s">
        <v>161</v>
      </c>
      <c r="B29" s="103">
        <v>1.319423256E-13</v>
      </c>
      <c r="C29" s="77" t="s">
        <v>35</v>
      </c>
      <c r="D29" s="665" t="s">
        <v>508</v>
      </c>
      <c r="E29" s="607"/>
      <c r="F29" s="608"/>
      <c r="G29" s="140" t="s">
        <v>340</v>
      </c>
      <c r="H29" s="298">
        <f>B67</f>
        <v>350</v>
      </c>
      <c r="I29" s="51" t="s">
        <v>26</v>
      </c>
      <c r="J29" s="140" t="s">
        <v>334</v>
      </c>
      <c r="K29" s="297">
        <f>B62</f>
        <v>41.7</v>
      </c>
      <c r="L29" s="80" t="s">
        <v>254</v>
      </c>
      <c r="M29" s="140" t="s">
        <v>341</v>
      </c>
      <c r="N29" s="289">
        <f>B66</f>
        <v>26</v>
      </c>
      <c r="O29" s="139" t="s">
        <v>69</v>
      </c>
      <c r="P29" s="140" t="s">
        <v>341</v>
      </c>
      <c r="Q29" s="289">
        <f>B66</f>
        <v>26</v>
      </c>
      <c r="R29" s="139" t="s">
        <v>69</v>
      </c>
      <c r="V29" s="143" t="s">
        <v>270</v>
      </c>
      <c r="W29" s="287">
        <f>B31</f>
        <v>432.2</v>
      </c>
      <c r="X29" s="53" t="s">
        <v>69</v>
      </c>
      <c r="Y29" s="143" t="s">
        <v>270</v>
      </c>
      <c r="Z29" s="287">
        <f>B31</f>
        <v>432.2</v>
      </c>
      <c r="AA29" s="53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53" t="s">
        <v>26</v>
      </c>
      <c r="AI29" s="153" t="s">
        <v>429</v>
      </c>
      <c r="AJ29" s="289">
        <f>B233</f>
        <v>25</v>
      </c>
      <c r="AK29" s="152" t="s">
        <v>69</v>
      </c>
      <c r="AL29" s="153" t="s">
        <v>429</v>
      </c>
      <c r="AM29" s="289">
        <f>B233</f>
        <v>25</v>
      </c>
      <c r="AN29" s="152" t="s">
        <v>69</v>
      </c>
      <c r="AR29" s="153" t="s">
        <v>432</v>
      </c>
      <c r="AS29" s="289">
        <f>B245</f>
        <v>25</v>
      </c>
      <c r="AT29" s="152" t="s">
        <v>69</v>
      </c>
      <c r="AU29" s="153" t="s">
        <v>432</v>
      </c>
      <c r="AV29" s="289">
        <f>B245</f>
        <v>25</v>
      </c>
      <c r="AW29" s="152" t="s">
        <v>69</v>
      </c>
      <c r="BA29" s="153" t="s">
        <v>75</v>
      </c>
      <c r="BB29" s="289">
        <f>B221</f>
        <v>25</v>
      </c>
      <c r="BC29" s="152" t="s">
        <v>69</v>
      </c>
      <c r="BD29" s="153" t="s">
        <v>75</v>
      </c>
      <c r="BE29" s="289">
        <f>B221</f>
        <v>25</v>
      </c>
      <c r="BF29" s="152" t="s">
        <v>69</v>
      </c>
      <c r="BJ29" s="153" t="s">
        <v>219</v>
      </c>
      <c r="BK29" s="289">
        <f>B280</f>
        <v>26</v>
      </c>
      <c r="BL29" s="152" t="s">
        <v>130</v>
      </c>
      <c r="BM29" s="153" t="s">
        <v>219</v>
      </c>
      <c r="BN29" s="289">
        <f>B280</f>
        <v>26</v>
      </c>
      <c r="BO29" s="152" t="s">
        <v>130</v>
      </c>
      <c r="BS29" s="52"/>
      <c r="BT29" s="115"/>
      <c r="BU29" s="84"/>
      <c r="BW29" s="289">
        <v>1000</v>
      </c>
      <c r="BX29" s="53" t="s">
        <v>250</v>
      </c>
      <c r="BY29" s="92" t="s">
        <v>368</v>
      </c>
      <c r="BZ29" s="298">
        <f>B114</f>
        <v>1</v>
      </c>
      <c r="CA29" s="92" t="s">
        <v>224</v>
      </c>
      <c r="CB29" s="53" t="s">
        <v>463</v>
      </c>
      <c r="CC29" s="287">
        <f>B13</f>
        <v>0.80900000000000005</v>
      </c>
      <c r="CD29" s="152"/>
      <c r="CE29" s="53" t="s">
        <v>459</v>
      </c>
      <c r="CF29" s="287">
        <f>B9</f>
        <v>0.71099999999999997</v>
      </c>
      <c r="CG29" s="152"/>
      <c r="CK29" s="249" t="s">
        <v>16</v>
      </c>
      <c r="CL29" s="288">
        <f>(CL30*CL28)/(1-EXP(-CL28*CL30))</f>
        <v>1.0209893435208997</v>
      </c>
      <c r="CM29" s="249"/>
      <c r="CN29" s="225" t="s">
        <v>197</v>
      </c>
      <c r="CO29" s="306">
        <f>B127</f>
        <v>1</v>
      </c>
      <c r="CP29" s="220" t="s">
        <v>47</v>
      </c>
      <c r="CQ29" s="223"/>
      <c r="CR29" s="293"/>
      <c r="CS29" s="221"/>
      <c r="CT29" s="153" t="s">
        <v>377</v>
      </c>
      <c r="CU29" s="292">
        <f>B136</f>
        <v>20</v>
      </c>
      <c r="CV29" s="80" t="s">
        <v>49</v>
      </c>
      <c r="CZ29" s="153" t="s">
        <v>377</v>
      </c>
      <c r="DA29" s="293">
        <f>B136</f>
        <v>20</v>
      </c>
      <c r="DB29" s="51" t="s">
        <v>164</v>
      </c>
      <c r="DW29" s="83"/>
      <c r="DX29" s="83"/>
      <c r="DY29" s="328"/>
      <c r="DZ29" s="83"/>
      <c r="HD29" s="77" t="s">
        <v>100</v>
      </c>
      <c r="HE29" s="292">
        <f>B283</f>
        <v>0.3</v>
      </c>
    </row>
    <row r="30" spans="1:214" x14ac:dyDescent="0.2">
      <c r="A30" s="51" t="s">
        <v>438</v>
      </c>
      <c r="B30" s="103">
        <v>1.3357000000000001E-10</v>
      </c>
      <c r="C30" s="80" t="s">
        <v>35</v>
      </c>
      <c r="D30" s="203" t="s">
        <v>510</v>
      </c>
      <c r="E30" s="204">
        <f>E37</f>
        <v>1.5235472299184209E-2</v>
      </c>
      <c r="F30" s="184" t="s">
        <v>13</v>
      </c>
      <c r="G30" s="140" t="s">
        <v>339</v>
      </c>
      <c r="H30" s="298">
        <f>B68</f>
        <v>350</v>
      </c>
      <c r="I30" s="51" t="s">
        <v>26</v>
      </c>
      <c r="J30" s="140" t="s">
        <v>335</v>
      </c>
      <c r="K30" s="297">
        <f>B63</f>
        <v>128.9</v>
      </c>
      <c r="L30" s="80" t="s">
        <v>254</v>
      </c>
      <c r="M30" s="53" t="s">
        <v>52</v>
      </c>
      <c r="N30" s="289">
        <v>0.4</v>
      </c>
      <c r="P30" s="53" t="s">
        <v>52</v>
      </c>
      <c r="Q30" s="289">
        <v>0.4</v>
      </c>
      <c r="V30" s="139" t="s">
        <v>40</v>
      </c>
      <c r="W30" s="289">
        <f>B232</f>
        <v>250</v>
      </c>
      <c r="X30" s="53" t="s">
        <v>165</v>
      </c>
      <c r="Y30" s="139" t="s">
        <v>221</v>
      </c>
      <c r="Z30" s="289">
        <f>B256</f>
        <v>130</v>
      </c>
      <c r="AA30" s="53" t="s">
        <v>165</v>
      </c>
      <c r="AB30" s="77" t="s">
        <v>16</v>
      </c>
      <c r="AC30" s="354">
        <f>(AC26*AC27)/(1-EXP(-AC27*AC26))</f>
        <v>1.0201767053388309</v>
      </c>
      <c r="AD30" s="354">
        <f>(AD26*AD27)/(1-EXP(-AD27*AD26))</f>
        <v>1.0201767053388309</v>
      </c>
      <c r="AE30" s="354">
        <f>(AE26*AE27)/(1-EXP(-AE27*AE26))</f>
        <v>1.0201767053388309</v>
      </c>
      <c r="AF30" s="354">
        <f>(AF26*AF27)/(1-EXP(-AF27*AF26))</f>
        <v>1.0008019264177617</v>
      </c>
      <c r="AG30" s="354">
        <f>(AG26*AG27)/(1-EXP(-AG27*AG26))</f>
        <v>1.0008019264177617</v>
      </c>
      <c r="AI30" s="53" t="s">
        <v>52</v>
      </c>
      <c r="AJ30" s="289">
        <f>B237</f>
        <v>0.4</v>
      </c>
      <c r="AL30" s="53" t="s">
        <v>52</v>
      </c>
      <c r="AM30" s="289">
        <f>B237</f>
        <v>0.4</v>
      </c>
      <c r="AR30" s="53" t="s">
        <v>52</v>
      </c>
      <c r="AS30" s="289">
        <f>B249</f>
        <v>0.4</v>
      </c>
      <c r="AT30" s="152"/>
      <c r="AU30" s="152" t="s">
        <v>52</v>
      </c>
      <c r="AV30" s="289">
        <f>B249</f>
        <v>0.4</v>
      </c>
      <c r="AW30" s="152"/>
      <c r="BA30" s="53" t="s">
        <v>52</v>
      </c>
      <c r="BB30" s="289">
        <f>B225</f>
        <v>0.4</v>
      </c>
      <c r="BD30" s="152" t="s">
        <v>52</v>
      </c>
      <c r="BE30" s="289">
        <f>B225</f>
        <v>0.4</v>
      </c>
      <c r="BJ30" s="153" t="s">
        <v>220</v>
      </c>
      <c r="BK30" s="289">
        <f>B279</f>
        <v>5</v>
      </c>
      <c r="BL30" s="152" t="s">
        <v>129</v>
      </c>
      <c r="BM30" s="153" t="s">
        <v>220</v>
      </c>
      <c r="BN30" s="289">
        <f>B279</f>
        <v>5</v>
      </c>
      <c r="BO30" s="152" t="s">
        <v>129</v>
      </c>
      <c r="BS30" s="52"/>
      <c r="BT30" s="137"/>
      <c r="BU30" s="85"/>
      <c r="BV30" s="51"/>
      <c r="BW30" s="297">
        <v>365</v>
      </c>
      <c r="BX30" s="77" t="s">
        <v>26</v>
      </c>
      <c r="BY30" s="92" t="s">
        <v>369</v>
      </c>
      <c r="BZ30" s="298">
        <f>B115</f>
        <v>1</v>
      </c>
      <c r="CA30" s="92" t="s">
        <v>224</v>
      </c>
      <c r="CB30" s="53" t="s">
        <v>105</v>
      </c>
      <c r="CC30" s="289">
        <f>B113</f>
        <v>1</v>
      </c>
      <c r="CD30" s="152" t="s">
        <v>224</v>
      </c>
      <c r="CE30" s="53" t="s">
        <v>105</v>
      </c>
      <c r="CF30" s="289">
        <f>B113</f>
        <v>1</v>
      </c>
      <c r="CG30" s="152" t="s">
        <v>224</v>
      </c>
      <c r="CK30" s="249" t="s">
        <v>111</v>
      </c>
      <c r="CL30" s="289">
        <f>B109</f>
        <v>26</v>
      </c>
      <c r="CM30" s="249" t="s">
        <v>69</v>
      </c>
      <c r="CN30" s="221" t="s">
        <v>198</v>
      </c>
      <c r="CO30" s="306">
        <f>B128</f>
        <v>1</v>
      </c>
      <c r="CP30" s="220" t="s">
        <v>47</v>
      </c>
      <c r="CQ30" s="221"/>
      <c r="CR30" s="293"/>
      <c r="CS30" s="221"/>
      <c r="CT30" s="153" t="s">
        <v>387</v>
      </c>
      <c r="CU30" s="298">
        <f>B158</f>
        <v>350</v>
      </c>
      <c r="CV30" s="51" t="s">
        <v>26</v>
      </c>
      <c r="CW30" s="80"/>
      <c r="CX30" s="292"/>
      <c r="CY30" s="80"/>
      <c r="CZ30" s="153" t="s">
        <v>380</v>
      </c>
      <c r="DA30" s="297">
        <f>B139</f>
        <v>68.099999999999994</v>
      </c>
      <c r="DB30" s="51" t="s">
        <v>254</v>
      </c>
      <c r="DW30" s="83"/>
      <c r="DX30" s="83"/>
      <c r="DY30" s="328"/>
      <c r="DZ30" s="83"/>
      <c r="HD30" s="77" t="s">
        <v>102</v>
      </c>
      <c r="HE30" s="292">
        <f>B282</f>
        <v>1.5</v>
      </c>
    </row>
    <row r="31" spans="1:214" ht="13.5" thickBot="1" x14ac:dyDescent="0.25">
      <c r="A31" s="52" t="s">
        <v>270</v>
      </c>
      <c r="B31" s="103">
        <v>432.2</v>
      </c>
      <c r="C31" s="53" t="s">
        <v>274</v>
      </c>
      <c r="D31" s="183"/>
      <c r="E31" s="182"/>
      <c r="F31" s="181"/>
      <c r="G31" s="140" t="s">
        <v>341</v>
      </c>
      <c r="H31" s="298">
        <f>B66</f>
        <v>26</v>
      </c>
      <c r="I31" s="77" t="s">
        <v>69</v>
      </c>
      <c r="J31" s="140" t="s">
        <v>340</v>
      </c>
      <c r="K31" s="298">
        <f>B67</f>
        <v>350</v>
      </c>
      <c r="L31" s="51" t="s">
        <v>26</v>
      </c>
      <c r="M31" s="53" t="s">
        <v>56</v>
      </c>
      <c r="N31" s="289">
        <v>1</v>
      </c>
      <c r="P31" s="53" t="s">
        <v>56</v>
      </c>
      <c r="Q31" s="289">
        <v>1</v>
      </c>
      <c r="V31" s="139" t="s">
        <v>429</v>
      </c>
      <c r="W31" s="289">
        <f>B233</f>
        <v>25</v>
      </c>
      <c r="X31" s="53" t="s">
        <v>169</v>
      </c>
      <c r="Y31" s="139" t="s">
        <v>186</v>
      </c>
      <c r="Z31" s="289">
        <f>B257</f>
        <v>1</v>
      </c>
      <c r="AA31" s="53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53" t="s">
        <v>56</v>
      </c>
      <c r="AJ31" s="289">
        <f>B236</f>
        <v>1</v>
      </c>
      <c r="AL31" s="53" t="s">
        <v>56</v>
      </c>
      <c r="AM31" s="289">
        <f>B236</f>
        <v>1</v>
      </c>
      <c r="AR31" s="53" t="s">
        <v>56</v>
      </c>
      <c r="AS31" s="289">
        <f>B248</f>
        <v>1</v>
      </c>
      <c r="AT31" s="152"/>
      <c r="AU31" s="152" t="s">
        <v>56</v>
      </c>
      <c r="AV31" s="289">
        <f>B248</f>
        <v>1</v>
      </c>
      <c r="AW31" s="152"/>
      <c r="BA31" s="53" t="s">
        <v>56</v>
      </c>
      <c r="BB31" s="289">
        <f>B224</f>
        <v>1</v>
      </c>
      <c r="BD31" s="53" t="s">
        <v>56</v>
      </c>
      <c r="BE31" s="289">
        <f>B224</f>
        <v>1</v>
      </c>
      <c r="BJ31" s="153" t="s">
        <v>186</v>
      </c>
      <c r="BK31" s="289">
        <f>B271</f>
        <v>1</v>
      </c>
      <c r="BL31" s="152" t="s">
        <v>169</v>
      </c>
      <c r="BM31" s="153" t="s">
        <v>186</v>
      </c>
      <c r="BN31" s="289">
        <f>B271</f>
        <v>1</v>
      </c>
      <c r="BO31" s="152" t="s">
        <v>169</v>
      </c>
      <c r="BW31" s="297">
        <v>8760</v>
      </c>
      <c r="BX31" s="77" t="s">
        <v>162</v>
      </c>
      <c r="BY31" s="51" t="s">
        <v>159</v>
      </c>
      <c r="BZ31" s="305">
        <f>B3</f>
        <v>2.41E-4</v>
      </c>
      <c r="CB31" s="53" t="s">
        <v>71</v>
      </c>
      <c r="CC31" s="290">
        <f>B24</f>
        <v>1.86820992E-8</v>
      </c>
      <c r="CD31" s="153" t="s">
        <v>282</v>
      </c>
      <c r="CE31" s="53" t="s">
        <v>71</v>
      </c>
      <c r="CF31" s="290">
        <f>B26</f>
        <v>2.5781296896000001E-8</v>
      </c>
      <c r="CG31" s="77" t="s">
        <v>72</v>
      </c>
      <c r="CT31" s="153" t="s">
        <v>388</v>
      </c>
      <c r="CU31" s="298">
        <f>B159</f>
        <v>350</v>
      </c>
      <c r="CV31" s="51" t="s">
        <v>26</v>
      </c>
      <c r="CZ31" s="153" t="s">
        <v>381</v>
      </c>
      <c r="DA31" s="297">
        <f>B140</f>
        <v>176.8</v>
      </c>
      <c r="DB31" s="51" t="s">
        <v>254</v>
      </c>
      <c r="DW31" s="83"/>
      <c r="DX31" s="83"/>
      <c r="DY31" s="328"/>
      <c r="DZ31" s="83"/>
      <c r="HD31" s="77" t="s">
        <v>32</v>
      </c>
      <c r="HE31" s="292">
        <f>B284</f>
        <v>26</v>
      </c>
    </row>
    <row r="32" spans="1:214" ht="13.5" thickTop="1" x14ac:dyDescent="0.2">
      <c r="A32" s="52" t="s">
        <v>96</v>
      </c>
      <c r="B32" s="103">
        <f>PEF!D3</f>
        <v>1359344473.5814338</v>
      </c>
      <c r="D32" s="262" t="s">
        <v>17</v>
      </c>
      <c r="E32" s="287">
        <f>B18</f>
        <v>9.9999999999999995E-7</v>
      </c>
      <c r="F32" s="249"/>
      <c r="G32" s="140" t="s">
        <v>343</v>
      </c>
      <c r="H32" s="297">
        <f>B64</f>
        <v>6</v>
      </c>
      <c r="I32" s="77" t="s">
        <v>69</v>
      </c>
      <c r="J32" s="140" t="s">
        <v>339</v>
      </c>
      <c r="K32" s="298">
        <f>B68</f>
        <v>350</v>
      </c>
      <c r="L32" s="51" t="s">
        <v>26</v>
      </c>
      <c r="M32" s="53" t="s">
        <v>463</v>
      </c>
      <c r="N32" s="289">
        <v>1</v>
      </c>
      <c r="P32" s="53" t="s">
        <v>459</v>
      </c>
      <c r="Q32" s="289">
        <v>1</v>
      </c>
      <c r="V32" s="139" t="s">
        <v>43</v>
      </c>
      <c r="W32" s="290">
        <f>B19</f>
        <v>3.7739999999999999E-8</v>
      </c>
      <c r="X32" s="77" t="s">
        <v>44</v>
      </c>
      <c r="Y32" s="139" t="s">
        <v>43</v>
      </c>
      <c r="Z32" s="290">
        <f>B19</f>
        <v>3.7739999999999999E-8</v>
      </c>
      <c r="AA32" s="77" t="s">
        <v>44</v>
      </c>
      <c r="AB32" s="239" t="s">
        <v>80</v>
      </c>
      <c r="AC32" s="294">
        <f>(AC5/(AC9*AC14*AC8*AC11*(1/AC6)))*AC30</f>
        <v>17.93323147156811</v>
      </c>
      <c r="AD32" s="294">
        <f>(AD5/(AD9*AD14*AD8*AD11*(1/AD6)))*AD30</f>
        <v>35.86646294313622</v>
      </c>
      <c r="AE32" s="294">
        <f>(AE5/(AE9*AE14*AE8*AE11*(1/AE6)))*AE30</f>
        <v>19.925812746186789</v>
      </c>
      <c r="AF32" s="294">
        <f>(AF5/(AF9*AF14*AF8*AF11*(1/AF6)))*AF30</f>
        <v>256.3031886784691</v>
      </c>
      <c r="AG32" s="294">
        <f>(AG5/(AG9*AG14*AG8*AG11*(1/AG6)))*AG30</f>
        <v>256.3031886784691</v>
      </c>
      <c r="AH32" s="239" t="s">
        <v>13</v>
      </c>
      <c r="AI32" s="53" t="s">
        <v>62</v>
      </c>
      <c r="AJ32" s="289">
        <f>B238</f>
        <v>1</v>
      </c>
      <c r="AL32" s="53" t="s">
        <v>62</v>
      </c>
      <c r="AM32" s="289">
        <f>B238</f>
        <v>1</v>
      </c>
      <c r="AR32" s="53" t="s">
        <v>62</v>
      </c>
      <c r="AS32" s="289">
        <f>B250</f>
        <v>1</v>
      </c>
      <c r="AT32" s="152"/>
      <c r="AU32" s="53" t="s">
        <v>62</v>
      </c>
      <c r="AV32" s="289">
        <f>B250</f>
        <v>1</v>
      </c>
      <c r="AW32" s="152"/>
      <c r="BA32" s="53" t="s">
        <v>62</v>
      </c>
      <c r="BB32" s="289">
        <f>B226</f>
        <v>1</v>
      </c>
      <c r="BD32" s="53" t="s">
        <v>62</v>
      </c>
      <c r="BE32" s="289">
        <f>B226</f>
        <v>1</v>
      </c>
      <c r="BJ32" s="53" t="s">
        <v>462</v>
      </c>
      <c r="BK32" s="287">
        <f>B12</f>
        <v>1.5699999999999999E-5</v>
      </c>
      <c r="BL32" s="152"/>
      <c r="BM32" s="53" t="s">
        <v>458</v>
      </c>
      <c r="BN32" s="287">
        <f>B8</f>
        <v>1.35E-4</v>
      </c>
      <c r="BO32" s="152"/>
      <c r="BY32" s="51" t="s">
        <v>62</v>
      </c>
      <c r="BZ32" s="305">
        <f>B4</f>
        <v>0.753</v>
      </c>
      <c r="CO32" s="287"/>
      <c r="CT32" s="153" t="s">
        <v>386</v>
      </c>
      <c r="CU32" s="292">
        <f>B157</f>
        <v>40</v>
      </c>
      <c r="CV32" s="80" t="s">
        <v>69</v>
      </c>
      <c r="CZ32" s="153" t="s">
        <v>382</v>
      </c>
      <c r="DA32" s="297">
        <f>B141</f>
        <v>41.7</v>
      </c>
      <c r="DB32" s="51" t="s">
        <v>254</v>
      </c>
      <c r="DW32" s="83"/>
      <c r="DX32" s="51"/>
      <c r="DY32" s="116"/>
      <c r="DZ32" s="80"/>
      <c r="HD32" s="77" t="s">
        <v>39</v>
      </c>
      <c r="HE32" s="292">
        <f>B285</f>
        <v>70</v>
      </c>
      <c r="HF32" s="53" t="s">
        <v>69</v>
      </c>
    </row>
    <row r="33" spans="1:214" x14ac:dyDescent="0.2">
      <c r="A33" s="52" t="s">
        <v>120</v>
      </c>
      <c r="B33" s="103">
        <f>PEF!G3</f>
        <v>773681.6396651821</v>
      </c>
      <c r="D33" s="262" t="s">
        <v>338</v>
      </c>
      <c r="E33" s="298">
        <f>B69</f>
        <v>350</v>
      </c>
      <c r="F33" s="262" t="s">
        <v>26</v>
      </c>
      <c r="G33" s="140" t="s">
        <v>342</v>
      </c>
      <c r="H33" s="297">
        <f>B65</f>
        <v>20</v>
      </c>
      <c r="I33" s="77" t="s">
        <v>69</v>
      </c>
      <c r="J33" s="140" t="s">
        <v>338</v>
      </c>
      <c r="K33" s="297">
        <f>B69</f>
        <v>350</v>
      </c>
      <c r="L33" s="140" t="s">
        <v>26</v>
      </c>
      <c r="M33" s="140" t="s">
        <v>351</v>
      </c>
      <c r="N33" s="289">
        <f>B96</f>
        <v>1.752</v>
      </c>
      <c r="O33" s="53" t="s">
        <v>224</v>
      </c>
      <c r="P33" s="140" t="s">
        <v>351</v>
      </c>
      <c r="Q33" s="289">
        <f>B96</f>
        <v>1.752</v>
      </c>
      <c r="R33" s="53" t="s">
        <v>224</v>
      </c>
      <c r="V33" s="139" t="s">
        <v>475</v>
      </c>
      <c r="W33" s="298">
        <f>B240</f>
        <v>8</v>
      </c>
      <c r="X33" s="77" t="s">
        <v>224</v>
      </c>
      <c r="Y33" s="139" t="s">
        <v>222</v>
      </c>
      <c r="Z33" s="298">
        <f>B263</f>
        <v>8</v>
      </c>
      <c r="AA33" s="77" t="s">
        <v>224</v>
      </c>
      <c r="AB33" s="239" t="s">
        <v>74</v>
      </c>
      <c r="AC33" s="295">
        <f>(AC5/(AC21*AC17*AC8*AC11*(1/AC35)*((8/1)/(24/1))*AC31))*AC30</f>
        <v>293.96323613754208</v>
      </c>
      <c r="AD33" s="295">
        <f>(AD5/(AD21*AD17*AD8*((8/1)/(24/1))*AD11*(1/AD35)*AD31))*AD30</f>
        <v>293.96323613754208</v>
      </c>
      <c r="AE33" s="295">
        <f>(AE5/(AE21*AE17*AE8*((8/1)/(24/1))*AE11*(1/AE35)*AE31))*AE30</f>
        <v>326.62581793060224</v>
      </c>
      <c r="AF33" s="295">
        <f>(AF5/(AF21*AF17*AF8*AF11*(1/AF36)*(AF23/24)*AF31))*AF30</f>
        <v>7.8910569831128656</v>
      </c>
      <c r="AG33" s="295">
        <f>(AG5/(AG21*AG17*AG8*AG11*(1/AG37)*(AG23/24)*AG31))*AG30</f>
        <v>367.74667875818739</v>
      </c>
      <c r="AH33" s="88" t="s">
        <v>13</v>
      </c>
      <c r="AI33" s="153" t="s">
        <v>469</v>
      </c>
      <c r="AJ33" s="289">
        <f>B239</f>
        <v>0</v>
      </c>
      <c r="AK33" s="152" t="s">
        <v>224</v>
      </c>
      <c r="AL33" s="153" t="s">
        <v>469</v>
      </c>
      <c r="AM33" s="289">
        <f>B239</f>
        <v>0</v>
      </c>
      <c r="AN33" s="152" t="s">
        <v>224</v>
      </c>
      <c r="AR33" s="153" t="s">
        <v>466</v>
      </c>
      <c r="AS33" s="289">
        <f>B251</f>
        <v>8</v>
      </c>
      <c r="AT33" s="152" t="s">
        <v>224</v>
      </c>
      <c r="AU33" s="153" t="s">
        <v>466</v>
      </c>
      <c r="AV33" s="289">
        <f>B251</f>
        <v>8</v>
      </c>
      <c r="AW33" s="152" t="s">
        <v>224</v>
      </c>
      <c r="BA33" s="153" t="s">
        <v>467</v>
      </c>
      <c r="BB33" s="289">
        <f>B227</f>
        <v>4</v>
      </c>
      <c r="BC33" s="152" t="s">
        <v>224</v>
      </c>
      <c r="BD33" s="153" t="s">
        <v>467</v>
      </c>
      <c r="BE33" s="289">
        <f>B227</f>
        <v>4</v>
      </c>
      <c r="BF33" s="152" t="s">
        <v>224</v>
      </c>
      <c r="BJ33" s="53" t="s">
        <v>463</v>
      </c>
      <c r="BK33" s="287">
        <f>B13</f>
        <v>0.80900000000000005</v>
      </c>
      <c r="BL33" s="152"/>
      <c r="BM33" s="53" t="s">
        <v>459</v>
      </c>
      <c r="BN33" s="287">
        <f>B9</f>
        <v>0.71099999999999997</v>
      </c>
      <c r="BO33" s="152"/>
      <c r="BY33" s="81" t="s">
        <v>111</v>
      </c>
      <c r="BZ33" s="298">
        <f>BZ25</f>
        <v>26</v>
      </c>
      <c r="CA33" s="152" t="s">
        <v>69</v>
      </c>
      <c r="CN33" s="367">
        <f>627/CO2</f>
        <v>1.1996616501027306</v>
      </c>
      <c r="CT33" s="153" t="s">
        <v>385</v>
      </c>
      <c r="CU33" s="297">
        <f>B156</f>
        <v>34</v>
      </c>
      <c r="CV33" s="77" t="s">
        <v>69</v>
      </c>
      <c r="CZ33" s="153" t="s">
        <v>383</v>
      </c>
      <c r="DA33" s="297">
        <f>B142</f>
        <v>125.7</v>
      </c>
      <c r="DB33" s="51" t="s">
        <v>254</v>
      </c>
      <c r="DS33" s="298"/>
      <c r="DW33" s="83"/>
      <c r="DX33" s="51"/>
      <c r="DY33" s="116"/>
      <c r="DZ33" s="80"/>
      <c r="HD33" s="77" t="s">
        <v>261</v>
      </c>
      <c r="HE33" s="299">
        <f>1+((HE35*HE36*HE37)/(HE38*HE39))</f>
        <v>2.5031102279517308</v>
      </c>
    </row>
    <row r="34" spans="1:214" x14ac:dyDescent="0.2">
      <c r="A34" s="52" t="s">
        <v>121</v>
      </c>
      <c r="B34" s="103">
        <f>PEF!J3</f>
        <v>36055860.959050171</v>
      </c>
      <c r="D34" s="262" t="s">
        <v>256</v>
      </c>
      <c r="E34" s="287">
        <f>B30</f>
        <v>1.3357000000000001E-10</v>
      </c>
      <c r="F34" s="262" t="s">
        <v>289</v>
      </c>
      <c r="G34" s="139" t="s">
        <v>344</v>
      </c>
      <c r="H34" s="297">
        <f>B70</f>
        <v>0.54</v>
      </c>
      <c r="I34" s="53" t="s">
        <v>104</v>
      </c>
      <c r="J34" s="51" t="s">
        <v>341</v>
      </c>
      <c r="K34" s="292">
        <f>B66</f>
        <v>26</v>
      </c>
      <c r="L34" s="80" t="s">
        <v>69</v>
      </c>
      <c r="M34" s="53" t="s">
        <v>450</v>
      </c>
      <c r="N34" s="290">
        <f>B24</f>
        <v>1.86820992E-8</v>
      </c>
      <c r="O34" s="77" t="s">
        <v>447</v>
      </c>
      <c r="P34" s="53" t="s">
        <v>451</v>
      </c>
      <c r="Q34" s="290">
        <f>B26</f>
        <v>2.5781296896000001E-8</v>
      </c>
      <c r="R34" s="77" t="s">
        <v>446</v>
      </c>
      <c r="V34" s="139"/>
      <c r="W34" s="298">
        <v>24</v>
      </c>
      <c r="X34" s="77" t="s">
        <v>224</v>
      </c>
      <c r="Y34" s="139"/>
      <c r="Z34" s="298">
        <v>24</v>
      </c>
      <c r="AA34" s="77" t="s">
        <v>224</v>
      </c>
      <c r="AB34" s="239" t="s">
        <v>117</v>
      </c>
      <c r="AC34" s="296">
        <f>(AC5/(AC20*(AC8/365)*AC11*((AC23+AC24)/24)*AC16*AC19))*AC30</f>
        <v>6.458853996020701</v>
      </c>
      <c r="AD34" s="296">
        <f>(AD5/(AD20*(AD8/365)*AD11*(AD24/24)*AD18*AD19))*AD30</f>
        <v>16.14713499005175</v>
      </c>
      <c r="AE34" s="296">
        <f>(AE5/(AE20*(AE8/365)*AE11*(AE23/24)*AE16*AE19))*AE30</f>
        <v>7.1765044400230016</v>
      </c>
      <c r="AF34" s="296">
        <f>(AF5/(AF20*(AF8/365)*AF11*(AF23/24)*AF16*AF19))*AF30</f>
        <v>1678621.7406745087</v>
      </c>
      <c r="AG34" s="296">
        <f>(AG5/(AG20*(AG8/365)*AG11*(AG23/24)*AG16*AG19))*AG30</f>
        <v>1678621.7406745087</v>
      </c>
      <c r="AH34" s="239" t="s">
        <v>13</v>
      </c>
      <c r="AI34" s="153" t="s">
        <v>450</v>
      </c>
      <c r="AJ34" s="290">
        <f>B24</f>
        <v>1.86820992E-8</v>
      </c>
      <c r="AK34" s="153" t="s">
        <v>282</v>
      </c>
      <c r="AL34" s="153" t="s">
        <v>451</v>
      </c>
      <c r="AM34" s="290">
        <f>B26</f>
        <v>2.5781296896000001E-8</v>
      </c>
      <c r="AN34" s="77" t="s">
        <v>72</v>
      </c>
      <c r="AR34" s="153" t="s">
        <v>450</v>
      </c>
      <c r="AS34" s="290">
        <f>B24</f>
        <v>1.86820992E-8</v>
      </c>
      <c r="AT34" s="153" t="s">
        <v>282</v>
      </c>
      <c r="AU34" s="153" t="s">
        <v>451</v>
      </c>
      <c r="AV34" s="290">
        <f>B26</f>
        <v>2.5781296896000001E-8</v>
      </c>
      <c r="AW34" s="154" t="s">
        <v>72</v>
      </c>
      <c r="BA34" s="153" t="s">
        <v>450</v>
      </c>
      <c r="BB34" s="290">
        <f>B24</f>
        <v>1.86820992E-8</v>
      </c>
      <c r="BC34" s="153" t="s">
        <v>282</v>
      </c>
      <c r="BD34" s="153" t="s">
        <v>451</v>
      </c>
      <c r="BE34" s="290">
        <f>B26</f>
        <v>2.5781296896000001E-8</v>
      </c>
      <c r="BF34" s="77" t="s">
        <v>72</v>
      </c>
      <c r="BJ34" s="153" t="s">
        <v>471</v>
      </c>
      <c r="BK34" s="289">
        <f>B276</f>
        <v>8</v>
      </c>
      <c r="BL34" s="152" t="s">
        <v>224</v>
      </c>
      <c r="BM34" s="153" t="s">
        <v>471</v>
      </c>
      <c r="BN34" s="289">
        <f>B276</f>
        <v>8</v>
      </c>
      <c r="BO34" s="152" t="s">
        <v>224</v>
      </c>
      <c r="BZ34" s="298">
        <v>365</v>
      </c>
      <c r="CA34" s="53" t="s">
        <v>26</v>
      </c>
      <c r="CN34" s="53">
        <f>1/CN33</f>
        <v>0.83356836480883334</v>
      </c>
      <c r="CT34" s="153" t="s">
        <v>384</v>
      </c>
      <c r="CU34" s="297">
        <f>B155</f>
        <v>6</v>
      </c>
      <c r="CV34" s="51" t="s">
        <v>69</v>
      </c>
      <c r="CZ34" s="153" t="s">
        <v>387</v>
      </c>
      <c r="DA34" s="293">
        <f>B158</f>
        <v>350</v>
      </c>
      <c r="DB34" s="51" t="s">
        <v>165</v>
      </c>
      <c r="DR34" s="51"/>
      <c r="DS34" s="287"/>
      <c r="DT34" s="77"/>
      <c r="DW34" s="83"/>
      <c r="DX34" s="51"/>
      <c r="DY34" s="116"/>
      <c r="DZ34" s="80"/>
      <c r="HD34" s="77" t="s">
        <v>106</v>
      </c>
      <c r="HE34" s="292">
        <f>B46</f>
        <v>4</v>
      </c>
      <c r="HF34" s="53" t="s">
        <v>19</v>
      </c>
    </row>
    <row r="35" spans="1:214" x14ac:dyDescent="0.2">
      <c r="A35" s="52" t="s">
        <v>270</v>
      </c>
      <c r="B35" s="103">
        <v>157680</v>
      </c>
      <c r="C35" s="53" t="s">
        <v>257</v>
      </c>
      <c r="D35" s="262" t="s">
        <v>341</v>
      </c>
      <c r="E35" s="297">
        <f>B66</f>
        <v>26</v>
      </c>
      <c r="F35" s="249" t="s">
        <v>69</v>
      </c>
      <c r="G35" s="139" t="s">
        <v>345</v>
      </c>
      <c r="H35" s="297">
        <f>B71</f>
        <v>0.71</v>
      </c>
      <c r="I35" s="53" t="s">
        <v>104</v>
      </c>
      <c r="J35" s="51" t="s">
        <v>342</v>
      </c>
      <c r="K35" s="297">
        <f>B65</f>
        <v>20</v>
      </c>
      <c r="L35" s="77" t="s">
        <v>69</v>
      </c>
      <c r="M35" s="140" t="s">
        <v>352</v>
      </c>
      <c r="N35" s="289">
        <f>B97</f>
        <v>16.416</v>
      </c>
      <c r="O35" s="53" t="s">
        <v>224</v>
      </c>
      <c r="P35" s="140" t="s">
        <v>352</v>
      </c>
      <c r="Q35" s="289">
        <f>B97</f>
        <v>16.416</v>
      </c>
      <c r="R35" s="53" t="s">
        <v>224</v>
      </c>
      <c r="V35" s="139" t="s">
        <v>428</v>
      </c>
      <c r="W35" s="297">
        <f>B231</f>
        <v>60</v>
      </c>
      <c r="X35" s="77" t="s">
        <v>49</v>
      </c>
      <c r="Y35" s="139" t="s">
        <v>435</v>
      </c>
      <c r="Z35" s="297">
        <f>B255</f>
        <v>60</v>
      </c>
      <c r="AA35" s="77" t="s">
        <v>49</v>
      </c>
      <c r="AB35" s="51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51"/>
      <c r="AI35" s="153" t="s">
        <v>470</v>
      </c>
      <c r="AJ35" s="289">
        <f>B240</f>
        <v>8</v>
      </c>
      <c r="AK35" s="53" t="s">
        <v>224</v>
      </c>
      <c r="AL35" s="153" t="s">
        <v>470</v>
      </c>
      <c r="AM35" s="289">
        <f>B240</f>
        <v>8</v>
      </c>
      <c r="AN35" s="152" t="s">
        <v>224</v>
      </c>
      <c r="AR35" s="153" t="s">
        <v>465</v>
      </c>
      <c r="AS35" s="289">
        <f>B252</f>
        <v>0</v>
      </c>
      <c r="AT35" s="152" t="s">
        <v>224</v>
      </c>
      <c r="AU35" s="153" t="s">
        <v>465</v>
      </c>
      <c r="AV35" s="289">
        <f>B252</f>
        <v>0</v>
      </c>
      <c r="AW35" s="152" t="s">
        <v>224</v>
      </c>
      <c r="BA35" s="153" t="s">
        <v>468</v>
      </c>
      <c r="BB35" s="289">
        <f>B228</f>
        <v>4</v>
      </c>
      <c r="BC35" s="152" t="s">
        <v>224</v>
      </c>
      <c r="BD35" s="153" t="s">
        <v>468</v>
      </c>
      <c r="BE35" s="289">
        <f>B228</f>
        <v>4</v>
      </c>
      <c r="BF35" s="152" t="s">
        <v>224</v>
      </c>
      <c r="BJ35" s="153" t="s">
        <v>450</v>
      </c>
      <c r="BK35" s="290">
        <f>B24</f>
        <v>1.86820992E-8</v>
      </c>
      <c r="BL35" s="153" t="s">
        <v>282</v>
      </c>
      <c r="BM35" s="153" t="s">
        <v>451</v>
      </c>
      <c r="BN35" s="290">
        <f>B26</f>
        <v>2.5781296896000001E-8</v>
      </c>
      <c r="BO35" s="77" t="s">
        <v>72</v>
      </c>
      <c r="BZ35" s="289">
        <v>1000</v>
      </c>
      <c r="CA35" s="53" t="s">
        <v>115</v>
      </c>
      <c r="CC35" s="592" t="s">
        <v>263</v>
      </c>
      <c r="CD35" s="592"/>
      <c r="CE35" s="592"/>
      <c r="CF35" s="592"/>
      <c r="CG35" s="592"/>
      <c r="CT35" s="153" t="s">
        <v>389</v>
      </c>
      <c r="CU35" s="298">
        <f>B160</f>
        <v>24</v>
      </c>
      <c r="CV35" s="152" t="s">
        <v>224</v>
      </c>
      <c r="CZ35" s="153" t="s">
        <v>388</v>
      </c>
      <c r="DA35" s="293">
        <f>B159</f>
        <v>350</v>
      </c>
      <c r="DB35" s="51" t="s">
        <v>165</v>
      </c>
      <c r="DR35" s="51"/>
      <c r="DS35" s="287"/>
      <c r="DT35" s="77"/>
      <c r="DW35" s="83"/>
      <c r="DX35" s="51"/>
      <c r="DY35" s="116"/>
      <c r="DZ35" s="80"/>
      <c r="HD35" s="77" t="s">
        <v>83</v>
      </c>
      <c r="HE35" s="298">
        <f>B286</f>
        <v>1</v>
      </c>
      <c r="HF35" s="53" t="s">
        <v>108</v>
      </c>
    </row>
    <row r="36" spans="1:214" x14ac:dyDescent="0.2">
      <c r="A36" s="51" t="s">
        <v>122</v>
      </c>
      <c r="B36" s="102">
        <v>240</v>
      </c>
      <c r="C36" s="77" t="s">
        <v>298</v>
      </c>
      <c r="D36" s="262" t="s">
        <v>337</v>
      </c>
      <c r="E36" s="297">
        <f>B57</f>
        <v>54</v>
      </c>
      <c r="F36" s="249" t="s">
        <v>54</v>
      </c>
      <c r="G36" s="140" t="s">
        <v>347</v>
      </c>
      <c r="H36" s="298">
        <f>B72</f>
        <v>24</v>
      </c>
      <c r="I36" s="81" t="s">
        <v>224</v>
      </c>
      <c r="J36" s="51" t="s">
        <v>343</v>
      </c>
      <c r="K36" s="297">
        <f>B64</f>
        <v>6</v>
      </c>
      <c r="L36" s="51" t="s">
        <v>69</v>
      </c>
      <c r="M36" s="87"/>
      <c r="N36" s="361"/>
      <c r="O36" s="87"/>
      <c r="P36" s="87"/>
      <c r="Q36" s="361"/>
      <c r="R36" s="87"/>
      <c r="V36" s="140" t="s">
        <v>63</v>
      </c>
      <c r="W36" s="287">
        <f>B28</f>
        <v>5.8031270640000001E-11</v>
      </c>
      <c r="X36" s="51" t="s">
        <v>64</v>
      </c>
      <c r="Y36" s="140" t="s">
        <v>63</v>
      </c>
      <c r="Z36" s="287">
        <f>B28</f>
        <v>5.8031270640000001E-11</v>
      </c>
      <c r="AA36" s="51" t="s">
        <v>64</v>
      </c>
      <c r="AB36" s="89" t="s">
        <v>120</v>
      </c>
      <c r="AE36" s="287"/>
      <c r="AF36" s="355">
        <f>B33</f>
        <v>773681.6396651821</v>
      </c>
      <c r="AG36" s="287"/>
      <c r="AH36" s="89" t="s">
        <v>97</v>
      </c>
      <c r="BZ36" s="297">
        <v>1000</v>
      </c>
      <c r="CA36" s="53" t="s">
        <v>24</v>
      </c>
      <c r="CC36" s="592"/>
      <c r="CD36" s="592"/>
      <c r="CE36" s="592"/>
      <c r="CF36" s="592"/>
      <c r="CG36" s="592"/>
      <c r="CL36" s="287"/>
      <c r="CN36" s="367"/>
      <c r="CT36" s="153" t="s">
        <v>390</v>
      </c>
      <c r="CU36" s="298">
        <f>B161</f>
        <v>24</v>
      </c>
      <c r="CV36" s="152" t="s">
        <v>224</v>
      </c>
      <c r="CZ36" s="153" t="s">
        <v>384</v>
      </c>
      <c r="DA36" s="292">
        <f>B155</f>
        <v>6</v>
      </c>
      <c r="DB36" s="80" t="s">
        <v>69</v>
      </c>
      <c r="DR36" s="51"/>
      <c r="DS36" s="287"/>
      <c r="DT36" s="77"/>
      <c r="DW36" s="83"/>
      <c r="DX36" s="51"/>
      <c r="DY36" s="150"/>
      <c r="DZ36" s="80"/>
      <c r="HD36" s="53" t="s">
        <v>109</v>
      </c>
      <c r="HE36" s="298">
        <f>B287</f>
        <v>1</v>
      </c>
      <c r="HF36" s="53" t="s">
        <v>110</v>
      </c>
    </row>
    <row r="37" spans="1:214" x14ac:dyDescent="0.2">
      <c r="A37" s="51" t="s">
        <v>278</v>
      </c>
      <c r="B37" s="103">
        <v>4.2E-7</v>
      </c>
      <c r="C37" s="77" t="s">
        <v>298</v>
      </c>
      <c r="D37" s="262" t="s">
        <v>80</v>
      </c>
      <c r="E37" s="300">
        <f>E32/(E34*E33*E35*E36)</f>
        <v>1.5235472299184209E-2</v>
      </c>
      <c r="F37" s="263" t="s">
        <v>13</v>
      </c>
      <c r="G37" s="140" t="s">
        <v>348</v>
      </c>
      <c r="H37" s="298">
        <f>B73</f>
        <v>24</v>
      </c>
      <c r="I37" s="53" t="s">
        <v>224</v>
      </c>
      <c r="J37" s="140" t="s">
        <v>347</v>
      </c>
      <c r="K37" s="298">
        <f>B72</f>
        <v>24</v>
      </c>
      <c r="L37" s="81" t="s">
        <v>224</v>
      </c>
      <c r="V37" s="140" t="s">
        <v>255</v>
      </c>
      <c r="W37" s="293">
        <v>1</v>
      </c>
      <c r="Y37" s="140" t="s">
        <v>255</v>
      </c>
      <c r="Z37" s="293">
        <v>1</v>
      </c>
      <c r="AB37" s="89" t="s">
        <v>121</v>
      </c>
      <c r="AE37" s="287"/>
      <c r="AF37" s="355"/>
      <c r="AG37" s="355">
        <f>B34</f>
        <v>36055860.959050171</v>
      </c>
      <c r="AH37" s="89"/>
      <c r="CC37" s="592"/>
      <c r="CD37" s="592"/>
      <c r="CE37" s="592"/>
      <c r="CF37" s="592"/>
      <c r="CG37" s="592"/>
      <c r="CL37" s="287"/>
      <c r="CT37" s="156" t="s">
        <v>399</v>
      </c>
      <c r="CU37" s="292">
        <f>B174</f>
        <v>1</v>
      </c>
      <c r="CZ37" s="153" t="s">
        <v>385</v>
      </c>
      <c r="DA37" s="292">
        <f>B156</f>
        <v>34</v>
      </c>
      <c r="DB37" s="80" t="s">
        <v>69</v>
      </c>
      <c r="DC37" s="51"/>
      <c r="DD37" s="293"/>
      <c r="DR37" s="51"/>
      <c r="DS37" s="310"/>
      <c r="DT37" s="77"/>
      <c r="DW37" s="83"/>
      <c r="DX37" s="51"/>
      <c r="DY37" s="116"/>
      <c r="DZ37" s="80"/>
      <c r="HD37" s="53" t="s">
        <v>112</v>
      </c>
      <c r="HE37" s="299">
        <f>(0.0112*HE39*HE39)^0.5+HE40*(1-EXP((-HE38*HE39)/(HE35*HE36*HE40)))</f>
        <v>0.27055984103131159</v>
      </c>
      <c r="HF37" s="53" t="s">
        <v>113</v>
      </c>
    </row>
    <row r="38" spans="1:214" x14ac:dyDescent="0.2">
      <c r="A38" s="51" t="s">
        <v>275</v>
      </c>
      <c r="B38" s="103">
        <v>5.0000000000000001E-4</v>
      </c>
      <c r="C38" s="77" t="s">
        <v>298</v>
      </c>
      <c r="G38" s="139" t="s">
        <v>349</v>
      </c>
      <c r="H38" s="297">
        <f>B75</f>
        <v>1</v>
      </c>
      <c r="I38" s="53" t="s">
        <v>98</v>
      </c>
      <c r="J38" s="140" t="s">
        <v>348</v>
      </c>
      <c r="K38" s="298">
        <f>B73</f>
        <v>24</v>
      </c>
      <c r="L38" s="53" t="s">
        <v>224</v>
      </c>
      <c r="V38" s="88" t="s">
        <v>74</v>
      </c>
      <c r="W38" s="294">
        <f>W27/((W33/W34)*W30*W31*W32*W35)</f>
        <v>2.1197668256491787E-4</v>
      </c>
      <c r="X38" s="88" t="s">
        <v>15</v>
      </c>
      <c r="Y38" s="88" t="s">
        <v>74</v>
      </c>
      <c r="Z38" s="294">
        <f>(Z27*Z31*Z28)/((1-EXP(-Z28))*Z31*Z32*Z30*Z44*(Z33/Z34)*Z35)</f>
        <v>1.0199359243587317E-2</v>
      </c>
      <c r="AA38" s="88" t="s">
        <v>16</v>
      </c>
      <c r="AL38" s="51"/>
      <c r="AM38" s="293"/>
      <c r="AN38" s="51"/>
      <c r="BD38" s="51"/>
      <c r="BE38" s="293"/>
      <c r="BF38" s="51"/>
      <c r="CC38" s="592"/>
      <c r="CD38" s="592"/>
      <c r="CE38" s="592"/>
      <c r="CF38" s="592"/>
      <c r="CG38" s="592"/>
      <c r="CN38" s="366"/>
      <c r="CT38" s="153" t="s">
        <v>391</v>
      </c>
      <c r="CU38" s="298">
        <f>B165</f>
        <v>12.167999999999999</v>
      </c>
      <c r="CV38" s="152" t="s">
        <v>224</v>
      </c>
      <c r="CZ38" s="153" t="s">
        <v>386</v>
      </c>
      <c r="DA38" s="292">
        <f>B157</f>
        <v>40</v>
      </c>
      <c r="DB38" s="80" t="s">
        <v>69</v>
      </c>
      <c r="DC38" s="51"/>
      <c r="DD38" s="293"/>
      <c r="DW38" s="83"/>
      <c r="DX38" s="51"/>
      <c r="DY38" s="116"/>
      <c r="DZ38" s="80"/>
      <c r="HD38" s="53" t="s">
        <v>114</v>
      </c>
      <c r="HE38" s="298">
        <f>B288</f>
        <v>0.18</v>
      </c>
      <c r="HF38" s="53" t="s">
        <v>108</v>
      </c>
    </row>
    <row r="39" spans="1:214" x14ac:dyDescent="0.2">
      <c r="A39" s="51" t="s">
        <v>276</v>
      </c>
      <c r="B39" s="103">
        <v>6.0000000000000001E-3</v>
      </c>
      <c r="C39" s="77" t="s">
        <v>298</v>
      </c>
      <c r="D39" s="249"/>
      <c r="F39" s="263"/>
      <c r="G39" s="139" t="s">
        <v>350</v>
      </c>
      <c r="H39" s="289">
        <f>B76</f>
        <v>1</v>
      </c>
      <c r="I39" s="53" t="s">
        <v>98</v>
      </c>
      <c r="J39" s="139" t="s">
        <v>355</v>
      </c>
      <c r="K39" s="292">
        <v>0.25</v>
      </c>
      <c r="M39" s="114"/>
      <c r="V39" s="88" t="s">
        <v>78</v>
      </c>
      <c r="W39" s="296">
        <f>(W27)/((W33/W34)*W30*W31*W36*(1/365))</f>
        <v>3019.0619310554534</v>
      </c>
      <c r="X39" s="88" t="s">
        <v>15</v>
      </c>
      <c r="Y39" s="88" t="s">
        <v>78</v>
      </c>
      <c r="Z39" s="296">
        <f>(Z27*Z31*Z28)/((1-EXP(-Z28*Z31))*Z36*Z30*Z44*(Z33/Z34)*Z37*(Z44/Z45))</f>
        <v>145263.60560455889</v>
      </c>
      <c r="AA39" s="88" t="s">
        <v>16</v>
      </c>
      <c r="CT39" s="153" t="s">
        <v>392</v>
      </c>
      <c r="CU39" s="298">
        <f>B166</f>
        <v>10.007999999999999</v>
      </c>
      <c r="CV39" s="152" t="s">
        <v>224</v>
      </c>
      <c r="CZ39" s="153" t="s">
        <v>389</v>
      </c>
      <c r="DA39" s="292">
        <f>B160</f>
        <v>24</v>
      </c>
      <c r="DB39" s="80" t="s">
        <v>50</v>
      </c>
      <c r="DC39" s="51"/>
      <c r="DW39" s="83"/>
      <c r="DX39" s="51"/>
      <c r="DY39" s="116"/>
      <c r="DZ39" s="80"/>
      <c r="HD39" s="53" t="s">
        <v>116</v>
      </c>
      <c r="HE39" s="298">
        <f>B289</f>
        <v>1</v>
      </c>
      <c r="HF39" s="53" t="s">
        <v>113</v>
      </c>
    </row>
    <row r="40" spans="1:214" ht="15" thickBot="1" x14ac:dyDescent="0.25">
      <c r="A40" s="51" t="s">
        <v>201</v>
      </c>
      <c r="B40" s="103">
        <v>3.0000000000000001E-3</v>
      </c>
      <c r="C40" s="77" t="s">
        <v>298</v>
      </c>
      <c r="H40" s="289">
        <f>1/1000</f>
        <v>1E-3</v>
      </c>
      <c r="I40" s="53" t="s">
        <v>99</v>
      </c>
      <c r="J40" s="140" t="s">
        <v>351</v>
      </c>
      <c r="K40" s="298">
        <f>B96</f>
        <v>1.752</v>
      </c>
      <c r="L40" s="77" t="s">
        <v>300</v>
      </c>
      <c r="V40" s="88" t="s">
        <v>74</v>
      </c>
      <c r="W40" s="294">
        <f>(W27*W28*W31)/((W33/W34)*(1-EXP(-W28*W31))*W32*W35*W30*W31)</f>
        <v>2.1625367362773307E-4</v>
      </c>
      <c r="X40" s="88" t="s">
        <v>16</v>
      </c>
      <c r="Y40" s="88" t="s">
        <v>74</v>
      </c>
      <c r="Z40" s="294">
        <f>Z27/((Z32*Z30*Z44*(Z33/Z34)*Z35))</f>
        <v>1.0191186661774898E-2</v>
      </c>
      <c r="AA40" s="88" t="s">
        <v>15</v>
      </c>
      <c r="BK40" s="592" t="s">
        <v>266</v>
      </c>
      <c r="BL40" s="592"/>
      <c r="BM40" s="592"/>
      <c r="BN40" s="592"/>
      <c r="BO40" s="592"/>
      <c r="CT40" s="51" t="s">
        <v>103</v>
      </c>
      <c r="CU40" s="298">
        <f>B169</f>
        <v>0.4</v>
      </c>
      <c r="CZ40" s="153" t="s">
        <v>390</v>
      </c>
      <c r="DA40" s="292">
        <f>B161</f>
        <v>24</v>
      </c>
      <c r="DB40" s="80" t="s">
        <v>50</v>
      </c>
      <c r="DC40" s="51"/>
      <c r="DW40" s="83"/>
      <c r="DX40" s="51"/>
      <c r="DY40" s="116"/>
      <c r="DZ40" s="80"/>
      <c r="HD40" s="53" t="s">
        <v>118</v>
      </c>
      <c r="HE40" s="298">
        <f>B290</f>
        <v>1</v>
      </c>
      <c r="HF40" s="53" t="s">
        <v>113</v>
      </c>
    </row>
    <row r="41" spans="1:214" ht="18.75" thickTop="1" x14ac:dyDescent="0.2">
      <c r="A41" s="51" t="s">
        <v>277</v>
      </c>
      <c r="B41" s="103">
        <v>1.7000000000000001E-4</v>
      </c>
      <c r="C41" s="77" t="s">
        <v>298</v>
      </c>
      <c r="D41" s="665" t="s">
        <v>509</v>
      </c>
      <c r="E41" s="607"/>
      <c r="F41" s="608"/>
      <c r="H41" s="289">
        <v>1000</v>
      </c>
      <c r="I41" s="53" t="s">
        <v>101</v>
      </c>
      <c r="J41" s="140" t="s">
        <v>352</v>
      </c>
      <c r="K41" s="298">
        <f>B97</f>
        <v>16.416</v>
      </c>
      <c r="L41" s="77" t="s">
        <v>300</v>
      </c>
      <c r="V41" s="88" t="s">
        <v>78</v>
      </c>
      <c r="W41" s="296">
        <f>(W27*W28*W31)/((W33/W34)*(1-EXP(-W28*W31))*W36*W30*W31*(1/365))</f>
        <v>3079.9766540380397</v>
      </c>
      <c r="X41" s="88" t="s">
        <v>16</v>
      </c>
      <c r="Y41" s="88" t="s">
        <v>78</v>
      </c>
      <c r="Z41" s="296">
        <f>Z27/(Z36*Z30*(1/Z45)*Z44*(Z33/Z34)*Z37)</f>
        <v>145147.20822381985</v>
      </c>
      <c r="AA41" s="88" t="s">
        <v>15</v>
      </c>
      <c r="BK41" s="592"/>
      <c r="BL41" s="592"/>
      <c r="BM41" s="592"/>
      <c r="BN41" s="592"/>
      <c r="BO41" s="592"/>
      <c r="CT41" s="51" t="s">
        <v>158</v>
      </c>
      <c r="CU41" s="292">
        <f>B170</f>
        <v>0.4</v>
      </c>
      <c r="CZ41" s="153" t="s">
        <v>397</v>
      </c>
      <c r="DA41" s="292">
        <f>B167</f>
        <v>1</v>
      </c>
      <c r="DB41" s="80" t="s">
        <v>166</v>
      </c>
      <c r="DW41" s="83"/>
      <c r="DX41" s="51"/>
      <c r="DY41" s="116"/>
      <c r="DZ41" s="80"/>
      <c r="GV41" s="297"/>
      <c r="HD41" s="53" t="s">
        <v>119</v>
      </c>
      <c r="HE41" s="298">
        <f>B291</f>
        <v>1</v>
      </c>
      <c r="HF41" s="53" t="s">
        <v>113</v>
      </c>
    </row>
    <row r="42" spans="1:214" x14ac:dyDescent="0.2">
      <c r="A42" s="53" t="s">
        <v>265</v>
      </c>
      <c r="B42" s="103">
        <v>5.0000000000000001E-4</v>
      </c>
      <c r="C42" s="77" t="s">
        <v>298</v>
      </c>
      <c r="D42" s="203" t="s">
        <v>510</v>
      </c>
      <c r="E42" s="204">
        <f>E52</f>
        <v>6.3481134579934206E-2</v>
      </c>
      <c r="F42" s="184" t="s">
        <v>14</v>
      </c>
      <c r="H42" s="289">
        <v>1000</v>
      </c>
      <c r="I42" s="53" t="s">
        <v>250</v>
      </c>
      <c r="J42" s="51" t="s">
        <v>103</v>
      </c>
      <c r="K42" s="298">
        <f>B77</f>
        <v>0.4</v>
      </c>
      <c r="Y42" s="53" t="s">
        <v>219</v>
      </c>
      <c r="Z42" s="289">
        <f>B267</f>
        <v>26</v>
      </c>
      <c r="AA42" s="53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51" t="s">
        <v>159</v>
      </c>
      <c r="CU42" s="292">
        <f>B171</f>
        <v>1</v>
      </c>
      <c r="CZ42" s="153" t="s">
        <v>398</v>
      </c>
      <c r="DA42" s="292">
        <f>B168</f>
        <v>1</v>
      </c>
      <c r="DB42" s="80" t="s">
        <v>166</v>
      </c>
      <c r="DW42" s="83"/>
      <c r="DX42" s="83"/>
      <c r="DY42" s="328"/>
      <c r="DZ42" s="83"/>
      <c r="HE42" s="297"/>
    </row>
    <row r="43" spans="1:214" ht="13.5" thickBot="1" x14ac:dyDescent="0.25">
      <c r="A43" s="51" t="s">
        <v>264</v>
      </c>
      <c r="B43" s="103">
        <v>6.0000000000000001E-3</v>
      </c>
      <c r="C43" s="77" t="s">
        <v>298</v>
      </c>
      <c r="D43" s="183"/>
      <c r="E43" s="182"/>
      <c r="F43" s="181"/>
      <c r="G43" s="139" t="s">
        <v>355</v>
      </c>
      <c r="H43" s="292">
        <f>B84</f>
        <v>0.25</v>
      </c>
      <c r="I43" s="77"/>
      <c r="J43" s="51" t="s">
        <v>158</v>
      </c>
      <c r="K43" s="292">
        <f>B79</f>
        <v>0.4</v>
      </c>
      <c r="Y43" s="53" t="s">
        <v>220</v>
      </c>
      <c r="Z43" s="289">
        <f>B266</f>
        <v>5</v>
      </c>
      <c r="AA43" s="53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51" t="s">
        <v>62</v>
      </c>
      <c r="CU43" s="292">
        <f>B172</f>
        <v>1</v>
      </c>
      <c r="CZ43" s="152" t="s">
        <v>393</v>
      </c>
      <c r="DA43" s="292">
        <f>B163</f>
        <v>0.54</v>
      </c>
      <c r="DB43" s="80" t="s">
        <v>167</v>
      </c>
      <c r="DW43" s="83"/>
      <c r="DX43" s="83"/>
      <c r="DY43" s="328"/>
      <c r="DZ43" s="83"/>
      <c r="HE43" s="297"/>
    </row>
    <row r="44" spans="1:214" ht="13.5" thickTop="1" x14ac:dyDescent="0.2">
      <c r="A44" s="77" t="s">
        <v>37</v>
      </c>
      <c r="B44" s="103">
        <v>1.914E-5</v>
      </c>
      <c r="C44" s="53" t="s">
        <v>19</v>
      </c>
      <c r="D44" s="262" t="s">
        <v>17</v>
      </c>
      <c r="E44" s="287">
        <f>B18</f>
        <v>9.9999999999999995E-7</v>
      </c>
      <c r="F44" s="249"/>
      <c r="G44" s="51"/>
      <c r="H44" s="297">
        <v>365</v>
      </c>
      <c r="I44" s="77" t="s">
        <v>26</v>
      </c>
      <c r="J44" s="51" t="s">
        <v>159</v>
      </c>
      <c r="K44" s="292">
        <f>B80</f>
        <v>1</v>
      </c>
      <c r="Y44" s="53" t="s">
        <v>186</v>
      </c>
      <c r="Z44" s="289">
        <f>B257</f>
        <v>1</v>
      </c>
      <c r="AA44" s="53" t="s">
        <v>169</v>
      </c>
      <c r="AF44" s="592"/>
      <c r="AG44" s="592"/>
      <c r="AH44" s="592"/>
      <c r="CT44" s="81" t="s">
        <v>494</v>
      </c>
      <c r="CU44" s="298">
        <f>CU32</f>
        <v>40</v>
      </c>
      <c r="CV44" s="81" t="s">
        <v>69</v>
      </c>
      <c r="CZ44" s="152" t="s">
        <v>394</v>
      </c>
      <c r="DA44" s="292">
        <f>B164</f>
        <v>0.71</v>
      </c>
      <c r="DB44" s="80" t="s">
        <v>167</v>
      </c>
      <c r="DW44" s="83"/>
      <c r="DX44" s="83"/>
      <c r="DY44" s="328"/>
      <c r="DZ44" s="83"/>
    </row>
    <row r="45" spans="1:214" x14ac:dyDescent="0.2">
      <c r="A45" s="53" t="s">
        <v>38</v>
      </c>
      <c r="B45" s="103">
        <v>2.1999999999999999E-5</v>
      </c>
      <c r="C45" s="53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77" t="s">
        <v>162</v>
      </c>
      <c r="J45" s="51" t="s">
        <v>62</v>
      </c>
      <c r="K45" s="292">
        <f>B81</f>
        <v>1</v>
      </c>
      <c r="Z45" s="289">
        <v>365</v>
      </c>
      <c r="AA45" s="53" t="s">
        <v>93</v>
      </c>
      <c r="AB45" s="89"/>
      <c r="AC45" s="356"/>
      <c r="CU45" s="298">
        <v>365</v>
      </c>
      <c r="CV45" s="53" t="s">
        <v>26</v>
      </c>
      <c r="DA45" s="292">
        <v>365</v>
      </c>
      <c r="DB45" s="80" t="s">
        <v>165</v>
      </c>
      <c r="DW45" s="83"/>
      <c r="DX45" s="83"/>
      <c r="DY45" s="328"/>
      <c r="DZ45" s="83"/>
    </row>
    <row r="46" spans="1:214" ht="15" x14ac:dyDescent="0.2">
      <c r="A46" s="53" t="s">
        <v>284</v>
      </c>
      <c r="B46" s="97">
        <v>4</v>
      </c>
      <c r="C46" s="53" t="s">
        <v>19</v>
      </c>
      <c r="D46" s="262" t="s">
        <v>438</v>
      </c>
      <c r="E46" s="287">
        <f>B30</f>
        <v>1.3357000000000001E-10</v>
      </c>
      <c r="F46" s="262" t="s">
        <v>289</v>
      </c>
      <c r="G46" s="53" t="s">
        <v>20</v>
      </c>
      <c r="H46" s="287">
        <f>H48</f>
        <v>1.914E-5</v>
      </c>
      <c r="I46" s="77"/>
      <c r="J46" s="81" t="s">
        <v>107</v>
      </c>
      <c r="K46" s="292">
        <f>K34</f>
        <v>26</v>
      </c>
      <c r="L46" s="81" t="s">
        <v>69</v>
      </c>
      <c r="CU46" s="289">
        <v>1000</v>
      </c>
      <c r="CV46" s="53" t="s">
        <v>115</v>
      </c>
      <c r="CZ46" s="77" t="s">
        <v>83</v>
      </c>
      <c r="DA46" s="292">
        <f>B217</f>
        <v>0.5</v>
      </c>
      <c r="DB46" s="80" t="s">
        <v>168</v>
      </c>
      <c r="DW46" s="83"/>
      <c r="DX46" s="83"/>
      <c r="DY46" s="328"/>
      <c r="DZ46" s="83"/>
    </row>
    <row r="47" spans="1:214" x14ac:dyDescent="0.2">
      <c r="A47" s="51" t="s">
        <v>22</v>
      </c>
      <c r="B47" s="96">
        <v>15</v>
      </c>
      <c r="C47" s="51" t="s">
        <v>14</v>
      </c>
      <c r="D47" s="262" t="s">
        <v>341</v>
      </c>
      <c r="E47" s="297">
        <f>B66</f>
        <v>26</v>
      </c>
      <c r="F47" s="249" t="s">
        <v>69</v>
      </c>
      <c r="G47" s="51" t="s">
        <v>28</v>
      </c>
      <c r="H47" s="293">
        <f>H49</f>
        <v>0.26</v>
      </c>
      <c r="I47" s="77"/>
      <c r="K47" s="298">
        <v>365</v>
      </c>
      <c r="L47" s="53" t="s">
        <v>26</v>
      </c>
      <c r="CU47" s="297">
        <v>1000</v>
      </c>
      <c r="CV47" s="53" t="s">
        <v>24</v>
      </c>
      <c r="CZ47" s="77"/>
      <c r="DA47" s="292">
        <v>1</v>
      </c>
      <c r="DB47" s="80" t="s">
        <v>169</v>
      </c>
      <c r="DW47" s="83"/>
      <c r="DX47" s="83"/>
      <c r="DY47" s="328"/>
      <c r="DZ47" s="83"/>
    </row>
    <row r="48" spans="1:214" x14ac:dyDescent="0.2">
      <c r="A48" s="98" t="s">
        <v>330</v>
      </c>
      <c r="B48" s="101">
        <v>0.26</v>
      </c>
      <c r="D48" s="262" t="s">
        <v>337</v>
      </c>
      <c r="E48" s="297">
        <f>B57</f>
        <v>54</v>
      </c>
      <c r="F48" s="249" t="s">
        <v>54</v>
      </c>
      <c r="G48" s="77" t="s">
        <v>37</v>
      </c>
      <c r="H48" s="290">
        <f>B44</f>
        <v>1.914E-5</v>
      </c>
      <c r="K48" s="289">
        <v>1000</v>
      </c>
      <c r="L48" s="53" t="s">
        <v>115</v>
      </c>
      <c r="CZ48" s="77"/>
      <c r="DA48" s="292">
        <v>8760</v>
      </c>
      <c r="DB48" s="80" t="s">
        <v>162</v>
      </c>
      <c r="DW48" s="83"/>
      <c r="DX48" s="83"/>
      <c r="DY48" s="328"/>
      <c r="DZ48" s="83"/>
    </row>
    <row r="49" spans="1:130" s="53" customFormat="1" x14ac:dyDescent="0.2">
      <c r="A49" s="98" t="s">
        <v>331</v>
      </c>
      <c r="B49" s="101">
        <v>0.25</v>
      </c>
      <c r="D49" s="262"/>
      <c r="E49" s="298">
        <v>1000</v>
      </c>
      <c r="F49" s="263" t="s">
        <v>115</v>
      </c>
      <c r="G49" s="139" t="s">
        <v>330</v>
      </c>
      <c r="H49" s="293">
        <f>B48</f>
        <v>0.26</v>
      </c>
      <c r="K49" s="297">
        <v>1000</v>
      </c>
      <c r="L49" s="53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51"/>
      <c r="BZ49" s="293"/>
      <c r="CC49" s="289"/>
      <c r="CF49" s="289"/>
      <c r="CI49" s="289"/>
      <c r="CL49" s="289"/>
      <c r="CO49" s="289"/>
      <c r="CR49" s="289"/>
      <c r="CU49" s="289"/>
      <c r="CX49" s="289"/>
      <c r="DA49" s="292">
        <v>1000</v>
      </c>
      <c r="DB49" s="80" t="s">
        <v>115</v>
      </c>
      <c r="DD49" s="289"/>
      <c r="DG49" s="289"/>
      <c r="DJ49" s="289"/>
      <c r="DM49" s="289"/>
      <c r="DP49" s="289"/>
      <c r="DS49" s="289"/>
      <c r="DV49" s="289"/>
      <c r="DW49" s="83"/>
      <c r="DX49" s="83"/>
      <c r="DY49" s="328"/>
      <c r="DZ49" s="83"/>
    </row>
    <row r="50" spans="1:130" s="53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240</v>
      </c>
      <c r="F50" s="263" t="s">
        <v>19</v>
      </c>
      <c r="G50" s="53" t="s">
        <v>18</v>
      </c>
      <c r="H50" s="288">
        <f>(H53*H54*H48*((1-EXP(-H55*H56))))/(H57*H55)</f>
        <v>6.6877504027585484E-4</v>
      </c>
      <c r="I50" s="53" t="s">
        <v>19</v>
      </c>
      <c r="J50" s="53" t="s">
        <v>20</v>
      </c>
      <c r="K50" s="287">
        <f>K52</f>
        <v>1.914E-5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77"/>
      <c r="BZ50" s="307"/>
      <c r="CC50" s="289"/>
      <c r="CF50" s="289"/>
      <c r="CI50" s="289"/>
      <c r="CL50" s="289"/>
      <c r="CO50" s="289"/>
      <c r="CR50" s="289"/>
      <c r="CT50" s="77"/>
      <c r="CU50" s="307"/>
      <c r="CX50" s="289"/>
      <c r="DA50" s="289"/>
      <c r="DD50" s="289"/>
      <c r="DG50" s="289"/>
      <c r="DJ50" s="289"/>
      <c r="DM50" s="289"/>
      <c r="DP50" s="289"/>
      <c r="DS50" s="289"/>
      <c r="DV50" s="289"/>
      <c r="DW50" s="83"/>
      <c r="DX50" s="83"/>
      <c r="DY50" s="328"/>
      <c r="DZ50" s="83"/>
    </row>
    <row r="51" spans="1:130" s="53" customFormat="1" x14ac:dyDescent="0.2">
      <c r="A51" s="51" t="s">
        <v>318</v>
      </c>
      <c r="B51" s="134">
        <v>10</v>
      </c>
      <c r="C51" s="80" t="s">
        <v>49</v>
      </c>
      <c r="D51" s="262" t="s">
        <v>124</v>
      </c>
      <c r="E51" s="289">
        <f>B82</f>
        <v>1</v>
      </c>
      <c r="F51" s="263" t="s">
        <v>125</v>
      </c>
      <c r="G51" s="53" t="s">
        <v>27</v>
      </c>
      <c r="H51" s="288">
        <f>(H53*H54*H49*((1-EXP(-H55*H56))))/(H57*H55)</f>
        <v>9.0847184154504852</v>
      </c>
      <c r="I51" s="53" t="s">
        <v>19</v>
      </c>
      <c r="J51" s="51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51"/>
      <c r="BZ51" s="293"/>
      <c r="CC51" s="289"/>
      <c r="CF51" s="289"/>
      <c r="CI51" s="289"/>
      <c r="CL51" s="289"/>
      <c r="CO51" s="289"/>
      <c r="CR51" s="289"/>
      <c r="CT51" s="51"/>
      <c r="CU51" s="293"/>
      <c r="CX51" s="289"/>
      <c r="CZ51" s="80"/>
      <c r="DA51" s="289"/>
      <c r="DD51" s="289"/>
      <c r="DG51" s="289"/>
      <c r="DJ51" s="289"/>
      <c r="DM51" s="289"/>
      <c r="DP51" s="289"/>
      <c r="DS51" s="289"/>
      <c r="DV51" s="289"/>
      <c r="DW51" s="83"/>
      <c r="DX51" s="83"/>
      <c r="DY51" s="328"/>
      <c r="DZ51" s="83"/>
    </row>
    <row r="52" spans="1:130" s="53" customFormat="1" x14ac:dyDescent="0.2">
      <c r="A52" s="51" t="s">
        <v>319</v>
      </c>
      <c r="B52" s="134">
        <v>20</v>
      </c>
      <c r="C52" s="80" t="s">
        <v>49</v>
      </c>
      <c r="D52" s="262" t="s">
        <v>80</v>
      </c>
      <c r="E52" s="300">
        <f>E44/(E46*E45*E47*E48*E50*E51*(1/E49))</f>
        <v>6.3481134579934206E-2</v>
      </c>
      <c r="F52" s="249"/>
      <c r="G52" s="53" t="s">
        <v>36</v>
      </c>
      <c r="H52" s="288">
        <f>(H53*H54*H58*H64*((1-EXP(-H59*H60))))/(H61*H59)</f>
        <v>3.6421488784670224</v>
      </c>
      <c r="I52" s="53" t="s">
        <v>19</v>
      </c>
      <c r="J52" s="77" t="s">
        <v>37</v>
      </c>
      <c r="K52" s="290">
        <f>B44</f>
        <v>1.914E-5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80"/>
      <c r="DA52" s="289"/>
      <c r="DD52" s="289"/>
      <c r="DG52" s="289"/>
      <c r="DJ52" s="289"/>
      <c r="DM52" s="289"/>
      <c r="DP52" s="289"/>
      <c r="DS52" s="289"/>
      <c r="DV52" s="289"/>
      <c r="DW52" s="83"/>
      <c r="DX52" s="83"/>
      <c r="DY52" s="328"/>
      <c r="DZ52" s="83"/>
    </row>
    <row r="53" spans="1:130" s="53" customFormat="1" x14ac:dyDescent="0.2">
      <c r="A53" s="51" t="s">
        <v>320</v>
      </c>
      <c r="B53" s="134">
        <v>200</v>
      </c>
      <c r="C53" s="77" t="s">
        <v>54</v>
      </c>
      <c r="E53" s="289"/>
      <c r="G53" s="51" t="s">
        <v>41</v>
      </c>
      <c r="H53" s="289">
        <f>B85</f>
        <v>3.62</v>
      </c>
      <c r="I53" s="53" t="s">
        <v>42</v>
      </c>
      <c r="J53" s="13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51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80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53" customFormat="1" x14ac:dyDescent="0.2">
      <c r="A54" s="51" t="s">
        <v>321</v>
      </c>
      <c r="B54" s="134">
        <v>100</v>
      </c>
      <c r="C54" s="77" t="s">
        <v>54</v>
      </c>
      <c r="E54" s="289"/>
      <c r="G54" s="51" t="s">
        <v>46</v>
      </c>
      <c r="H54" s="287">
        <f>B86</f>
        <v>0.25</v>
      </c>
      <c r="I54" s="53" t="s">
        <v>47</v>
      </c>
      <c r="K54" s="289"/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51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80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53" customFormat="1" x14ac:dyDescent="0.2">
      <c r="A55" s="51" t="s">
        <v>322</v>
      </c>
      <c r="B55" s="134">
        <v>0.78</v>
      </c>
      <c r="C55" s="51" t="s">
        <v>30</v>
      </c>
      <c r="E55" s="289"/>
      <c r="G55" s="80" t="s">
        <v>55</v>
      </c>
      <c r="H55" s="303">
        <f>H62+H63</f>
        <v>3.1394977168949772E-5</v>
      </c>
      <c r="K55" s="289"/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80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80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53" customFormat="1" x14ac:dyDescent="0.2">
      <c r="A56" s="51" t="s">
        <v>323</v>
      </c>
      <c r="B56" s="134">
        <v>2.5</v>
      </c>
      <c r="C56" s="51" t="s">
        <v>30</v>
      </c>
      <c r="E56" s="289"/>
      <c r="G56" s="80" t="s">
        <v>60</v>
      </c>
      <c r="H56" s="289">
        <f>B87</f>
        <v>10950</v>
      </c>
      <c r="I56" s="53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80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80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53" customFormat="1" x14ac:dyDescent="0.2">
      <c r="A57" s="51" t="s">
        <v>337</v>
      </c>
      <c r="B57" s="134">
        <v>54</v>
      </c>
      <c r="C57" s="53" t="s">
        <v>54</v>
      </c>
      <c r="E57" s="289"/>
      <c r="G57" s="80" t="s">
        <v>65</v>
      </c>
      <c r="H57" s="289">
        <f>B88</f>
        <v>240</v>
      </c>
      <c r="I57" s="53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80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80"/>
      <c r="DA57" s="293"/>
      <c r="DB57" s="51"/>
      <c r="DD57" s="289"/>
      <c r="DG57" s="289"/>
      <c r="DJ57" s="289"/>
      <c r="DM57" s="289"/>
      <c r="DP57" s="289"/>
      <c r="DS57" s="289"/>
      <c r="DV57" s="289"/>
      <c r="DY57" s="289"/>
    </row>
    <row r="58" spans="1:130" s="53" customFormat="1" x14ac:dyDescent="0.2">
      <c r="A58" s="53" t="s">
        <v>357</v>
      </c>
      <c r="B58" s="134">
        <v>32.799999999999997</v>
      </c>
      <c r="C58" s="132" t="s">
        <v>54</v>
      </c>
      <c r="E58" s="289"/>
      <c r="G58" s="80" t="s">
        <v>76</v>
      </c>
      <c r="H58" s="289">
        <f>B89</f>
        <v>0.42</v>
      </c>
      <c r="I58" s="53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80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80"/>
      <c r="DA58" s="293"/>
      <c r="DB58" s="51"/>
      <c r="DD58" s="289"/>
      <c r="DG58" s="289"/>
      <c r="DJ58" s="289"/>
      <c r="DM58" s="289"/>
      <c r="DP58" s="289"/>
      <c r="DS58" s="289"/>
      <c r="DV58" s="289"/>
      <c r="DY58" s="289"/>
    </row>
    <row r="59" spans="1:130" s="53" customFormat="1" x14ac:dyDescent="0.2">
      <c r="A59" s="53" t="s">
        <v>336</v>
      </c>
      <c r="B59" s="134">
        <v>157.69999999999999</v>
      </c>
      <c r="C59" s="132" t="s">
        <v>54</v>
      </c>
      <c r="E59" s="289"/>
      <c r="G59" s="80" t="s">
        <v>81</v>
      </c>
      <c r="H59" s="299">
        <f>H63+(0.693/H65)</f>
        <v>4.9504394977168943E-2</v>
      </c>
      <c r="I59" s="51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80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80"/>
      <c r="DA59" s="293"/>
      <c r="DB59" s="51"/>
      <c r="DD59" s="289"/>
      <c r="DG59" s="289"/>
      <c r="DJ59" s="289"/>
      <c r="DM59" s="289"/>
      <c r="DP59" s="289"/>
      <c r="DS59" s="289"/>
      <c r="DV59" s="289"/>
      <c r="DY59" s="289"/>
    </row>
    <row r="60" spans="1:130" s="53" customFormat="1" x14ac:dyDescent="0.2">
      <c r="A60" s="51" t="s">
        <v>332</v>
      </c>
      <c r="B60" s="134">
        <v>68.099999999999994</v>
      </c>
      <c r="C60" s="80" t="s">
        <v>254</v>
      </c>
      <c r="E60" s="289"/>
      <c r="G60" s="80" t="s">
        <v>85</v>
      </c>
      <c r="H60" s="293">
        <f>B90</f>
        <v>60</v>
      </c>
      <c r="I60" s="51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80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80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53" customFormat="1" x14ac:dyDescent="0.2">
      <c r="A61" s="51" t="s">
        <v>333</v>
      </c>
      <c r="B61" s="134">
        <v>188.5</v>
      </c>
      <c r="C61" s="80" t="s">
        <v>254</v>
      </c>
      <c r="E61" s="289"/>
      <c r="G61" s="80" t="s">
        <v>87</v>
      </c>
      <c r="H61" s="293">
        <f>B91</f>
        <v>2</v>
      </c>
      <c r="I61" s="51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80"/>
      <c r="BW61" s="293"/>
      <c r="BX61" s="51"/>
      <c r="BZ61" s="289"/>
      <c r="CC61" s="289"/>
      <c r="CF61" s="289"/>
      <c r="CI61" s="289"/>
      <c r="CL61" s="289"/>
      <c r="CO61" s="289"/>
      <c r="CR61" s="289"/>
      <c r="CU61" s="289"/>
      <c r="CX61" s="289"/>
      <c r="CZ61" s="80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53" customFormat="1" x14ac:dyDescent="0.2">
      <c r="A62" s="51" t="s">
        <v>334</v>
      </c>
      <c r="B62" s="134">
        <v>41.7</v>
      </c>
      <c r="C62" s="80" t="s">
        <v>254</v>
      </c>
      <c r="E62" s="289"/>
      <c r="G62" s="80" t="s">
        <v>89</v>
      </c>
      <c r="H62" s="289">
        <f>B92</f>
        <v>2.6999999999999999E-5</v>
      </c>
      <c r="I62" s="53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80"/>
      <c r="BW62" s="293"/>
      <c r="BX62" s="51"/>
      <c r="BZ62" s="289"/>
      <c r="CC62" s="289"/>
      <c r="CF62" s="289"/>
      <c r="CI62" s="289"/>
      <c r="CL62" s="289"/>
      <c r="CO62" s="289"/>
      <c r="CR62" s="289"/>
      <c r="CU62" s="289"/>
      <c r="CX62" s="289"/>
      <c r="CZ62" s="80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53" customFormat="1" x14ac:dyDescent="0.2">
      <c r="A63" s="51" t="s">
        <v>335</v>
      </c>
      <c r="B63" s="134">
        <v>128.9</v>
      </c>
      <c r="C63" s="80" t="s">
        <v>254</v>
      </c>
      <c r="E63" s="289"/>
      <c r="G63" s="80" t="s">
        <v>90</v>
      </c>
      <c r="H63" s="288">
        <f>0.693/H67</f>
        <v>4.3949771689497717E-6</v>
      </c>
      <c r="I63" s="53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80"/>
      <c r="BW63" s="293"/>
      <c r="BX63" s="51"/>
      <c r="BZ63" s="289"/>
      <c r="CC63" s="289"/>
      <c r="CF63" s="289"/>
      <c r="CI63" s="289"/>
      <c r="CL63" s="289"/>
      <c r="CO63" s="289"/>
      <c r="CR63" s="289"/>
      <c r="CU63" s="289"/>
      <c r="CX63" s="289"/>
      <c r="CZ63" s="80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53" customFormat="1" x14ac:dyDescent="0.2">
      <c r="A64" s="51" t="s">
        <v>343</v>
      </c>
      <c r="B64" s="134">
        <v>6</v>
      </c>
      <c r="C64" s="83" t="s">
        <v>69</v>
      </c>
      <c r="E64" s="289"/>
      <c r="G64" s="80" t="s">
        <v>91</v>
      </c>
      <c r="H64" s="289">
        <f>B93</f>
        <v>1</v>
      </c>
      <c r="I64" s="53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90"/>
      <c r="AJ64" s="353"/>
      <c r="AK64" s="90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80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53" customFormat="1" x14ac:dyDescent="0.2">
      <c r="A65" s="51" t="s">
        <v>342</v>
      </c>
      <c r="B65" s="134">
        <v>20</v>
      </c>
      <c r="C65" s="83" t="s">
        <v>69</v>
      </c>
      <c r="E65" s="289"/>
      <c r="G65" s="80" t="s">
        <v>92</v>
      </c>
      <c r="H65" s="289">
        <f>B94</f>
        <v>14</v>
      </c>
      <c r="I65" s="53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90"/>
      <c r="AJ65" s="353"/>
      <c r="AK65" s="90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80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53" customFormat="1" x14ac:dyDescent="0.2">
      <c r="A66" s="51" t="s">
        <v>341</v>
      </c>
      <c r="B66" s="134">
        <v>26</v>
      </c>
      <c r="C66" s="83" t="s">
        <v>69</v>
      </c>
      <c r="E66" s="289"/>
      <c r="G66" s="53" t="s">
        <v>38</v>
      </c>
      <c r="H66" s="287">
        <f>B45</f>
        <v>2.1999999999999999E-5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90"/>
      <c r="AJ66" s="353"/>
      <c r="AK66" s="90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80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51"/>
      <c r="DA66" s="287"/>
    </row>
    <row r="67" spans="1:105" s="53" customFormat="1" x14ac:dyDescent="0.2">
      <c r="A67" s="51" t="s">
        <v>340</v>
      </c>
      <c r="B67" s="134">
        <v>350</v>
      </c>
      <c r="C67" s="83" t="s">
        <v>26</v>
      </c>
      <c r="E67" s="289"/>
      <c r="G67" s="51" t="s">
        <v>273</v>
      </c>
      <c r="H67" s="287">
        <f>B35</f>
        <v>157680</v>
      </c>
      <c r="I67" s="53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90"/>
      <c r="AJ67" s="353"/>
      <c r="AK67" s="90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80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53" customFormat="1" x14ac:dyDescent="0.2">
      <c r="A68" s="51" t="s">
        <v>339</v>
      </c>
      <c r="B68" s="134">
        <v>350</v>
      </c>
      <c r="C68" s="83" t="s">
        <v>26</v>
      </c>
      <c r="E68" s="289"/>
      <c r="H68" s="289"/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90"/>
      <c r="AJ68" s="353"/>
      <c r="AK68" s="90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53" customFormat="1" x14ac:dyDescent="0.2">
      <c r="A69" s="99" t="s">
        <v>338</v>
      </c>
      <c r="B69" s="134">
        <v>350</v>
      </c>
      <c r="C69" s="142" t="s">
        <v>26</v>
      </c>
      <c r="E69" s="289"/>
      <c r="H69" s="289"/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90"/>
      <c r="AJ69" s="353"/>
      <c r="AK69" s="90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51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53" customFormat="1" x14ac:dyDescent="0.2">
      <c r="A70" s="111" t="s">
        <v>344</v>
      </c>
      <c r="B70" s="135">
        <v>0.54</v>
      </c>
      <c r="C70" s="92" t="s">
        <v>104</v>
      </c>
      <c r="E70" s="289"/>
      <c r="H70" s="289"/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90"/>
      <c r="AJ70" s="353"/>
      <c r="AK70" s="90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51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53" customFormat="1" x14ac:dyDescent="0.2">
      <c r="A71" s="111" t="s">
        <v>345</v>
      </c>
      <c r="B71" s="135">
        <v>0.71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90"/>
      <c r="AJ71" s="353"/>
      <c r="AK71" s="90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51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53" customFormat="1" x14ac:dyDescent="0.2">
      <c r="A72" s="51" t="s">
        <v>347</v>
      </c>
      <c r="B72" s="134">
        <v>24</v>
      </c>
      <c r="C72" s="83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90"/>
      <c r="AI72" s="90"/>
      <c r="AJ72" s="353"/>
      <c r="AK72" s="90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53" customFormat="1" x14ac:dyDescent="0.2">
      <c r="A73" s="51" t="s">
        <v>348</v>
      </c>
      <c r="B73" s="134">
        <v>24</v>
      </c>
      <c r="C73" s="113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90"/>
      <c r="AI73" s="90"/>
      <c r="AJ73" s="353"/>
      <c r="AK73" s="90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53" customFormat="1" x14ac:dyDescent="0.2">
      <c r="A74" s="112" t="s">
        <v>346</v>
      </c>
      <c r="B74" s="134">
        <v>24</v>
      </c>
      <c r="C74" s="113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90"/>
      <c r="AI74" s="90"/>
      <c r="AJ74" s="353"/>
      <c r="AK74" s="90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53" customFormat="1" x14ac:dyDescent="0.2">
      <c r="A75" s="119" t="s">
        <v>349</v>
      </c>
      <c r="B75" s="135">
        <v>1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90"/>
      <c r="AI75" s="90"/>
      <c r="AJ75" s="353"/>
      <c r="AK75" s="90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53" customFormat="1" x14ac:dyDescent="0.2">
      <c r="A76" s="119" t="s">
        <v>350</v>
      </c>
      <c r="B76" s="135">
        <v>1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90"/>
      <c r="AI76" s="90"/>
      <c r="AJ76" s="353"/>
      <c r="AK76" s="90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53" customFormat="1" x14ac:dyDescent="0.2">
      <c r="A77" s="140" t="s">
        <v>103</v>
      </c>
      <c r="B77" s="148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90"/>
      <c r="AI77" s="90"/>
      <c r="AJ77" s="353"/>
      <c r="AK77" s="90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53" customFormat="1" x14ac:dyDescent="0.2">
      <c r="A78" s="123" t="s">
        <v>353</v>
      </c>
      <c r="B78" s="126">
        <v>1</v>
      </c>
      <c r="C78" s="122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53" customFormat="1" x14ac:dyDescent="0.2">
      <c r="A79" s="123" t="s">
        <v>158</v>
      </c>
      <c r="B79" s="126">
        <v>0.4</v>
      </c>
      <c r="C79" s="122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90"/>
      <c r="AI79" s="90"/>
      <c r="AJ79" s="353"/>
      <c r="AK79" s="90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53" customFormat="1" x14ac:dyDescent="0.2">
      <c r="A80" s="123" t="s">
        <v>159</v>
      </c>
      <c r="B80" s="126">
        <v>1</v>
      </c>
      <c r="C80" s="122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90"/>
      <c r="AI80" s="90"/>
      <c r="AJ80" s="353"/>
      <c r="AK80" s="90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53" customFormat="1" x14ac:dyDescent="0.2">
      <c r="A81" s="123" t="s">
        <v>354</v>
      </c>
      <c r="B81" s="126">
        <v>1</v>
      </c>
      <c r="C81" s="122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90"/>
      <c r="AI81" s="90"/>
      <c r="AJ81" s="353"/>
      <c r="AK81" s="90"/>
    </row>
    <row r="82" spans="1:37" s="53" customFormat="1" x14ac:dyDescent="0.2">
      <c r="A82" s="124" t="s">
        <v>124</v>
      </c>
      <c r="B82" s="126">
        <v>1</v>
      </c>
      <c r="C82" s="125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90"/>
      <c r="AI82" s="90"/>
      <c r="AJ82" s="353"/>
      <c r="AK82" s="90"/>
    </row>
    <row r="83" spans="1:37" s="53" customFormat="1" x14ac:dyDescent="0.2">
      <c r="A83" s="123" t="s">
        <v>83</v>
      </c>
      <c r="B83" s="126">
        <v>0.5</v>
      </c>
      <c r="C83" s="123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53" customFormat="1" x14ac:dyDescent="0.2">
      <c r="A84" s="128" t="s">
        <v>355</v>
      </c>
      <c r="B84" s="131">
        <v>0.25</v>
      </c>
      <c r="C84" s="12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90"/>
      <c r="AI84" s="90"/>
      <c r="AJ84" s="353"/>
      <c r="AK84" s="90"/>
    </row>
    <row r="85" spans="1:37" s="53" customFormat="1" x14ac:dyDescent="0.2">
      <c r="A85" s="129" t="s">
        <v>41</v>
      </c>
      <c r="B85" s="131">
        <v>3.62</v>
      </c>
      <c r="C85" s="128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53" customFormat="1" x14ac:dyDescent="0.2">
      <c r="A86" s="129" t="s">
        <v>46</v>
      </c>
      <c r="B86" s="131">
        <v>0.25</v>
      </c>
      <c r="C86" s="128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91"/>
      <c r="AI86" s="91"/>
      <c r="AJ86" s="277"/>
      <c r="AK86" s="91"/>
    </row>
    <row r="87" spans="1:37" s="53" customFormat="1" x14ac:dyDescent="0.2">
      <c r="A87" s="130" t="s">
        <v>60</v>
      </c>
      <c r="B87" s="131">
        <v>10950</v>
      </c>
      <c r="C87" s="128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53" customFormat="1" x14ac:dyDescent="0.2">
      <c r="A88" s="130" t="s">
        <v>65</v>
      </c>
      <c r="B88" s="131">
        <v>240</v>
      </c>
      <c r="C88" s="128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53" customFormat="1" x14ac:dyDescent="0.2">
      <c r="A89" s="144" t="s">
        <v>76</v>
      </c>
      <c r="B89" s="149">
        <v>0.42</v>
      </c>
      <c r="C89" s="13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53" customFormat="1" x14ac:dyDescent="0.2">
      <c r="A90" s="130" t="s">
        <v>85</v>
      </c>
      <c r="B90" s="131">
        <v>60</v>
      </c>
      <c r="C90" s="129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53" customFormat="1" x14ac:dyDescent="0.2">
      <c r="A91" s="130" t="s">
        <v>87</v>
      </c>
      <c r="B91" s="131">
        <v>2</v>
      </c>
      <c r="C91" s="129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53" customFormat="1" x14ac:dyDescent="0.2">
      <c r="A92" s="130" t="s">
        <v>89</v>
      </c>
      <c r="B92" s="131">
        <v>2.6999999999999999E-5</v>
      </c>
      <c r="C92" s="128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53" customFormat="1" x14ac:dyDescent="0.2">
      <c r="A93" s="130" t="s">
        <v>91</v>
      </c>
      <c r="B93" s="131">
        <v>1</v>
      </c>
      <c r="C93" s="128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53" customFormat="1" x14ac:dyDescent="0.2">
      <c r="A94" s="130" t="s">
        <v>92</v>
      </c>
      <c r="B94" s="284">
        <v>14</v>
      </c>
      <c r="C94" s="128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53" customFormat="1" x14ac:dyDescent="0.2">
      <c r="A95" s="133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53" customFormat="1" x14ac:dyDescent="0.2">
      <c r="A96" s="121" t="s">
        <v>351</v>
      </c>
      <c r="B96" s="283">
        <v>1.752</v>
      </c>
      <c r="C96" s="120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53" customFormat="1" x14ac:dyDescent="0.2">
      <c r="A97" s="121" t="s">
        <v>352</v>
      </c>
      <c r="B97" s="283">
        <v>16.416</v>
      </c>
      <c r="C97" s="120" t="s">
        <v>224</v>
      </c>
    </row>
    <row r="98" spans="1:3" s="53" customFormat="1" ht="15" x14ac:dyDescent="0.2">
      <c r="A98" s="517" t="s">
        <v>5</v>
      </c>
      <c r="B98" s="517"/>
      <c r="C98" s="517"/>
    </row>
    <row r="99" spans="1:3" s="53" customFormat="1" x14ac:dyDescent="0.2">
      <c r="A99" s="140" t="s">
        <v>358</v>
      </c>
      <c r="B99" s="149">
        <v>10</v>
      </c>
      <c r="C99" s="144" t="s">
        <v>359</v>
      </c>
    </row>
    <row r="100" spans="1:3" s="53" customFormat="1" x14ac:dyDescent="0.2">
      <c r="A100" s="140" t="s">
        <v>360</v>
      </c>
      <c r="B100" s="149">
        <v>20</v>
      </c>
      <c r="C100" s="144" t="s">
        <v>359</v>
      </c>
    </row>
    <row r="101" spans="1:3" s="53" customFormat="1" x14ac:dyDescent="0.2">
      <c r="A101" s="140" t="s">
        <v>305</v>
      </c>
      <c r="B101" s="148">
        <v>0.05</v>
      </c>
      <c r="C101" s="140" t="s">
        <v>361</v>
      </c>
    </row>
    <row r="102" spans="1:3" s="53" customFormat="1" x14ac:dyDescent="0.2">
      <c r="A102" s="140" t="s">
        <v>306</v>
      </c>
      <c r="B102" s="148">
        <v>0.05</v>
      </c>
      <c r="C102" s="140" t="s">
        <v>361</v>
      </c>
    </row>
    <row r="103" spans="1:3" s="53" customFormat="1" x14ac:dyDescent="0.2">
      <c r="A103" s="140" t="s">
        <v>362</v>
      </c>
      <c r="B103" s="149">
        <v>200</v>
      </c>
      <c r="C103" s="141" t="s">
        <v>54</v>
      </c>
    </row>
    <row r="104" spans="1:3" s="53" customFormat="1" x14ac:dyDescent="0.2">
      <c r="A104" s="140" t="s">
        <v>363</v>
      </c>
      <c r="B104" s="149">
        <v>100</v>
      </c>
      <c r="C104" s="141" t="s">
        <v>54</v>
      </c>
    </row>
    <row r="105" spans="1:3" s="53" customFormat="1" x14ac:dyDescent="0.2">
      <c r="A105" s="139" t="s">
        <v>187</v>
      </c>
      <c r="B105" s="149">
        <v>1</v>
      </c>
      <c r="C105" s="139" t="s">
        <v>254</v>
      </c>
    </row>
    <row r="106" spans="1:3" s="53" customFormat="1" x14ac:dyDescent="0.2">
      <c r="A106" s="139" t="s">
        <v>188</v>
      </c>
      <c r="B106" s="149">
        <v>1</v>
      </c>
      <c r="C106" s="139" t="s">
        <v>254</v>
      </c>
    </row>
    <row r="107" spans="1:3" s="53" customFormat="1" x14ac:dyDescent="0.2">
      <c r="A107" s="94" t="s">
        <v>373</v>
      </c>
      <c r="B107" s="148">
        <v>6</v>
      </c>
      <c r="C107" s="147" t="s">
        <v>69</v>
      </c>
    </row>
    <row r="108" spans="1:3" s="53" customFormat="1" x14ac:dyDescent="0.2">
      <c r="A108" s="94" t="s">
        <v>372</v>
      </c>
      <c r="B108" s="148">
        <f>B109-B107</f>
        <v>20</v>
      </c>
      <c r="C108" s="147" t="s">
        <v>69</v>
      </c>
    </row>
    <row r="109" spans="1:3" s="53" customFormat="1" x14ac:dyDescent="0.2">
      <c r="A109" s="94" t="s">
        <v>59</v>
      </c>
      <c r="B109" s="148">
        <v>26</v>
      </c>
      <c r="C109" s="147" t="s">
        <v>69</v>
      </c>
    </row>
    <row r="110" spans="1:3" s="53" customFormat="1" x14ac:dyDescent="0.2">
      <c r="A110" s="94" t="s">
        <v>371</v>
      </c>
      <c r="B110" s="107">
        <v>75</v>
      </c>
      <c r="C110" s="94" t="s">
        <v>26</v>
      </c>
    </row>
    <row r="111" spans="1:3" s="53" customFormat="1" x14ac:dyDescent="0.2">
      <c r="A111" s="94" t="s">
        <v>370</v>
      </c>
      <c r="B111" s="148">
        <v>75</v>
      </c>
      <c r="C111" s="94" t="s">
        <v>26</v>
      </c>
    </row>
    <row r="112" spans="1:3" s="53" customFormat="1" x14ac:dyDescent="0.2">
      <c r="A112" s="94" t="s">
        <v>157</v>
      </c>
      <c r="B112" s="148">
        <v>75</v>
      </c>
      <c r="C112" s="94" t="s">
        <v>26</v>
      </c>
    </row>
    <row r="113" spans="1:3" s="53" customFormat="1" x14ac:dyDescent="0.2">
      <c r="A113" s="94" t="s">
        <v>105</v>
      </c>
      <c r="B113" s="148">
        <v>1</v>
      </c>
      <c r="C113" s="92" t="s">
        <v>224</v>
      </c>
    </row>
    <row r="114" spans="1:3" s="53" customFormat="1" x14ac:dyDescent="0.2">
      <c r="A114" s="92" t="s">
        <v>368</v>
      </c>
      <c r="B114" s="149">
        <v>1</v>
      </c>
      <c r="C114" s="92" t="s">
        <v>224</v>
      </c>
    </row>
    <row r="115" spans="1:3" s="53" customFormat="1" x14ac:dyDescent="0.2">
      <c r="A115" s="92" t="s">
        <v>369</v>
      </c>
      <c r="B115" s="149">
        <v>1</v>
      </c>
      <c r="C115" s="92" t="s">
        <v>224</v>
      </c>
    </row>
    <row r="116" spans="1:3" s="53" customFormat="1" x14ac:dyDescent="0.2">
      <c r="A116" s="139" t="s">
        <v>366</v>
      </c>
      <c r="B116" s="149">
        <v>1</v>
      </c>
      <c r="C116" s="139" t="s">
        <v>104</v>
      </c>
    </row>
    <row r="117" spans="1:3" s="53" customFormat="1" x14ac:dyDescent="0.2">
      <c r="A117" s="139" t="s">
        <v>367</v>
      </c>
      <c r="B117" s="149">
        <v>1</v>
      </c>
      <c r="C117" s="139" t="s">
        <v>104</v>
      </c>
    </row>
    <row r="118" spans="1:3" s="53" customFormat="1" x14ac:dyDescent="0.2">
      <c r="A118" s="94" t="s">
        <v>364</v>
      </c>
      <c r="B118" s="149">
        <v>1</v>
      </c>
      <c r="C118" s="92" t="s">
        <v>98</v>
      </c>
    </row>
    <row r="119" spans="1:3" s="53" customFormat="1" x14ac:dyDescent="0.2">
      <c r="A119" s="94" t="s">
        <v>365</v>
      </c>
      <c r="B119" s="149">
        <v>1</v>
      </c>
      <c r="C119" s="92" t="s">
        <v>98</v>
      </c>
    </row>
    <row r="120" spans="1:3" s="53" customFormat="1" x14ac:dyDescent="0.2">
      <c r="A120" s="141" t="s">
        <v>192</v>
      </c>
      <c r="B120" s="148">
        <v>1</v>
      </c>
      <c r="C120" s="139" t="s">
        <v>283</v>
      </c>
    </row>
    <row r="121" spans="1:3" s="53" customFormat="1" x14ac:dyDescent="0.2">
      <c r="A121" s="141" t="s">
        <v>189</v>
      </c>
      <c r="B121" s="148">
        <v>1</v>
      </c>
      <c r="C121" s="139" t="s">
        <v>283</v>
      </c>
    </row>
    <row r="122" spans="1:3" s="53" customFormat="1" x14ac:dyDescent="0.2">
      <c r="A122" s="141" t="s">
        <v>190</v>
      </c>
      <c r="B122" s="148">
        <v>1</v>
      </c>
      <c r="C122" s="139" t="s">
        <v>47</v>
      </c>
    </row>
    <row r="123" spans="1:3" s="53" customFormat="1" x14ac:dyDescent="0.2">
      <c r="A123" s="141" t="s">
        <v>191</v>
      </c>
      <c r="B123" s="148">
        <v>1</v>
      </c>
      <c r="C123" s="139" t="s">
        <v>47</v>
      </c>
    </row>
    <row r="124" spans="1:3" s="53" customFormat="1" x14ac:dyDescent="0.2">
      <c r="A124" s="141" t="s">
        <v>199</v>
      </c>
      <c r="B124" s="148">
        <v>1</v>
      </c>
      <c r="C124" s="139" t="s">
        <v>30</v>
      </c>
    </row>
    <row r="125" spans="1:3" s="53" customFormat="1" x14ac:dyDescent="0.2">
      <c r="A125" s="139" t="s">
        <v>193</v>
      </c>
      <c r="B125" s="148">
        <v>1</v>
      </c>
      <c r="C125" s="139" t="s">
        <v>283</v>
      </c>
    </row>
    <row r="126" spans="1:3" s="53" customFormat="1" x14ac:dyDescent="0.2">
      <c r="A126" s="139" t="s">
        <v>196</v>
      </c>
      <c r="B126" s="148">
        <v>1</v>
      </c>
      <c r="C126" s="139" t="s">
        <v>283</v>
      </c>
    </row>
    <row r="127" spans="1:3" s="53" customFormat="1" x14ac:dyDescent="0.2">
      <c r="A127" s="145" t="s">
        <v>197</v>
      </c>
      <c r="B127" s="148">
        <v>1</v>
      </c>
      <c r="C127" s="139" t="s">
        <v>47</v>
      </c>
    </row>
    <row r="128" spans="1:3" s="53" customFormat="1" x14ac:dyDescent="0.2">
      <c r="A128" s="140" t="s">
        <v>198</v>
      </c>
      <c r="B128" s="148">
        <v>1</v>
      </c>
      <c r="C128" s="139" t="s">
        <v>47</v>
      </c>
    </row>
    <row r="129" spans="1:3" s="53" customFormat="1" x14ac:dyDescent="0.2">
      <c r="A129" s="141" t="s">
        <v>200</v>
      </c>
      <c r="B129" s="148">
        <v>1</v>
      </c>
      <c r="C129" s="139" t="s">
        <v>30</v>
      </c>
    </row>
    <row r="130" spans="1:3" s="53" customFormat="1" x14ac:dyDescent="0.2">
      <c r="A130" s="140" t="s">
        <v>255</v>
      </c>
      <c r="B130" s="149">
        <v>1</v>
      </c>
      <c r="C130" s="139"/>
    </row>
    <row r="131" spans="1:3" s="53" customFormat="1" x14ac:dyDescent="0.2">
      <c r="A131" s="53" t="s">
        <v>83</v>
      </c>
      <c r="B131" s="163">
        <v>0.5</v>
      </c>
    </row>
    <row r="132" spans="1:3" s="53" customFormat="1" ht="15" x14ac:dyDescent="0.2">
      <c r="A132" s="518" t="s">
        <v>180</v>
      </c>
      <c r="B132" s="518"/>
      <c r="C132" s="518"/>
    </row>
    <row r="133" spans="1:3" s="53" customFormat="1" x14ac:dyDescent="0.2">
      <c r="A133" s="140" t="s">
        <v>374</v>
      </c>
      <c r="B133" s="148">
        <v>200</v>
      </c>
      <c r="C133" s="141" t="s">
        <v>54</v>
      </c>
    </row>
    <row r="134" spans="1:3" s="53" customFormat="1" x14ac:dyDescent="0.2">
      <c r="A134" s="140" t="s">
        <v>375</v>
      </c>
      <c r="B134" s="148">
        <v>100</v>
      </c>
      <c r="C134" s="141" t="s">
        <v>54</v>
      </c>
    </row>
    <row r="135" spans="1:3" s="53" customFormat="1" x14ac:dyDescent="0.2">
      <c r="A135" s="140" t="s">
        <v>376</v>
      </c>
      <c r="B135" s="148">
        <v>10</v>
      </c>
      <c r="C135" s="144" t="s">
        <v>359</v>
      </c>
    </row>
    <row r="136" spans="1:3" s="53" customFormat="1" x14ac:dyDescent="0.2">
      <c r="A136" s="140" t="s">
        <v>377</v>
      </c>
      <c r="B136" s="148">
        <v>20</v>
      </c>
      <c r="C136" s="144" t="s">
        <v>359</v>
      </c>
    </row>
    <row r="137" spans="1:3" s="53" customFormat="1" x14ac:dyDescent="0.2">
      <c r="A137" s="144" t="s">
        <v>378</v>
      </c>
      <c r="B137" s="149">
        <v>0.78</v>
      </c>
      <c r="C137" s="140" t="s">
        <v>30</v>
      </c>
    </row>
    <row r="138" spans="1:3" s="53" customFormat="1" x14ac:dyDescent="0.2">
      <c r="A138" s="144" t="s">
        <v>379</v>
      </c>
      <c r="B138" s="149">
        <v>2.5</v>
      </c>
      <c r="C138" s="140" t="s">
        <v>30</v>
      </c>
    </row>
    <row r="139" spans="1:3" s="53" customFormat="1" x14ac:dyDescent="0.2">
      <c r="A139" s="140" t="s">
        <v>380</v>
      </c>
      <c r="B139" s="148">
        <v>68.099999999999994</v>
      </c>
      <c r="C139" s="144" t="s">
        <v>254</v>
      </c>
    </row>
    <row r="140" spans="1:3" s="53" customFormat="1" x14ac:dyDescent="0.2">
      <c r="A140" s="140" t="s">
        <v>381</v>
      </c>
      <c r="B140" s="148">
        <v>176.8</v>
      </c>
      <c r="C140" s="144" t="s">
        <v>254</v>
      </c>
    </row>
    <row r="141" spans="1:3" s="53" customFormat="1" x14ac:dyDescent="0.2">
      <c r="A141" s="140" t="s">
        <v>382</v>
      </c>
      <c r="B141" s="148">
        <v>41.7</v>
      </c>
      <c r="C141" s="144" t="s">
        <v>254</v>
      </c>
    </row>
    <row r="142" spans="1:3" s="53" customFormat="1" x14ac:dyDescent="0.2">
      <c r="A142" s="140" t="s">
        <v>383</v>
      </c>
      <c r="B142" s="148">
        <v>125.7</v>
      </c>
      <c r="C142" s="144" t="s">
        <v>254</v>
      </c>
    </row>
    <row r="143" spans="1:3" s="53" customFormat="1" x14ac:dyDescent="0.2">
      <c r="A143" s="140" t="s">
        <v>479</v>
      </c>
      <c r="B143" s="148">
        <v>349.5</v>
      </c>
      <c r="C143" s="144" t="s">
        <v>254</v>
      </c>
    </row>
    <row r="144" spans="1:3" s="53" customFormat="1" x14ac:dyDescent="0.2">
      <c r="A144" s="140" t="s">
        <v>480</v>
      </c>
      <c r="B144" s="148">
        <v>445.6</v>
      </c>
      <c r="C144" s="144" t="s">
        <v>254</v>
      </c>
    </row>
    <row r="145" spans="1:3" s="53" customFormat="1" x14ac:dyDescent="0.2">
      <c r="A145" s="140" t="s">
        <v>481</v>
      </c>
      <c r="B145" s="148">
        <v>40.1</v>
      </c>
      <c r="C145" s="144" t="s">
        <v>254</v>
      </c>
    </row>
    <row r="146" spans="1:3" s="53" customFormat="1" x14ac:dyDescent="0.2">
      <c r="A146" s="140" t="s">
        <v>482</v>
      </c>
      <c r="B146" s="148">
        <v>178</v>
      </c>
      <c r="C146" s="144" t="s">
        <v>254</v>
      </c>
    </row>
    <row r="147" spans="1:3" s="53" customFormat="1" x14ac:dyDescent="0.2">
      <c r="A147" s="140" t="s">
        <v>326</v>
      </c>
      <c r="B147" s="148">
        <v>10.95</v>
      </c>
      <c r="C147" s="140" t="s">
        <v>254</v>
      </c>
    </row>
    <row r="148" spans="1:3" s="53" customFormat="1" x14ac:dyDescent="0.2">
      <c r="A148" s="140" t="s">
        <v>327</v>
      </c>
      <c r="B148" s="148">
        <v>53.4</v>
      </c>
      <c r="C148" s="140" t="s">
        <v>254</v>
      </c>
    </row>
    <row r="149" spans="1:3" s="53" customFormat="1" x14ac:dyDescent="0.2">
      <c r="A149" s="140" t="s">
        <v>483</v>
      </c>
      <c r="B149" s="148">
        <v>32.799999999999997</v>
      </c>
      <c r="C149" s="144" t="s">
        <v>254</v>
      </c>
    </row>
    <row r="150" spans="1:3" s="53" customFormat="1" x14ac:dyDescent="0.2">
      <c r="A150" s="140" t="s">
        <v>484</v>
      </c>
      <c r="B150" s="148">
        <v>155.4</v>
      </c>
      <c r="C150" s="144" t="s">
        <v>254</v>
      </c>
    </row>
    <row r="151" spans="1:3" s="53" customFormat="1" x14ac:dyDescent="0.2">
      <c r="A151" s="140" t="s">
        <v>324</v>
      </c>
      <c r="B151" s="148">
        <v>23.6</v>
      </c>
      <c r="C151" s="140" t="s">
        <v>254</v>
      </c>
    </row>
    <row r="152" spans="1:3" s="53" customFormat="1" x14ac:dyDescent="0.2">
      <c r="A152" s="140" t="s">
        <v>325</v>
      </c>
      <c r="B152" s="148">
        <v>106.6</v>
      </c>
      <c r="C152" s="140" t="s">
        <v>254</v>
      </c>
    </row>
    <row r="153" spans="1:3" s="53" customFormat="1" x14ac:dyDescent="0.2">
      <c r="A153" s="140" t="s">
        <v>328</v>
      </c>
      <c r="B153" s="148">
        <v>18.5</v>
      </c>
      <c r="C153" s="140" t="s">
        <v>254</v>
      </c>
    </row>
    <row r="154" spans="1:3" s="53" customFormat="1" x14ac:dyDescent="0.2">
      <c r="A154" s="140" t="s">
        <v>329</v>
      </c>
      <c r="B154" s="148">
        <v>97.9</v>
      </c>
      <c r="C154" s="140" t="s">
        <v>254</v>
      </c>
    </row>
    <row r="155" spans="1:3" s="53" customFormat="1" x14ac:dyDescent="0.2">
      <c r="A155" s="140" t="s">
        <v>384</v>
      </c>
      <c r="B155" s="149">
        <v>6</v>
      </c>
      <c r="C155" s="93" t="s">
        <v>69</v>
      </c>
    </row>
    <row r="156" spans="1:3" s="53" customFormat="1" x14ac:dyDescent="0.2">
      <c r="A156" s="140" t="s">
        <v>385</v>
      </c>
      <c r="B156" s="149">
        <v>34</v>
      </c>
      <c r="C156" s="93" t="s">
        <v>69</v>
      </c>
    </row>
    <row r="157" spans="1:3" s="53" customFormat="1" x14ac:dyDescent="0.2">
      <c r="A157" s="140" t="s">
        <v>386</v>
      </c>
      <c r="B157" s="149">
        <v>40</v>
      </c>
      <c r="C157" s="93" t="s">
        <v>69</v>
      </c>
    </row>
    <row r="158" spans="1:3" s="53" customFormat="1" x14ac:dyDescent="0.2">
      <c r="A158" s="140" t="s">
        <v>387</v>
      </c>
      <c r="B158" s="149">
        <v>350</v>
      </c>
      <c r="C158" s="140" t="s">
        <v>26</v>
      </c>
    </row>
    <row r="159" spans="1:3" s="53" customFormat="1" x14ac:dyDescent="0.2">
      <c r="A159" s="140" t="s">
        <v>388</v>
      </c>
      <c r="B159" s="149">
        <v>350</v>
      </c>
      <c r="C159" s="140" t="s">
        <v>26</v>
      </c>
    </row>
    <row r="160" spans="1:3" s="53" customFormat="1" x14ac:dyDescent="0.2">
      <c r="A160" s="140" t="s">
        <v>389</v>
      </c>
      <c r="B160" s="148">
        <v>24</v>
      </c>
      <c r="C160" s="141" t="s">
        <v>224</v>
      </c>
    </row>
    <row r="161" spans="1:3" s="53" customFormat="1" x14ac:dyDescent="0.2">
      <c r="A161" s="140" t="s">
        <v>390</v>
      </c>
      <c r="B161" s="148">
        <v>24</v>
      </c>
      <c r="C161" s="141" t="s">
        <v>224</v>
      </c>
    </row>
    <row r="162" spans="1:3" s="53" customFormat="1" x14ac:dyDescent="0.2">
      <c r="A162" s="140" t="s">
        <v>396</v>
      </c>
      <c r="B162" s="148">
        <v>24</v>
      </c>
      <c r="C162" s="141" t="s">
        <v>224</v>
      </c>
    </row>
    <row r="163" spans="1:3" s="53" customFormat="1" x14ac:dyDescent="0.2">
      <c r="A163" s="139" t="s">
        <v>393</v>
      </c>
      <c r="B163" s="148">
        <v>0.54</v>
      </c>
      <c r="C163" s="144" t="s">
        <v>395</v>
      </c>
    </row>
    <row r="164" spans="1:3" s="53" customFormat="1" x14ac:dyDescent="0.2">
      <c r="A164" s="139" t="s">
        <v>394</v>
      </c>
      <c r="B164" s="148">
        <v>0.71</v>
      </c>
      <c r="C164" s="144" t="s">
        <v>395</v>
      </c>
    </row>
    <row r="165" spans="1:3" s="53" customFormat="1" x14ac:dyDescent="0.2">
      <c r="A165" s="140" t="s">
        <v>391</v>
      </c>
      <c r="B165" s="148">
        <v>12.167999999999999</v>
      </c>
      <c r="C165" s="141" t="s">
        <v>224</v>
      </c>
    </row>
    <row r="166" spans="1:3" s="53" customFormat="1" x14ac:dyDescent="0.2">
      <c r="A166" s="140" t="s">
        <v>392</v>
      </c>
      <c r="B166" s="148">
        <v>10.007999999999999</v>
      </c>
      <c r="C166" s="141" t="s">
        <v>224</v>
      </c>
    </row>
    <row r="167" spans="1:3" s="53" customFormat="1" x14ac:dyDescent="0.2">
      <c r="A167" s="140" t="s">
        <v>397</v>
      </c>
      <c r="B167" s="148">
        <v>1</v>
      </c>
      <c r="C167" s="144" t="s">
        <v>166</v>
      </c>
    </row>
    <row r="168" spans="1:3" s="53" customFormat="1" x14ac:dyDescent="0.2">
      <c r="A168" s="140" t="s">
        <v>398</v>
      </c>
      <c r="B168" s="148">
        <v>1</v>
      </c>
      <c r="C168" s="144" t="s">
        <v>166</v>
      </c>
    </row>
    <row r="169" spans="1:3" s="53" customFormat="1" x14ac:dyDescent="0.2">
      <c r="A169" s="140" t="s">
        <v>103</v>
      </c>
      <c r="B169" s="148">
        <v>0.4</v>
      </c>
      <c r="C169" s="138"/>
    </row>
    <row r="170" spans="1:3" s="53" customFormat="1" x14ac:dyDescent="0.2">
      <c r="A170" s="140" t="s">
        <v>158</v>
      </c>
      <c r="B170" s="148">
        <v>0.4</v>
      </c>
      <c r="C170" s="138"/>
    </row>
    <row r="171" spans="1:3" s="53" customFormat="1" x14ac:dyDescent="0.2">
      <c r="A171" s="140" t="s">
        <v>159</v>
      </c>
      <c r="B171" s="148">
        <v>1</v>
      </c>
      <c r="C171" s="138"/>
    </row>
    <row r="172" spans="1:3" s="53" customFormat="1" x14ac:dyDescent="0.2">
      <c r="A172" s="140" t="s">
        <v>62</v>
      </c>
      <c r="B172" s="148">
        <v>1</v>
      </c>
      <c r="C172" s="138"/>
    </row>
    <row r="173" spans="1:3" s="53" customFormat="1" x14ac:dyDescent="0.2">
      <c r="A173" s="140" t="s">
        <v>255</v>
      </c>
      <c r="B173" s="149">
        <v>1</v>
      </c>
      <c r="C173" s="138"/>
    </row>
    <row r="174" spans="1:3" s="53" customFormat="1" x14ac:dyDescent="0.2">
      <c r="A174" s="144" t="s">
        <v>399</v>
      </c>
      <c r="B174" s="148">
        <v>1</v>
      </c>
      <c r="C174" s="138"/>
    </row>
    <row r="175" spans="1:3" s="53" customFormat="1" x14ac:dyDescent="0.2">
      <c r="A175" s="144" t="s">
        <v>400</v>
      </c>
      <c r="B175" s="148">
        <v>1</v>
      </c>
      <c r="C175" s="138"/>
    </row>
    <row r="176" spans="1:3" s="53" customFormat="1" x14ac:dyDescent="0.2">
      <c r="A176" s="144" t="s">
        <v>401</v>
      </c>
      <c r="B176" s="148">
        <v>1</v>
      </c>
      <c r="C176" s="138"/>
    </row>
    <row r="177" spans="1:3" s="53" customFormat="1" x14ac:dyDescent="0.2">
      <c r="A177" s="144" t="s">
        <v>402</v>
      </c>
      <c r="B177" s="148">
        <v>1</v>
      </c>
      <c r="C177" s="138"/>
    </row>
    <row r="178" spans="1:3" s="53" customFormat="1" x14ac:dyDescent="0.2">
      <c r="A178" s="144" t="s">
        <v>403</v>
      </c>
      <c r="B178" s="148">
        <v>1</v>
      </c>
      <c r="C178" s="138"/>
    </row>
    <row r="179" spans="1:3" s="53" customFormat="1" x14ac:dyDescent="0.2">
      <c r="A179" s="144" t="s">
        <v>404</v>
      </c>
      <c r="B179" s="148">
        <v>1</v>
      </c>
      <c r="C179" s="138"/>
    </row>
    <row r="180" spans="1:3" s="53" customFormat="1" x14ac:dyDescent="0.2">
      <c r="A180" s="144" t="s">
        <v>405</v>
      </c>
      <c r="B180" s="149">
        <v>1</v>
      </c>
      <c r="C180" s="138"/>
    </row>
    <row r="181" spans="1:3" s="53" customFormat="1" x14ac:dyDescent="0.2">
      <c r="A181" s="140" t="s">
        <v>41</v>
      </c>
      <c r="B181" s="149">
        <v>3.62</v>
      </c>
      <c r="C181" s="139" t="s">
        <v>42</v>
      </c>
    </row>
    <row r="182" spans="1:3" s="53" customFormat="1" x14ac:dyDescent="0.2">
      <c r="A182" s="140" t="s">
        <v>46</v>
      </c>
      <c r="B182" s="149">
        <v>0.25</v>
      </c>
      <c r="C182" s="139" t="s">
        <v>47</v>
      </c>
    </row>
    <row r="183" spans="1:3" s="53" customFormat="1" x14ac:dyDescent="0.2">
      <c r="A183" s="144" t="s">
        <v>60</v>
      </c>
      <c r="B183" s="149">
        <v>10950</v>
      </c>
      <c r="C183" s="139" t="s">
        <v>61</v>
      </c>
    </row>
    <row r="184" spans="1:3" s="53" customFormat="1" x14ac:dyDescent="0.2">
      <c r="A184" s="144" t="s">
        <v>65</v>
      </c>
      <c r="B184" s="149">
        <v>240</v>
      </c>
      <c r="C184" s="139" t="s">
        <v>66</v>
      </c>
    </row>
    <row r="185" spans="1:3" s="53" customFormat="1" x14ac:dyDescent="0.2">
      <c r="A185" s="144" t="s">
        <v>76</v>
      </c>
      <c r="B185" s="149">
        <v>0.42</v>
      </c>
      <c r="C185" s="139" t="s">
        <v>47</v>
      </c>
    </row>
    <row r="186" spans="1:3" s="53" customFormat="1" x14ac:dyDescent="0.2">
      <c r="A186" s="144" t="s">
        <v>85</v>
      </c>
      <c r="B186" s="149">
        <v>60</v>
      </c>
      <c r="C186" s="140" t="s">
        <v>61</v>
      </c>
    </row>
    <row r="187" spans="1:3" s="53" customFormat="1" x14ac:dyDescent="0.2">
      <c r="A187" s="144" t="s">
        <v>87</v>
      </c>
      <c r="B187" s="149">
        <v>2</v>
      </c>
      <c r="C187" s="140" t="s">
        <v>66</v>
      </c>
    </row>
    <row r="188" spans="1:3" s="53" customFormat="1" x14ac:dyDescent="0.2">
      <c r="A188" s="144" t="s">
        <v>89</v>
      </c>
      <c r="B188" s="149">
        <v>2.6999999999999999E-5</v>
      </c>
      <c r="C188" s="139" t="s">
        <v>82</v>
      </c>
    </row>
    <row r="189" spans="1:3" s="53" customFormat="1" x14ac:dyDescent="0.2">
      <c r="A189" s="144" t="s">
        <v>91</v>
      </c>
      <c r="B189" s="149">
        <v>1</v>
      </c>
      <c r="C189" s="139" t="s">
        <v>47</v>
      </c>
    </row>
    <row r="190" spans="1:3" s="53" customFormat="1" x14ac:dyDescent="0.2">
      <c r="A190" s="144" t="s">
        <v>92</v>
      </c>
      <c r="B190" s="149">
        <v>14</v>
      </c>
      <c r="C190" s="139" t="s">
        <v>93</v>
      </c>
    </row>
    <row r="191" spans="1:3" s="53" customFormat="1" x14ac:dyDescent="0.2">
      <c r="A191" s="140" t="s">
        <v>29</v>
      </c>
      <c r="B191" s="149">
        <v>92</v>
      </c>
      <c r="C191" s="140" t="s">
        <v>30</v>
      </c>
    </row>
    <row r="192" spans="1:3" s="53" customFormat="1" x14ac:dyDescent="0.2">
      <c r="A192" s="139" t="s">
        <v>287</v>
      </c>
      <c r="B192" s="148">
        <v>1.03</v>
      </c>
      <c r="C192" s="139" t="s">
        <v>288</v>
      </c>
    </row>
    <row r="193" spans="1:3" s="53" customFormat="1" x14ac:dyDescent="0.2">
      <c r="A193" s="140" t="s">
        <v>406</v>
      </c>
      <c r="B193" s="149">
        <v>20.3</v>
      </c>
      <c r="C193" s="139" t="s">
        <v>283</v>
      </c>
    </row>
    <row r="194" spans="1:3" s="53" customFormat="1" x14ac:dyDescent="0.2">
      <c r="A194" s="140" t="s">
        <v>407</v>
      </c>
      <c r="B194" s="149">
        <v>0.4</v>
      </c>
      <c r="C194" s="139" t="s">
        <v>283</v>
      </c>
    </row>
    <row r="195" spans="1:3" s="53" customFormat="1" x14ac:dyDescent="0.2">
      <c r="A195" s="140" t="s">
        <v>408</v>
      </c>
      <c r="B195" s="149">
        <v>1</v>
      </c>
      <c r="C195" s="138"/>
    </row>
    <row r="196" spans="1:3" s="53" customFormat="1" x14ac:dyDescent="0.2">
      <c r="A196" s="140" t="s">
        <v>409</v>
      </c>
      <c r="B196" s="149">
        <v>1</v>
      </c>
      <c r="C196" s="138"/>
    </row>
    <row r="197" spans="1:3" s="53" customFormat="1" x14ac:dyDescent="0.2">
      <c r="A197" s="140" t="s">
        <v>31</v>
      </c>
      <c r="B197" s="149">
        <v>53</v>
      </c>
      <c r="C197" s="140" t="s">
        <v>30</v>
      </c>
    </row>
    <row r="198" spans="1:3" s="53" customFormat="1" x14ac:dyDescent="0.2">
      <c r="A198" s="140" t="s">
        <v>410</v>
      </c>
      <c r="B198" s="149">
        <v>11.77</v>
      </c>
      <c r="C198" s="139" t="s">
        <v>283</v>
      </c>
    </row>
    <row r="199" spans="1:3" s="53" customFormat="1" x14ac:dyDescent="0.2">
      <c r="A199" s="140" t="s">
        <v>411</v>
      </c>
      <c r="B199" s="149">
        <v>0.5</v>
      </c>
      <c r="C199" s="139" t="s">
        <v>283</v>
      </c>
    </row>
    <row r="200" spans="1:3" s="53" customFormat="1" x14ac:dyDescent="0.2">
      <c r="A200" s="140" t="s">
        <v>412</v>
      </c>
      <c r="B200" s="149">
        <v>1</v>
      </c>
      <c r="C200" s="138"/>
    </row>
    <row r="201" spans="1:3" s="53" customFormat="1" x14ac:dyDescent="0.2">
      <c r="A201" s="140" t="s">
        <v>413</v>
      </c>
      <c r="B201" s="149">
        <v>1</v>
      </c>
      <c r="C201" s="138"/>
    </row>
    <row r="202" spans="1:3" s="53" customFormat="1" x14ac:dyDescent="0.2">
      <c r="A202" s="140" t="s">
        <v>173</v>
      </c>
      <c r="B202" s="148">
        <v>0.4</v>
      </c>
      <c r="C202" s="140" t="s">
        <v>30</v>
      </c>
    </row>
    <row r="203" spans="1:3" s="53" customFormat="1" x14ac:dyDescent="0.2">
      <c r="A203" s="140" t="s">
        <v>177</v>
      </c>
      <c r="B203" s="149">
        <v>0.2</v>
      </c>
      <c r="C203" s="139" t="s">
        <v>283</v>
      </c>
    </row>
    <row r="204" spans="1:3" s="53" customFormat="1" x14ac:dyDescent="0.2">
      <c r="A204" s="140" t="s">
        <v>176</v>
      </c>
      <c r="B204" s="149">
        <v>2.1999999999999999E-2</v>
      </c>
      <c r="C204" s="139" t="s">
        <v>283</v>
      </c>
    </row>
    <row r="205" spans="1:3" s="53" customFormat="1" x14ac:dyDescent="0.2">
      <c r="A205" s="140" t="s">
        <v>178</v>
      </c>
      <c r="B205" s="148">
        <v>1</v>
      </c>
      <c r="C205" s="138"/>
    </row>
    <row r="206" spans="1:3" s="53" customFormat="1" x14ac:dyDescent="0.2">
      <c r="A206" s="140" t="s">
        <v>179</v>
      </c>
      <c r="B206" s="148">
        <v>1</v>
      </c>
      <c r="C206" s="138"/>
    </row>
    <row r="207" spans="1:3" s="53" customFormat="1" x14ac:dyDescent="0.2">
      <c r="A207" s="140" t="s">
        <v>414</v>
      </c>
      <c r="B207" s="148">
        <v>0.4</v>
      </c>
      <c r="C207" s="140" t="s">
        <v>30</v>
      </c>
    </row>
    <row r="208" spans="1:3" s="53" customFormat="1" x14ac:dyDescent="0.2">
      <c r="A208" s="140" t="s">
        <v>415</v>
      </c>
      <c r="B208" s="149">
        <v>0.2</v>
      </c>
      <c r="C208" s="139" t="s">
        <v>283</v>
      </c>
    </row>
    <row r="209" spans="1:3" s="53" customFormat="1" x14ac:dyDescent="0.2">
      <c r="A209" s="140" t="s">
        <v>416</v>
      </c>
      <c r="B209" s="149">
        <v>2.1999999999999999E-2</v>
      </c>
      <c r="C209" s="139" t="s">
        <v>283</v>
      </c>
    </row>
    <row r="210" spans="1:3" s="53" customFormat="1" x14ac:dyDescent="0.2">
      <c r="A210" s="140" t="s">
        <v>417</v>
      </c>
      <c r="B210" s="149">
        <v>1</v>
      </c>
      <c r="C210" s="138"/>
    </row>
    <row r="211" spans="1:3" s="53" customFormat="1" x14ac:dyDescent="0.2">
      <c r="A211" s="140" t="s">
        <v>418</v>
      </c>
      <c r="B211" s="149">
        <v>1</v>
      </c>
      <c r="C211" s="138"/>
    </row>
    <row r="212" spans="1:3" s="53" customFormat="1" x14ac:dyDescent="0.2">
      <c r="A212" s="140" t="s">
        <v>174</v>
      </c>
      <c r="B212" s="149">
        <v>11.4</v>
      </c>
      <c r="C212" s="140" t="s">
        <v>30</v>
      </c>
    </row>
    <row r="213" spans="1:3" s="53" customFormat="1" x14ac:dyDescent="0.2">
      <c r="A213" s="140" t="s">
        <v>419</v>
      </c>
      <c r="B213" s="149">
        <v>4.7</v>
      </c>
      <c r="C213" s="139" t="s">
        <v>283</v>
      </c>
    </row>
    <row r="214" spans="1:3" s="53" customFormat="1" x14ac:dyDescent="0.2">
      <c r="A214" s="140" t="s">
        <v>420</v>
      </c>
      <c r="B214" s="149">
        <v>0.37</v>
      </c>
      <c r="C214" s="139" t="s">
        <v>283</v>
      </c>
    </row>
    <row r="215" spans="1:3" s="53" customFormat="1" x14ac:dyDescent="0.2">
      <c r="A215" s="140" t="s">
        <v>421</v>
      </c>
      <c r="B215" s="149">
        <v>1</v>
      </c>
      <c r="C215" s="138"/>
    </row>
    <row r="216" spans="1:3" s="53" customFormat="1" x14ac:dyDescent="0.2">
      <c r="A216" s="140" t="s">
        <v>422</v>
      </c>
      <c r="B216" s="149">
        <v>1</v>
      </c>
      <c r="C216" s="138"/>
    </row>
    <row r="217" spans="1:3" s="53" customFormat="1" x14ac:dyDescent="0.2">
      <c r="A217" s="53" t="s">
        <v>83</v>
      </c>
      <c r="B217" s="163">
        <v>0.5</v>
      </c>
    </row>
    <row r="218" spans="1:3" s="53" customFormat="1" x14ac:dyDescent="0.2">
      <c r="A218" s="558" t="s">
        <v>423</v>
      </c>
      <c r="B218" s="558"/>
      <c r="C218" s="558"/>
    </row>
    <row r="219" spans="1:3" s="53" customFormat="1" x14ac:dyDescent="0.2">
      <c r="A219" s="139" t="s">
        <v>424</v>
      </c>
      <c r="B219" s="148">
        <v>60</v>
      </c>
      <c r="C219" s="141" t="s">
        <v>359</v>
      </c>
    </row>
    <row r="220" spans="1:3" s="53" customFormat="1" x14ac:dyDescent="0.2">
      <c r="A220" s="140" t="s">
        <v>425</v>
      </c>
      <c r="B220" s="148">
        <v>250</v>
      </c>
      <c r="C220" s="139" t="s">
        <v>26</v>
      </c>
    </row>
    <row r="221" spans="1:3" s="53" customFormat="1" x14ac:dyDescent="0.2">
      <c r="A221" s="140" t="s">
        <v>75</v>
      </c>
      <c r="B221" s="149">
        <v>25</v>
      </c>
      <c r="C221" s="139" t="s">
        <v>69</v>
      </c>
    </row>
    <row r="222" spans="1:3" s="53" customFormat="1" x14ac:dyDescent="0.2">
      <c r="A222" s="140" t="s">
        <v>426</v>
      </c>
      <c r="B222" s="148">
        <v>100</v>
      </c>
      <c r="C222" s="141" t="s">
        <v>54</v>
      </c>
    </row>
    <row r="223" spans="1:3" s="53" customFormat="1" x14ac:dyDescent="0.2">
      <c r="A223" s="139" t="s">
        <v>353</v>
      </c>
      <c r="B223" s="149">
        <v>1</v>
      </c>
      <c r="C223" s="138"/>
    </row>
    <row r="224" spans="1:3" s="53" customFormat="1" x14ac:dyDescent="0.2">
      <c r="A224" s="140" t="s">
        <v>56</v>
      </c>
      <c r="B224" s="149">
        <v>1</v>
      </c>
      <c r="C224" s="138"/>
    </row>
    <row r="225" spans="1:3" s="53" customFormat="1" x14ac:dyDescent="0.2">
      <c r="A225" s="140" t="s">
        <v>52</v>
      </c>
      <c r="B225" s="149">
        <v>0.4</v>
      </c>
      <c r="C225" s="138"/>
    </row>
    <row r="226" spans="1:3" s="53" customFormat="1" x14ac:dyDescent="0.2">
      <c r="A226" s="140" t="s">
        <v>62</v>
      </c>
      <c r="B226" s="149">
        <v>1</v>
      </c>
      <c r="C226" s="138"/>
    </row>
    <row r="227" spans="1:3" s="53" customFormat="1" x14ac:dyDescent="0.2">
      <c r="A227" s="140" t="s">
        <v>467</v>
      </c>
      <c r="B227" s="148">
        <v>4</v>
      </c>
      <c r="C227" s="139" t="s">
        <v>224</v>
      </c>
    </row>
    <row r="228" spans="1:3" s="53" customFormat="1" x14ac:dyDescent="0.2">
      <c r="A228" s="140" t="s">
        <v>468</v>
      </c>
      <c r="B228" s="148">
        <v>4</v>
      </c>
      <c r="C228" s="139" t="s">
        <v>224</v>
      </c>
    </row>
    <row r="229" spans="1:3" s="53" customFormat="1" x14ac:dyDescent="0.2">
      <c r="A229" s="140" t="s">
        <v>103</v>
      </c>
      <c r="B229" s="148">
        <v>0.4</v>
      </c>
      <c r="C229" s="138"/>
    </row>
    <row r="230" spans="1:3" s="53" customFormat="1" x14ac:dyDescent="0.2">
      <c r="A230" s="558" t="s">
        <v>427</v>
      </c>
      <c r="B230" s="558"/>
      <c r="C230" s="558"/>
    </row>
    <row r="231" spans="1:3" s="53" customFormat="1" x14ac:dyDescent="0.2">
      <c r="A231" s="139" t="s">
        <v>428</v>
      </c>
      <c r="B231" s="148">
        <v>60</v>
      </c>
      <c r="C231" s="141" t="s">
        <v>359</v>
      </c>
    </row>
    <row r="232" spans="1:3" s="53" customFormat="1" x14ac:dyDescent="0.2">
      <c r="A232" s="140" t="s">
        <v>40</v>
      </c>
      <c r="B232" s="148">
        <v>250</v>
      </c>
      <c r="C232" s="139" t="s">
        <v>26</v>
      </c>
    </row>
    <row r="233" spans="1:3" s="53" customFormat="1" x14ac:dyDescent="0.2">
      <c r="A233" s="140" t="s">
        <v>429</v>
      </c>
      <c r="B233" s="149">
        <v>25</v>
      </c>
      <c r="C233" s="139" t="s">
        <v>69</v>
      </c>
    </row>
    <row r="234" spans="1:3" s="53" customFormat="1" x14ac:dyDescent="0.2">
      <c r="A234" s="140" t="s">
        <v>79</v>
      </c>
      <c r="B234" s="148">
        <v>50</v>
      </c>
      <c r="C234" s="141" t="s">
        <v>54</v>
      </c>
    </row>
    <row r="235" spans="1:3" s="53" customFormat="1" x14ac:dyDescent="0.2">
      <c r="A235" s="139" t="s">
        <v>353</v>
      </c>
      <c r="B235" s="149">
        <v>1</v>
      </c>
      <c r="C235" s="138"/>
    </row>
    <row r="236" spans="1:3" s="53" customFormat="1" x14ac:dyDescent="0.2">
      <c r="A236" s="140" t="s">
        <v>56</v>
      </c>
      <c r="B236" s="149">
        <v>1</v>
      </c>
      <c r="C236" s="138"/>
    </row>
    <row r="237" spans="1:3" s="53" customFormat="1" x14ac:dyDescent="0.2">
      <c r="A237" s="140" t="s">
        <v>52</v>
      </c>
      <c r="B237" s="149">
        <v>0.4</v>
      </c>
      <c r="C237" s="138"/>
    </row>
    <row r="238" spans="1:3" s="53" customFormat="1" x14ac:dyDescent="0.2">
      <c r="A238" s="140" t="s">
        <v>62</v>
      </c>
      <c r="B238" s="149">
        <v>1</v>
      </c>
      <c r="C238" s="138"/>
    </row>
    <row r="239" spans="1:3" s="53" customFormat="1" x14ac:dyDescent="0.2">
      <c r="A239" s="140" t="s">
        <v>469</v>
      </c>
      <c r="B239" s="148">
        <v>0</v>
      </c>
      <c r="C239" s="139" t="s">
        <v>224</v>
      </c>
    </row>
    <row r="240" spans="1:3" s="53" customFormat="1" x14ac:dyDescent="0.2">
      <c r="A240" s="140" t="s">
        <v>470</v>
      </c>
      <c r="B240" s="148">
        <v>8</v>
      </c>
      <c r="C240" s="139" t="s">
        <v>224</v>
      </c>
    </row>
    <row r="241" spans="1:3" s="53" customFormat="1" x14ac:dyDescent="0.2">
      <c r="A241" s="140" t="s">
        <v>103</v>
      </c>
      <c r="B241" s="148">
        <v>0.4</v>
      </c>
      <c r="C241" s="138"/>
    </row>
    <row r="242" spans="1:3" s="53" customFormat="1" x14ac:dyDescent="0.2">
      <c r="A242" s="558" t="s">
        <v>430</v>
      </c>
      <c r="B242" s="558"/>
      <c r="C242" s="558"/>
    </row>
    <row r="243" spans="1:3" s="53" customFormat="1" x14ac:dyDescent="0.2">
      <c r="A243" s="139" t="s">
        <v>58</v>
      </c>
      <c r="B243" s="148">
        <v>60</v>
      </c>
      <c r="C243" s="141" t="s">
        <v>359</v>
      </c>
    </row>
    <row r="244" spans="1:3" s="53" customFormat="1" x14ac:dyDescent="0.2">
      <c r="A244" s="140" t="s">
        <v>431</v>
      </c>
      <c r="B244" s="148">
        <v>225</v>
      </c>
      <c r="C244" s="139" t="s">
        <v>26</v>
      </c>
    </row>
    <row r="245" spans="1:3" s="53" customFormat="1" x14ac:dyDescent="0.2">
      <c r="A245" s="140" t="s">
        <v>432</v>
      </c>
      <c r="B245" s="149">
        <v>25</v>
      </c>
      <c r="C245" s="139" t="s">
        <v>69</v>
      </c>
    </row>
    <row r="246" spans="1:3" s="53" customFormat="1" x14ac:dyDescent="0.2">
      <c r="A246" s="140" t="s">
        <v>433</v>
      </c>
      <c r="B246" s="148">
        <v>100</v>
      </c>
      <c r="C246" s="141" t="s">
        <v>54</v>
      </c>
    </row>
    <row r="247" spans="1:3" s="53" customFormat="1" x14ac:dyDescent="0.2">
      <c r="A247" s="139" t="s">
        <v>353</v>
      </c>
      <c r="B247" s="149">
        <v>1</v>
      </c>
      <c r="C247" s="138"/>
    </row>
    <row r="248" spans="1:3" s="53" customFormat="1" x14ac:dyDescent="0.2">
      <c r="A248" s="140" t="s">
        <v>56</v>
      </c>
      <c r="B248" s="149">
        <v>1</v>
      </c>
      <c r="C248" s="138"/>
    </row>
    <row r="249" spans="1:3" s="53" customFormat="1" x14ac:dyDescent="0.2">
      <c r="A249" s="140" t="s">
        <v>52</v>
      </c>
      <c r="B249" s="149">
        <v>0.4</v>
      </c>
      <c r="C249" s="138"/>
    </row>
    <row r="250" spans="1:3" s="53" customFormat="1" x14ac:dyDescent="0.2">
      <c r="A250" s="140" t="s">
        <v>62</v>
      </c>
      <c r="B250" s="149">
        <v>1</v>
      </c>
      <c r="C250" s="138"/>
    </row>
    <row r="251" spans="1:3" s="53" customFormat="1" x14ac:dyDescent="0.2">
      <c r="A251" s="140" t="s">
        <v>466</v>
      </c>
      <c r="B251" s="148">
        <v>8</v>
      </c>
      <c r="C251" s="139" t="s">
        <v>224</v>
      </c>
    </row>
    <row r="252" spans="1:3" s="53" customFormat="1" x14ac:dyDescent="0.2">
      <c r="A252" s="140" t="s">
        <v>465</v>
      </c>
      <c r="B252" s="148">
        <v>0</v>
      </c>
      <c r="C252" s="139" t="s">
        <v>224</v>
      </c>
    </row>
    <row r="253" spans="1:3" s="53" customFormat="1" x14ac:dyDescent="0.2">
      <c r="A253" s="140" t="s">
        <v>103</v>
      </c>
      <c r="B253" s="148">
        <v>0.4</v>
      </c>
      <c r="C253" s="138"/>
    </row>
    <row r="254" spans="1:3" s="53" customFormat="1" x14ac:dyDescent="0.2">
      <c r="A254" s="558" t="s">
        <v>434</v>
      </c>
      <c r="B254" s="558"/>
      <c r="C254" s="558"/>
    </row>
    <row r="255" spans="1:3" s="53" customFormat="1" x14ac:dyDescent="0.2">
      <c r="A255" s="139" t="s">
        <v>435</v>
      </c>
      <c r="B255" s="148">
        <v>60</v>
      </c>
      <c r="C255" s="141" t="s">
        <v>359</v>
      </c>
    </row>
    <row r="256" spans="1:3" s="53" customFormat="1" x14ac:dyDescent="0.2">
      <c r="A256" s="140" t="s">
        <v>221</v>
      </c>
      <c r="B256" s="148">
        <v>130</v>
      </c>
      <c r="C256" s="139" t="s">
        <v>26</v>
      </c>
    </row>
    <row r="257" spans="1:3" s="53" customFormat="1" x14ac:dyDescent="0.2">
      <c r="A257" s="140" t="s">
        <v>186</v>
      </c>
      <c r="B257" s="149">
        <v>1</v>
      </c>
      <c r="C257" s="139" t="s">
        <v>69</v>
      </c>
    </row>
    <row r="258" spans="1:3" s="53" customFormat="1" x14ac:dyDescent="0.2">
      <c r="A258" s="140" t="s">
        <v>436</v>
      </c>
      <c r="B258" s="148">
        <v>330</v>
      </c>
      <c r="C258" s="141" t="s">
        <v>54</v>
      </c>
    </row>
    <row r="259" spans="1:3" s="53" customFormat="1" x14ac:dyDescent="0.2">
      <c r="A259" s="139" t="s">
        <v>353</v>
      </c>
      <c r="B259" s="149">
        <v>1</v>
      </c>
      <c r="C259" s="138"/>
    </row>
    <row r="260" spans="1:3" s="53" customFormat="1" x14ac:dyDescent="0.2">
      <c r="A260" s="140" t="s">
        <v>56</v>
      </c>
      <c r="B260" s="149">
        <v>1</v>
      </c>
      <c r="C260" s="138"/>
    </row>
    <row r="261" spans="1:3" s="53" customFormat="1" x14ac:dyDescent="0.2">
      <c r="A261" s="140" t="s">
        <v>52</v>
      </c>
      <c r="B261" s="149">
        <v>0.4</v>
      </c>
      <c r="C261" s="138"/>
    </row>
    <row r="262" spans="1:3" s="53" customFormat="1" x14ac:dyDescent="0.2">
      <c r="A262" s="140" t="s">
        <v>62</v>
      </c>
      <c r="B262" s="149">
        <v>1</v>
      </c>
      <c r="C262" s="138"/>
    </row>
    <row r="263" spans="1:3" s="53" customFormat="1" x14ac:dyDescent="0.2">
      <c r="A263" s="140" t="s">
        <v>471</v>
      </c>
      <c r="B263" s="148">
        <v>8</v>
      </c>
      <c r="C263" s="139" t="s">
        <v>224</v>
      </c>
    </row>
    <row r="264" spans="1:3" s="53" customFormat="1" x14ac:dyDescent="0.2">
      <c r="A264" s="140" t="s">
        <v>472</v>
      </c>
      <c r="B264" s="148">
        <v>0</v>
      </c>
      <c r="C264" s="139" t="s">
        <v>224</v>
      </c>
    </row>
    <row r="265" spans="1:3" s="53" customFormat="1" x14ac:dyDescent="0.2">
      <c r="A265" s="140" t="s">
        <v>103</v>
      </c>
      <c r="B265" s="148">
        <v>0.4</v>
      </c>
      <c r="C265" s="138"/>
    </row>
    <row r="266" spans="1:3" s="53" customFormat="1" x14ac:dyDescent="0.2">
      <c r="A266" s="153" t="s">
        <v>220</v>
      </c>
      <c r="B266" s="148">
        <v>5</v>
      </c>
      <c r="C266" s="139" t="s">
        <v>129</v>
      </c>
    </row>
    <row r="267" spans="1:3" s="53" customFormat="1" x14ac:dyDescent="0.2">
      <c r="A267" s="153" t="s">
        <v>219</v>
      </c>
      <c r="B267" s="148">
        <v>26</v>
      </c>
      <c r="C267" s="139" t="s">
        <v>130</v>
      </c>
    </row>
    <row r="268" spans="1:3" s="53" customFormat="1" x14ac:dyDescent="0.2">
      <c r="A268" s="558" t="s">
        <v>437</v>
      </c>
      <c r="B268" s="558"/>
      <c r="C268" s="558"/>
    </row>
    <row r="269" spans="1:3" s="53" customFormat="1" x14ac:dyDescent="0.2">
      <c r="A269" s="139" t="s">
        <v>435</v>
      </c>
      <c r="B269" s="148">
        <v>60</v>
      </c>
      <c r="C269" s="141" t="s">
        <v>359</v>
      </c>
    </row>
    <row r="270" spans="1:3" s="53" customFormat="1" x14ac:dyDescent="0.2">
      <c r="A270" s="140" t="s">
        <v>221</v>
      </c>
      <c r="B270" s="148">
        <v>130</v>
      </c>
      <c r="C270" s="139" t="s">
        <v>26</v>
      </c>
    </row>
    <row r="271" spans="1:3" s="53" customFormat="1" x14ac:dyDescent="0.2">
      <c r="A271" s="140" t="s">
        <v>186</v>
      </c>
      <c r="B271" s="149">
        <v>1</v>
      </c>
      <c r="C271" s="139" t="s">
        <v>69</v>
      </c>
    </row>
    <row r="272" spans="1:3" s="53" customFormat="1" x14ac:dyDescent="0.2">
      <c r="A272" s="140" t="s">
        <v>436</v>
      </c>
      <c r="B272" s="148">
        <v>330</v>
      </c>
      <c r="C272" s="141" t="s">
        <v>54</v>
      </c>
    </row>
    <row r="273" spans="1:3" s="53" customFormat="1" x14ac:dyDescent="0.2">
      <c r="A273" s="140" t="s">
        <v>56</v>
      </c>
      <c r="B273" s="149">
        <v>1</v>
      </c>
      <c r="C273" s="138"/>
    </row>
    <row r="274" spans="1:3" s="53" customFormat="1" x14ac:dyDescent="0.2">
      <c r="A274" s="140" t="s">
        <v>52</v>
      </c>
      <c r="B274" s="149">
        <v>0.4</v>
      </c>
      <c r="C274" s="138"/>
    </row>
    <row r="275" spans="1:3" s="53" customFormat="1" x14ac:dyDescent="0.2">
      <c r="A275" s="140" t="s">
        <v>62</v>
      </c>
      <c r="B275" s="149">
        <v>1</v>
      </c>
      <c r="C275" s="138"/>
    </row>
    <row r="276" spans="1:3" s="53" customFormat="1" x14ac:dyDescent="0.2">
      <c r="A276" s="140" t="s">
        <v>471</v>
      </c>
      <c r="B276" s="148">
        <v>8</v>
      </c>
      <c r="C276" s="139" t="s">
        <v>224</v>
      </c>
    </row>
    <row r="277" spans="1:3" s="53" customFormat="1" x14ac:dyDescent="0.2">
      <c r="A277" s="140" t="s">
        <v>472</v>
      </c>
      <c r="B277" s="148">
        <v>0</v>
      </c>
      <c r="C277" s="139" t="s">
        <v>224</v>
      </c>
    </row>
    <row r="278" spans="1:3" s="53" customFormat="1" x14ac:dyDescent="0.2">
      <c r="A278" s="140" t="s">
        <v>103</v>
      </c>
      <c r="B278" s="148">
        <v>0.4</v>
      </c>
      <c r="C278" s="138"/>
    </row>
    <row r="279" spans="1:3" s="53" customFormat="1" x14ac:dyDescent="0.2">
      <c r="A279" s="140" t="s">
        <v>220</v>
      </c>
      <c r="B279" s="148">
        <v>5</v>
      </c>
      <c r="C279" s="139" t="s">
        <v>129</v>
      </c>
    </row>
    <row r="280" spans="1:3" s="53" customFormat="1" x14ac:dyDescent="0.2">
      <c r="A280" s="140" t="s">
        <v>219</v>
      </c>
      <c r="B280" s="148">
        <v>26</v>
      </c>
      <c r="C280" s="139" t="s">
        <v>130</v>
      </c>
    </row>
    <row r="281" spans="1:3" s="53" customFormat="1" x14ac:dyDescent="0.2">
      <c r="A281" s="663" t="s">
        <v>576</v>
      </c>
      <c r="B281" s="663"/>
      <c r="C281" s="663"/>
    </row>
    <row r="282" spans="1:3" s="53" customFormat="1" x14ac:dyDescent="0.2">
      <c r="A282" s="263" t="s">
        <v>577</v>
      </c>
      <c r="B282" s="283">
        <v>1.5</v>
      </c>
    </row>
    <row r="283" spans="1:3" s="53" customFormat="1" x14ac:dyDescent="0.2">
      <c r="A283" s="249" t="s">
        <v>100</v>
      </c>
      <c r="B283" s="283">
        <v>0.3</v>
      </c>
    </row>
    <row r="284" spans="1:3" s="53" customFormat="1" x14ac:dyDescent="0.2">
      <c r="A284" s="53" t="s">
        <v>107</v>
      </c>
      <c r="B284" s="283">
        <v>26</v>
      </c>
      <c r="C284" s="249" t="s">
        <v>69</v>
      </c>
    </row>
    <row r="285" spans="1:3" s="53" customFormat="1" x14ac:dyDescent="0.2">
      <c r="A285" s="263" t="s">
        <v>39</v>
      </c>
      <c r="B285" s="283">
        <v>70</v>
      </c>
      <c r="C285" s="249" t="s">
        <v>69</v>
      </c>
    </row>
    <row r="286" spans="1:3" s="53" customFormat="1" x14ac:dyDescent="0.2">
      <c r="A286" s="263" t="s">
        <v>83</v>
      </c>
      <c r="B286" s="283">
        <v>1</v>
      </c>
      <c r="C286" s="249" t="s">
        <v>108</v>
      </c>
    </row>
    <row r="287" spans="1:3" s="53" customFormat="1" x14ac:dyDescent="0.2">
      <c r="A287" s="249" t="s">
        <v>109</v>
      </c>
      <c r="B287" s="283">
        <v>1</v>
      </c>
      <c r="C287" s="249" t="s">
        <v>110</v>
      </c>
    </row>
    <row r="288" spans="1:3" s="53" customFormat="1" x14ac:dyDescent="0.2">
      <c r="A288" s="249" t="s">
        <v>114</v>
      </c>
      <c r="B288" s="283">
        <v>0.18</v>
      </c>
      <c r="C288" s="249" t="s">
        <v>108</v>
      </c>
    </row>
    <row r="289" spans="1:3" s="53" customFormat="1" x14ac:dyDescent="0.2">
      <c r="A289" s="249" t="s">
        <v>116</v>
      </c>
      <c r="B289" s="283">
        <v>1</v>
      </c>
      <c r="C289" s="249" t="s">
        <v>113</v>
      </c>
    </row>
    <row r="290" spans="1:3" s="53" customFormat="1" x14ac:dyDescent="0.2">
      <c r="A290" s="249" t="s">
        <v>118</v>
      </c>
      <c r="B290" s="283">
        <v>1</v>
      </c>
      <c r="C290" s="249" t="s">
        <v>113</v>
      </c>
    </row>
    <row r="291" spans="1:3" s="53" customFormat="1" x14ac:dyDescent="0.2">
      <c r="A291" s="249" t="s">
        <v>119</v>
      </c>
      <c r="B291" s="283">
        <v>1</v>
      </c>
      <c r="C291" s="249" t="s">
        <v>113</v>
      </c>
    </row>
  </sheetData>
  <sheetProtection selectLockedCells="1" selectUnlockedCells="1"/>
  <mergeCells count="336">
    <mergeCell ref="A281:C281"/>
    <mergeCell ref="FW1:FY1"/>
    <mergeCell ref="D41:F41"/>
    <mergeCell ref="DH2:DH4"/>
    <mergeCell ref="DG2:DG4"/>
    <mergeCell ref="DF2:DF4"/>
    <mergeCell ref="DE2:DE4"/>
    <mergeCell ref="DD2:DD4"/>
    <mergeCell ref="DC2:DC4"/>
    <mergeCell ref="CS2:CS4"/>
    <mergeCell ref="CR2:CR4"/>
    <mergeCell ref="D29:F29"/>
    <mergeCell ref="DQ2:DQ4"/>
    <mergeCell ref="DP2:DP4"/>
    <mergeCell ref="DO2:DO4"/>
    <mergeCell ref="DN2:DN4"/>
    <mergeCell ref="DM2:DM4"/>
    <mergeCell ref="DL2:DL4"/>
    <mergeCell ref="DK2:DK4"/>
    <mergeCell ref="DJ2:DJ4"/>
    <mergeCell ref="DI2:DI4"/>
    <mergeCell ref="N21:N23"/>
    <mergeCell ref="Q21:Q23"/>
    <mergeCell ref="T2:T4"/>
    <mergeCell ref="AO1:AQ1"/>
    <mergeCell ref="AB1:AB4"/>
    <mergeCell ref="AH2:AH4"/>
    <mergeCell ref="AG2:AG4"/>
    <mergeCell ref="AF2:AF4"/>
    <mergeCell ref="AE2:AE4"/>
    <mergeCell ref="AD2:AD4"/>
    <mergeCell ref="AC2:AC4"/>
    <mergeCell ref="AL1:AN1"/>
    <mergeCell ref="AP2:AP4"/>
    <mergeCell ref="AO2:AO4"/>
    <mergeCell ref="AQ2:AQ4"/>
    <mergeCell ref="O21:O23"/>
    <mergeCell ref="P21:P23"/>
    <mergeCell ref="P2:P4"/>
    <mergeCell ref="S2:S4"/>
    <mergeCell ref="R21:R23"/>
    <mergeCell ref="U2:U4"/>
    <mergeCell ref="R2:R4"/>
    <mergeCell ref="V1:X1"/>
    <mergeCell ref="Y1:AA1"/>
    <mergeCell ref="P1:R1"/>
    <mergeCell ref="S1:U1"/>
    <mergeCell ref="M20:O20"/>
    <mergeCell ref="P20:R20"/>
    <mergeCell ref="M21:M23"/>
    <mergeCell ref="N2:N4"/>
    <mergeCell ref="Q2:Q4"/>
    <mergeCell ref="AI20:AK20"/>
    <mergeCell ref="AL20:AN20"/>
    <mergeCell ref="AM21:AM23"/>
    <mergeCell ref="AK21:AK23"/>
    <mergeCell ref="AJ21:AJ23"/>
    <mergeCell ref="AM2:AM4"/>
    <mergeCell ref="AK2:AK4"/>
    <mergeCell ref="AJ2:AJ4"/>
    <mergeCell ref="V23:X23"/>
    <mergeCell ref="Y23:AA23"/>
    <mergeCell ref="AN2:AN4"/>
    <mergeCell ref="AI2:AI4"/>
    <mergeCell ref="AL21:AL23"/>
    <mergeCell ref="AI21:AI23"/>
    <mergeCell ref="AL2:AL4"/>
    <mergeCell ref="AN21:AN23"/>
    <mergeCell ref="A1:C1"/>
    <mergeCell ref="J1:L1"/>
    <mergeCell ref="G1:I1"/>
    <mergeCell ref="D1:F1"/>
    <mergeCell ref="O2:O4"/>
    <mergeCell ref="M2:M4"/>
    <mergeCell ref="J2:J4"/>
    <mergeCell ref="L2:L4"/>
    <mergeCell ref="K2:K4"/>
    <mergeCell ref="I2:I4"/>
    <mergeCell ref="G2:G4"/>
    <mergeCell ref="H2:H4"/>
    <mergeCell ref="M1:O1"/>
    <mergeCell ref="A14:C17"/>
    <mergeCell ref="A2:C2"/>
    <mergeCell ref="A5:C5"/>
    <mergeCell ref="CC35:CG38"/>
    <mergeCell ref="BK40:BO43"/>
    <mergeCell ref="AF42:AH44"/>
    <mergeCell ref="CT1:CV1"/>
    <mergeCell ref="CW1:CY1"/>
    <mergeCell ref="BV1:BX1"/>
    <mergeCell ref="BY1:CA1"/>
    <mergeCell ref="CB1:CD1"/>
    <mergeCell ref="CE1:CG1"/>
    <mergeCell ref="CH1:CJ1"/>
    <mergeCell ref="BG1:BI1"/>
    <mergeCell ref="BJ1:BL1"/>
    <mergeCell ref="BM1:BO1"/>
    <mergeCell ref="BP1:BR1"/>
    <mergeCell ref="BS1:BU1"/>
    <mergeCell ref="AR1:AT1"/>
    <mergeCell ref="AU1:AW1"/>
    <mergeCell ref="AX1:AZ1"/>
    <mergeCell ref="BA1:BC1"/>
    <mergeCell ref="BD1:BF1"/>
    <mergeCell ref="AI1:AK1"/>
    <mergeCell ref="A268:C268"/>
    <mergeCell ref="A230:C230"/>
    <mergeCell ref="A242:C242"/>
    <mergeCell ref="A254:C254"/>
    <mergeCell ref="A218:C218"/>
    <mergeCell ref="FE1:FG1"/>
    <mergeCell ref="ED1:EF1"/>
    <mergeCell ref="EG1:EI1"/>
    <mergeCell ref="EJ1:EL1"/>
    <mergeCell ref="EM1:EO1"/>
    <mergeCell ref="EP1:ER1"/>
    <mergeCell ref="DO1:DQ1"/>
    <mergeCell ref="DR1:DT1"/>
    <mergeCell ref="DU1:DW1"/>
    <mergeCell ref="DX1:DZ1"/>
    <mergeCell ref="EA1:EC1"/>
    <mergeCell ref="CZ1:DB1"/>
    <mergeCell ref="DC1:DE1"/>
    <mergeCell ref="DF1:DH1"/>
    <mergeCell ref="DI1:DK1"/>
    <mergeCell ref="DL1:DN1"/>
    <mergeCell ref="CK1:CM1"/>
    <mergeCell ref="CN1:CP1"/>
    <mergeCell ref="CQ1:CS1"/>
    <mergeCell ref="A50:C50"/>
    <mergeCell ref="A98:C98"/>
    <mergeCell ref="A132:C132"/>
    <mergeCell ref="HA1:HC1"/>
    <mergeCell ref="HD1:HF1"/>
    <mergeCell ref="GL1:GN1"/>
    <mergeCell ref="GO1:GQ1"/>
    <mergeCell ref="GR1:GT1"/>
    <mergeCell ref="GU1:GW1"/>
    <mergeCell ref="GX1:GZ1"/>
    <mergeCell ref="FZ1:GB1"/>
    <mergeCell ref="GC1:GE1"/>
    <mergeCell ref="GF1:GH1"/>
    <mergeCell ref="GI1:GK1"/>
    <mergeCell ref="FH1:FJ1"/>
    <mergeCell ref="FK1:FM1"/>
    <mergeCell ref="FN1:FP1"/>
    <mergeCell ref="FQ1:FS1"/>
    <mergeCell ref="FT1:FV1"/>
    <mergeCell ref="ES1:EU1"/>
    <mergeCell ref="EV1:EX1"/>
    <mergeCell ref="EY1:FA1"/>
    <mergeCell ref="FB1:FD1"/>
    <mergeCell ref="DR2:DR4"/>
    <mergeCell ref="EQ2:EQ4"/>
    <mergeCell ref="EP2:EP4"/>
    <mergeCell ref="EO2:EO4"/>
    <mergeCell ref="EN2:EN4"/>
    <mergeCell ref="EM2:EM4"/>
    <mergeCell ref="EL2:EL4"/>
    <mergeCell ref="EK2:EK4"/>
    <mergeCell ref="EB2:EB4"/>
    <mergeCell ref="FA2:FA4"/>
    <mergeCell ref="EZ2:EZ4"/>
    <mergeCell ref="EY2:EY4"/>
    <mergeCell ref="EX2:EX4"/>
    <mergeCell ref="EW2:EW4"/>
    <mergeCell ref="EV2:EV4"/>
    <mergeCell ref="EU2:EU4"/>
    <mergeCell ref="ET2:ET4"/>
    <mergeCell ref="ES2:ES4"/>
    <mergeCell ref="FI2:FI4"/>
    <mergeCell ref="FH2:FH4"/>
    <mergeCell ref="FG2:FG4"/>
    <mergeCell ref="FF2:FF4"/>
    <mergeCell ref="FE2:FE4"/>
    <mergeCell ref="FD2:FD4"/>
    <mergeCell ref="FC2:FC4"/>
    <mergeCell ref="FB2:FB4"/>
    <mergeCell ref="ER2:ER4"/>
    <mergeCell ref="FR2:FR4"/>
    <mergeCell ref="FQ2:FQ4"/>
    <mergeCell ref="FP2:FP4"/>
    <mergeCell ref="FO2:FO4"/>
    <mergeCell ref="FN2:FN4"/>
    <mergeCell ref="FM2:FM4"/>
    <mergeCell ref="FL2:FL4"/>
    <mergeCell ref="FK2:FK4"/>
    <mergeCell ref="FJ2:FJ4"/>
    <mergeCell ref="DS2:DS4"/>
    <mergeCell ref="DV2:DV4"/>
    <mergeCell ref="DU2:DU4"/>
    <mergeCell ref="DT2:DT4"/>
    <mergeCell ref="EJ2:EJ4"/>
    <mergeCell ref="EI2:EI4"/>
    <mergeCell ref="EH2:EH4"/>
    <mergeCell ref="EG2:EG4"/>
    <mergeCell ref="EF2:EF4"/>
    <mergeCell ref="EE2:EE4"/>
    <mergeCell ref="ED2:ED4"/>
    <mergeCell ref="EC2:EC4"/>
    <mergeCell ref="EA2:EA4"/>
    <mergeCell ref="DZ2:DZ4"/>
    <mergeCell ref="DY2:DY4"/>
    <mergeCell ref="DX2:DX4"/>
    <mergeCell ref="DW2:DW4"/>
    <mergeCell ref="FT2:FT4"/>
    <mergeCell ref="FS2:FS4"/>
    <mergeCell ref="HC2:HC4"/>
    <mergeCell ref="HB2:HB4"/>
    <mergeCell ref="HA2:HA4"/>
    <mergeCell ref="GZ2:GZ4"/>
    <mergeCell ref="GY2:GY4"/>
    <mergeCell ref="GX2:GX4"/>
    <mergeCell ref="GW2:GW4"/>
    <mergeCell ref="GV2:GV4"/>
    <mergeCell ref="GU2:GU4"/>
    <mergeCell ref="GT2:GT4"/>
    <mergeCell ref="GS2:GS4"/>
    <mergeCell ref="GR2:GR4"/>
    <mergeCell ref="GQ2:GQ4"/>
    <mergeCell ref="GP2:GP4"/>
    <mergeCell ref="GO2:GO4"/>
    <mergeCell ref="GN2:GN4"/>
    <mergeCell ref="GM2:GM4"/>
    <mergeCell ref="GL2:GL4"/>
    <mergeCell ref="GK2:GK4"/>
    <mergeCell ref="GE2:GE4"/>
    <mergeCell ref="GD2:GD4"/>
    <mergeCell ref="GC2:GC4"/>
    <mergeCell ref="GJ2:GJ4"/>
    <mergeCell ref="GI2:GI4"/>
    <mergeCell ref="GH2:GH4"/>
    <mergeCell ref="GG2:GG4"/>
    <mergeCell ref="GF2:GF4"/>
    <mergeCell ref="HD21:HF21"/>
    <mergeCell ref="FW2:FW4"/>
    <mergeCell ref="FV2:FV4"/>
    <mergeCell ref="FU2:FU4"/>
    <mergeCell ref="GB2:GB4"/>
    <mergeCell ref="GA2:GA4"/>
    <mergeCell ref="FZ2:FZ4"/>
    <mergeCell ref="FY2:FY4"/>
    <mergeCell ref="FX2:FX4"/>
    <mergeCell ref="CQ2:CQ4"/>
    <mergeCell ref="CP2:CP4"/>
    <mergeCell ref="CO2:CO4"/>
    <mergeCell ref="CN2:CN4"/>
    <mergeCell ref="CM2:CM4"/>
    <mergeCell ref="CL2:CL4"/>
    <mergeCell ref="CK2:CK4"/>
    <mergeCell ref="CM19:CM21"/>
    <mergeCell ref="CP19:CP21"/>
    <mergeCell ref="CL19:CL21"/>
    <mergeCell ref="CO19:CO21"/>
    <mergeCell ref="CN19:CN21"/>
    <mergeCell ref="CK19:CK21"/>
    <mergeCell ref="CQ19:CQ21"/>
    <mergeCell ref="CQ18:CS18"/>
    <mergeCell ref="CN18:CP18"/>
    <mergeCell ref="CK18:CM18"/>
    <mergeCell ref="CS19:CS21"/>
    <mergeCell ref="CR19:CR21"/>
    <mergeCell ref="CE18:CG18"/>
    <mergeCell ref="CB18:CD18"/>
    <mergeCell ref="CD2:CD4"/>
    <mergeCell ref="CG2:CG4"/>
    <mergeCell ref="CJ2:CJ4"/>
    <mergeCell ref="CG19:CG21"/>
    <mergeCell ref="CD19:CD21"/>
    <mergeCell ref="CC19:CC21"/>
    <mergeCell ref="CF19:CF21"/>
    <mergeCell ref="CI2:CI4"/>
    <mergeCell ref="CF2:CF4"/>
    <mergeCell ref="CC2:CC4"/>
    <mergeCell ref="CE2:CE4"/>
    <mergeCell ref="CB2:CB4"/>
    <mergeCell ref="CE19:CE21"/>
    <mergeCell ref="CB19:CB21"/>
    <mergeCell ref="CH2:CH4"/>
    <mergeCell ref="CA2:CA4"/>
    <mergeCell ref="BZ2:BZ4"/>
    <mergeCell ref="BY2:BY4"/>
    <mergeCell ref="BX2:BX4"/>
    <mergeCell ref="BW2:BW4"/>
    <mergeCell ref="BV2:BV4"/>
    <mergeCell ref="BA20:BC20"/>
    <mergeCell ref="BD20:BF20"/>
    <mergeCell ref="BJ20:BL20"/>
    <mergeCell ref="BM20:BO20"/>
    <mergeCell ref="BA2:BA4"/>
    <mergeCell ref="BJ2:BJ4"/>
    <mergeCell ref="BN21:BN23"/>
    <mergeCell ref="BO21:BO23"/>
    <mergeCell ref="BR2:BR4"/>
    <mergeCell ref="BQ2:BQ4"/>
    <mergeCell ref="BO2:BO4"/>
    <mergeCell ref="BN2:BN4"/>
    <mergeCell ref="BL2:BL4"/>
    <mergeCell ref="BK2:BK4"/>
    <mergeCell ref="BP2:BP4"/>
    <mergeCell ref="AR2:AR4"/>
    <mergeCell ref="BF21:BF23"/>
    <mergeCell ref="BE21:BE23"/>
    <mergeCell ref="BC21:BC23"/>
    <mergeCell ref="BB21:BB23"/>
    <mergeCell ref="BF2:BF4"/>
    <mergeCell ref="BE2:BE4"/>
    <mergeCell ref="BC2:BC4"/>
    <mergeCell ref="BB2:BB4"/>
    <mergeCell ref="AR20:AT20"/>
    <mergeCell ref="AU20:AW20"/>
    <mergeCell ref="AT21:AT23"/>
    <mergeCell ref="AS21:AS23"/>
    <mergeCell ref="AW2:AW4"/>
    <mergeCell ref="AV2:AV4"/>
    <mergeCell ref="AT2:AT4"/>
    <mergeCell ref="AS2:AS4"/>
    <mergeCell ref="BA21:BA23"/>
    <mergeCell ref="AR21:AR23"/>
    <mergeCell ref="BJ21:BJ23"/>
    <mergeCell ref="AU2:AU4"/>
    <mergeCell ref="AU21:AU23"/>
    <mergeCell ref="BD2:BD4"/>
    <mergeCell ref="BD21:BD23"/>
    <mergeCell ref="BM2:BM4"/>
    <mergeCell ref="BM21:BM23"/>
    <mergeCell ref="BG2:BG4"/>
    <mergeCell ref="AX2:AX4"/>
    <mergeCell ref="AZ2:AZ4"/>
    <mergeCell ref="AY2:AY4"/>
    <mergeCell ref="AW21:AW23"/>
    <mergeCell ref="AV21:AV23"/>
    <mergeCell ref="BI2:BI4"/>
    <mergeCell ref="BH2:BH4"/>
    <mergeCell ref="BK21:BK23"/>
    <mergeCell ref="BL21:BL23"/>
  </mergeCells>
  <pageMargins left="0.75" right="0.75" top="1" bottom="1" header="0.51180555555555551" footer="0.51180555555555551"/>
  <pageSetup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3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13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13" style="289" bestFit="1" customWidth="1"/>
    <col min="12" max="12" width="17.140625" style="249" bestFit="1" customWidth="1"/>
    <col min="13" max="13" width="11" style="249" bestFit="1" customWidth="1"/>
    <col min="14" max="14" width="13" style="289" bestFit="1" customWidth="1"/>
    <col min="15" max="15" width="21.28515625" style="249" bestFit="1" customWidth="1"/>
    <col min="16" max="16" width="12.42578125" style="249" bestFit="1" customWidth="1"/>
    <col min="17" max="17" width="13" style="289" bestFit="1" customWidth="1"/>
    <col min="18" max="18" width="18.7109375" style="249" bestFit="1" customWidth="1"/>
    <col min="19" max="19" width="13.5703125" style="249" bestFit="1" customWidth="1"/>
    <col min="20" max="20" width="13" style="289" bestFit="1" customWidth="1"/>
    <col min="21" max="21" width="18.7109375" style="249" bestFit="1" customWidth="1"/>
    <col min="22" max="22" width="10" style="249" bestFit="1" customWidth="1"/>
    <col min="23" max="23" width="13" style="289" bestFit="1" customWidth="1"/>
    <col min="24" max="24" width="17.42578125" style="249" bestFit="1" customWidth="1"/>
    <col min="25" max="25" width="10" style="249" bestFit="1" customWidth="1"/>
    <col min="26" max="26" width="13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13" style="289" bestFit="1" customWidth="1"/>
    <col min="37" max="37" width="17.42578125" style="249" bestFit="1" customWidth="1"/>
    <col min="38" max="38" width="11" style="249" bestFit="1" customWidth="1"/>
    <col min="39" max="39" width="13" style="289" bestFit="1" customWidth="1"/>
    <col min="40" max="40" width="16.42578125" style="249" bestFit="1" customWidth="1"/>
    <col min="41" max="41" width="12.7109375" style="249" bestFit="1" customWidth="1"/>
    <col min="42" max="42" width="13" style="289" bestFit="1" customWidth="1"/>
    <col min="43" max="43" width="16.42578125" style="249" bestFit="1" customWidth="1"/>
    <col min="44" max="44" width="9.5703125" style="249" bestFit="1" customWidth="1"/>
    <col min="45" max="45" width="13" style="289" bestFit="1" customWidth="1"/>
    <col min="46" max="46" width="17.42578125" style="249" bestFit="1" customWidth="1"/>
    <col min="47" max="47" width="11" style="249" bestFit="1" customWidth="1"/>
    <col min="48" max="48" width="13" style="289" bestFit="1" customWidth="1"/>
    <col min="49" max="49" width="16.42578125" style="249" bestFit="1" customWidth="1"/>
    <col min="50" max="50" width="12.7109375" style="249" bestFit="1" customWidth="1"/>
    <col min="51" max="51" width="13" style="289" bestFit="1" customWidth="1"/>
    <col min="52" max="52" width="16.42578125" style="249" bestFit="1" customWidth="1"/>
    <col min="53" max="53" width="9.5703125" style="249" bestFit="1" customWidth="1"/>
    <col min="54" max="54" width="13" style="289" bestFit="1" customWidth="1"/>
    <col min="55" max="55" width="17.42578125" style="249" bestFit="1" customWidth="1"/>
    <col min="56" max="56" width="11" style="249" bestFit="1" customWidth="1"/>
    <col min="57" max="57" width="13" style="289" bestFit="1" customWidth="1"/>
    <col min="58" max="58" width="16.42578125" style="249" bestFit="1" customWidth="1"/>
    <col min="59" max="59" width="12.7109375" style="249" bestFit="1" customWidth="1"/>
    <col min="60" max="60" width="13" style="289" bestFit="1" customWidth="1"/>
    <col min="61" max="61" width="16.42578125" style="249" bestFit="1" customWidth="1"/>
    <col min="62" max="62" width="11" style="249" bestFit="1" customWidth="1"/>
    <col min="63" max="63" width="13" style="289" bestFit="1" customWidth="1"/>
    <col min="64" max="64" width="17.42578125" style="249" bestFit="1" customWidth="1"/>
    <col min="65" max="65" width="12.42578125" style="249" bestFit="1" customWidth="1"/>
    <col min="66" max="66" width="13" style="289" bestFit="1" customWidth="1"/>
    <col min="67" max="67" width="16.42578125" style="249" bestFit="1" customWidth="1"/>
    <col min="68" max="68" width="13.5703125" style="249" bestFit="1" customWidth="1"/>
    <col min="69" max="69" width="13" style="289" bestFit="1" customWidth="1"/>
    <col min="70" max="70" width="16.42578125" style="249" bestFit="1" customWidth="1"/>
    <col min="71" max="71" width="10" style="249" bestFit="1" customWidth="1"/>
    <col min="72" max="72" width="13" style="289" bestFit="1" customWidth="1"/>
    <col min="73" max="73" width="17.42578125" style="249" bestFit="1" customWidth="1"/>
    <col min="74" max="74" width="11.5703125" style="249" bestFit="1" customWidth="1"/>
    <col min="75" max="75" width="13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13" style="289" bestFit="1" customWidth="1"/>
    <col min="82" max="82" width="17.42578125" style="249" bestFit="1" customWidth="1"/>
    <col min="83" max="83" width="12.42578125" style="249" bestFit="1" customWidth="1"/>
    <col min="84" max="84" width="13" style="289" bestFit="1" customWidth="1"/>
    <col min="85" max="85" width="16.42578125" style="249" bestFit="1" customWidth="1"/>
    <col min="86" max="86" width="13.5703125" style="249" bestFit="1" customWidth="1"/>
    <col min="87" max="87" width="13" style="289" bestFit="1" customWidth="1"/>
    <col min="88" max="88" width="16.42578125" style="249" bestFit="1" customWidth="1"/>
    <col min="89" max="89" width="8.7109375" style="249" bestFit="1" customWidth="1"/>
    <col min="90" max="90" width="13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" style="249" bestFit="1" customWidth="1"/>
    <col min="98" max="98" width="14.5703125" style="249" bestFit="1" customWidth="1"/>
    <col min="99" max="99" width="13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13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5.57031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13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" style="249" bestFit="1" customWidth="1"/>
    <col min="128" max="128" width="12" style="249" bestFit="1" customWidth="1"/>
    <col min="129" max="129" width="8.85546875" style="289" bestFit="1" customWidth="1"/>
    <col min="130" max="130" width="5.57031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" style="249" bestFit="1" customWidth="1"/>
    <col min="143" max="143" width="12" style="249" bestFit="1" customWidth="1"/>
    <col min="144" max="144" width="8.85546875" style="289" bestFit="1" customWidth="1"/>
    <col min="145" max="145" width="5.5703125" style="249" bestFit="1" customWidth="1"/>
    <col min="146" max="146" width="12" style="249" bestFit="1" customWidth="1"/>
    <col min="147" max="147" width="8.85546875" style="289" bestFit="1" customWidth="1"/>
    <col min="148" max="148" width="5.57031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" style="249" bestFit="1" customWidth="1"/>
    <col min="158" max="158" width="8.5703125" style="249" bestFit="1" customWidth="1"/>
    <col min="159" max="159" width="9.28515625" style="289" bestFit="1" customWidth="1"/>
    <col min="160" max="160" width="5.5703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5.5703125" style="249" bestFit="1" customWidth="1"/>
    <col min="173" max="173" width="4.85546875" style="249" bestFit="1" customWidth="1"/>
    <col min="174" max="174" width="9.28515625" style="289" bestFit="1" customWidth="1"/>
    <col min="175" max="175" width="5.5703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" style="249" bestFit="1" customWidth="1"/>
    <col min="188" max="188" width="12" style="249" bestFit="1" customWidth="1"/>
    <col min="189" max="189" width="9.28515625" style="289" bestFit="1" customWidth="1"/>
    <col min="190" max="190" width="5.5703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" style="249" bestFit="1" customWidth="1"/>
    <col min="203" max="203" width="12" style="249" bestFit="1" customWidth="1"/>
    <col min="204" max="204" width="9.28515625" style="289" bestFit="1" customWidth="1"/>
    <col min="205" max="205" width="5.57031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customHeight="1" thickTop="1" thickBot="1" x14ac:dyDescent="0.25">
      <c r="A1" s="691" t="s">
        <v>279</v>
      </c>
      <c r="B1" s="692"/>
      <c r="C1" s="693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4"/>
      <c r="P1" s="645" t="s">
        <v>512</v>
      </c>
      <c r="Q1" s="613"/>
      <c r="R1" s="614"/>
      <c r="S1" s="645" t="s">
        <v>513</v>
      </c>
      <c r="T1" s="613"/>
      <c r="U1" s="646"/>
      <c r="V1" s="631" t="s">
        <v>517</v>
      </c>
      <c r="W1" s="632"/>
      <c r="X1" s="697"/>
      <c r="Y1" s="633" t="s">
        <v>518</v>
      </c>
      <c r="Z1" s="632"/>
      <c r="AA1" s="634"/>
      <c r="AB1" s="698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703"/>
      <c r="CB1" s="409" t="s">
        <v>535</v>
      </c>
      <c r="CC1" s="407"/>
      <c r="CD1" s="414"/>
      <c r="CE1" s="406" t="s">
        <v>536</v>
      </c>
      <c r="CF1" s="407"/>
      <c r="CG1" s="414"/>
      <c r="CH1" s="406" t="s">
        <v>537</v>
      </c>
      <c r="CI1" s="407"/>
      <c r="CJ1" s="408"/>
      <c r="CK1" s="409" t="s">
        <v>538</v>
      </c>
      <c r="CL1" s="407"/>
      <c r="CM1" s="414"/>
      <c r="CN1" s="406" t="s">
        <v>538</v>
      </c>
      <c r="CO1" s="407"/>
      <c r="CP1" s="414"/>
      <c r="CQ1" s="406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1/((1/H10)+(1/H11)+(1/H12)+(1/H13))</f>
        <v>6.8329336650419512E-5</v>
      </c>
      <c r="I2" s="625" t="s">
        <v>304</v>
      </c>
      <c r="J2" s="619" t="s">
        <v>507</v>
      </c>
      <c r="K2" s="623">
        <f>1/((1/K14)+(1/K15)+(1/K16)+(1/K17))</f>
        <v>3.7291343596122556E-3</v>
      </c>
      <c r="L2" s="621" t="s">
        <v>303</v>
      </c>
      <c r="M2" s="617" t="s">
        <v>516</v>
      </c>
      <c r="N2" s="647">
        <f>((N5*N6*N7)/((1-EXP(-N7*N6))*N10*N15*(N9/365)*N13*(((N14/24)*N12)+((N16/24)*N11))))/N17</f>
        <v>4.2549215061825603E-3</v>
      </c>
      <c r="O2" s="689" t="s">
        <v>303</v>
      </c>
      <c r="P2" s="639" t="s">
        <v>516</v>
      </c>
      <c r="Q2" s="647">
        <f>((Q5*Q6*Q7)/((1-EXP(-Q7*Q6))*Q10*Q15*(Q9/365)*Q13*(((Q14/24)*Q12)+((Q16/24)*Q11))))/Q17</f>
        <v>3.5883838664736802E-3</v>
      </c>
      <c r="R2" s="637" t="s">
        <v>303</v>
      </c>
      <c r="S2" s="639" t="s">
        <v>516</v>
      </c>
      <c r="T2" s="647">
        <f>((T5*T6*T7)/((1-EXP(-T7*T6))*T10*T15*(T9/365)*T13*(((T14/24)*T12)+((T16/24)*T11))))/T17</f>
        <v>7.8850013908040087E-4</v>
      </c>
      <c r="U2" s="643" t="s">
        <v>303</v>
      </c>
      <c r="V2" s="55"/>
      <c r="W2" s="357"/>
      <c r="X2" s="56"/>
      <c r="Y2" s="57"/>
      <c r="Z2" s="357"/>
      <c r="AA2" s="58"/>
      <c r="AB2" s="699"/>
      <c r="AC2" s="660">
        <f>1/((1/AC32)+(1/AC33)+(1/AC34))</f>
        <v>2.8089396335653088E-2</v>
      </c>
      <c r="AD2" s="657">
        <f>1/((1/AD32)+(1/AD33)+(1/AD34))</f>
        <v>6.9860723866472338E-2</v>
      </c>
      <c r="AE2" s="657">
        <f>1/((1/AE32)+(1/AE33)+(1/AE34))</f>
        <v>2.8089396335653088E-2</v>
      </c>
      <c r="AF2" s="657">
        <f>1/((1/AF32)+(1/AF33)+(1/AF34))</f>
        <v>0.14905898670955006</v>
      </c>
      <c r="AG2" s="654">
        <f>1/((1/AG32)+(1/AG33)+(1/AG34))</f>
        <v>0.27239144049627556</v>
      </c>
      <c r="AH2" s="701" t="s">
        <v>303</v>
      </c>
      <c r="AI2" s="381" t="s">
        <v>516</v>
      </c>
      <c r="AJ2" s="387">
        <f>((AJ5*AJ6*AJ7)/((1-EXP(-AJ7*AJ6))*AJ15*(AJ9/365)*AJ10*(AJ16/24)*AJ11*AJ13))/AJ17</f>
        <v>7.0467435809879089E-2</v>
      </c>
      <c r="AK2" s="629" t="s">
        <v>303</v>
      </c>
      <c r="AL2" s="383" t="s">
        <v>516</v>
      </c>
      <c r="AM2" s="387">
        <f>((AM5*AM6*AM7)/((1-EXP(-AM7*AM6))*AM15*(AM9/365)*AM10*(AM16/24)*AM11*AM13))/AM17</f>
        <v>0.37818227152457567</v>
      </c>
      <c r="AN2" s="629" t="s">
        <v>303</v>
      </c>
      <c r="AO2" s="383" t="s">
        <v>516</v>
      </c>
      <c r="AP2" s="387">
        <f>((AP5*AP6*AP7)/((1-EXP(-AP7*AP6))*AP15*(AP9/365)*AP10*(AP16/24)*AP11*AP13))/AP17</f>
        <v>8.3100578085005483E-2</v>
      </c>
      <c r="AQ2" s="635" t="s">
        <v>303</v>
      </c>
      <c r="AR2" s="381" t="s">
        <v>516</v>
      </c>
      <c r="AS2" s="387">
        <f>((AS5*AS6*AS7)/((1-EXP(-AS7*AS6))*AS15*(AS9/365)*AS10*(AS14/24)*AS12*AS13))/AS17</f>
        <v>2.818697432395164E-2</v>
      </c>
      <c r="AT2" s="391" t="s">
        <v>303</v>
      </c>
      <c r="AU2" s="383" t="s">
        <v>516</v>
      </c>
      <c r="AV2" s="387">
        <f>((AV5*AV6*AV7)/((1-EXP(-AV7*AV6))*AV15*(AV9/365)*AV10*(AV14/24)*AV12*AV13))/AV17</f>
        <v>0.15127290860983028</v>
      </c>
      <c r="AW2" s="391" t="s">
        <v>303</v>
      </c>
      <c r="AX2" s="383" t="s">
        <v>516</v>
      </c>
      <c r="AY2" s="387">
        <f>((AY5*AY6*AY7)/((1-EXP(-AY7*AY6))*AY15*(AY9/365)*AY10*(AY14/24)*AY12*AY13))/AY17</f>
        <v>3.3240231234002195E-2</v>
      </c>
      <c r="AZ2" s="385" t="s">
        <v>303</v>
      </c>
      <c r="BA2" s="381" t="s">
        <v>516</v>
      </c>
      <c r="BB2" s="387">
        <f>((BB5*BB6*BB7)/((1-EXP(-BB7*BB6))*BB15*(BB9/365)*BB10*((BB14+BB16)/24)*BB12*BB13))/BB17</f>
        <v>2.818697432395164E-2</v>
      </c>
      <c r="BC2" s="391" t="s">
        <v>303</v>
      </c>
      <c r="BD2" s="383" t="s">
        <v>516</v>
      </c>
      <c r="BE2" s="387">
        <f>((BE5*BE6*BE7)/((1-EXP(-BE7*BE6))*BE15*(BE9/365)*BE10*((BE14+BE16)/24)*BE12*BE13))/BE17</f>
        <v>0.15127290860983028</v>
      </c>
      <c r="BF2" s="391" t="s">
        <v>303</v>
      </c>
      <c r="BG2" s="383" t="s">
        <v>516</v>
      </c>
      <c r="BH2" s="387">
        <f>((BH5*BH6*BH7)/((1-EXP(-BH7*BH6))*BH15*(BH9/365)*BH10*((BH14+BH16)/24)*BH12*BH13))/BH17</f>
        <v>3.3240231234002195E-2</v>
      </c>
      <c r="BI2" s="385" t="s">
        <v>303</v>
      </c>
      <c r="BJ2" s="381" t="s">
        <v>558</v>
      </c>
      <c r="BK2" s="389">
        <f>((BK5*BK6*BK7)/((1-EXP(-BK7*BK6))*BK12*BK16*(BK9/365)*BK14*(BK15/24)*BK13))/BK17</f>
        <v>0.28701301649510874</v>
      </c>
      <c r="BL2" s="391" t="s">
        <v>303</v>
      </c>
      <c r="BM2" s="383" t="s">
        <v>559</v>
      </c>
      <c r="BN2" s="389">
        <f>((BN5*BN6*BN7)/((1-EXP(-BN7*BN6))*BN12*BN16*(BN9/365)*BN14*(BN15/24)*BN13))/BN17</f>
        <v>4.1725392948119477</v>
      </c>
      <c r="BO2" s="391" t="s">
        <v>303</v>
      </c>
      <c r="BP2" s="383" t="s">
        <v>560</v>
      </c>
      <c r="BQ2" s="389">
        <f>((BQ5*BQ6*BQ7)/((1-EXP(-BQ7*BQ6))*BQ12*BQ16*(BQ9/365)*BQ14*(BQ15/24)*BQ13))/BQ17</f>
        <v>0.43823062628049975</v>
      </c>
      <c r="BR2" s="385" t="s">
        <v>303</v>
      </c>
      <c r="BS2" s="59"/>
      <c r="BT2" s="110"/>
      <c r="BU2" s="250"/>
      <c r="BV2" s="402" t="s">
        <v>563</v>
      </c>
      <c r="BW2" s="400">
        <f>1/((1/BW10)+(1/BW11))</f>
        <v>9.8619231005433444E-3</v>
      </c>
      <c r="BX2" s="404" t="s">
        <v>304</v>
      </c>
      <c r="BY2" s="402" t="s">
        <v>563</v>
      </c>
      <c r="BZ2" s="400">
        <f>1/((1/BZ13)+(1/BZ14)+(1/BZ15))</f>
        <v>0.14549814220444673</v>
      </c>
      <c r="CA2" s="398" t="s">
        <v>303</v>
      </c>
      <c r="CB2" s="410" t="s">
        <v>558</v>
      </c>
      <c r="CC2" s="400">
        <f>((CC5*CC6*CC7)/((1-EXP(-CC7*CC6))*CC10*CC14*(CC9/365)*CC12*(CC13/24)*CC11))/CC15</f>
        <v>0.20330242542636834</v>
      </c>
      <c r="CD2" s="404" t="s">
        <v>303</v>
      </c>
      <c r="CE2" s="402" t="s">
        <v>559</v>
      </c>
      <c r="CF2" s="400">
        <f>((CF5*CF6*CF7)/((1-EXP(-CF7*CF6))*CF10*CF14*(CF9/365)*CF12*(CF13/24)*CF11))/CF15</f>
        <v>2.955571037094598</v>
      </c>
      <c r="CG2" s="404" t="s">
        <v>303</v>
      </c>
      <c r="CH2" s="402" t="s">
        <v>560</v>
      </c>
      <c r="CI2" s="400">
        <f>((CI5*CI6*CI7)/((1-EXP(-CI7*CI6))*CI10*CI14*(CI9/365)*CI12*(CI13/24)*CI11))/CI15</f>
        <v>0.31041570973649651</v>
      </c>
      <c r="CJ2" s="398" t="s">
        <v>303</v>
      </c>
      <c r="CK2" s="410" t="s">
        <v>510</v>
      </c>
      <c r="CL2" s="400">
        <f>(CL5/(CL6*CL7*CL8*CL9))/CL10</f>
        <v>3.6893562073418228E-2</v>
      </c>
      <c r="CM2" s="404" t="s">
        <v>303</v>
      </c>
      <c r="CN2" s="402" t="s">
        <v>7</v>
      </c>
      <c r="CO2" s="400" t="e">
        <f>(CL2/(CO5*((CO10*CO12*CO13*(CO6+CO7))+(CO11*CO12))))*CL13</f>
        <v>#DIV/0!</v>
      </c>
      <c r="CP2" s="412" t="s">
        <v>303</v>
      </c>
      <c r="CQ2" s="402" t="s">
        <v>6</v>
      </c>
      <c r="CR2" s="400" t="e">
        <f>CL2/(CR5*CR6*(1/CR7))</f>
        <v>#DIV/0!</v>
      </c>
      <c r="CS2" s="415" t="s">
        <v>304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((DD5)/(DD6*(DD7+DD10)*DD20))/DD23</f>
        <v>1.9818855659274254E-4</v>
      </c>
      <c r="DE2" s="672" t="s">
        <v>303</v>
      </c>
      <c r="DF2" s="670" t="s">
        <v>510</v>
      </c>
      <c r="DG2" s="668">
        <f>(DD2/((1/DG24)*(DG5+DG6+DG7)))</f>
        <v>1.4785025481626185E-2</v>
      </c>
      <c r="DH2" s="666" t="s">
        <v>304</v>
      </c>
      <c r="DI2" s="680" t="s">
        <v>510</v>
      </c>
      <c r="DJ2" s="668">
        <f>(DD2/(DJ5+DJ6))*CU11</f>
        <v>7.2593235320010142E-4</v>
      </c>
      <c r="DK2" s="666" t="s">
        <v>304</v>
      </c>
      <c r="DL2" s="680" t="s">
        <v>554</v>
      </c>
      <c r="DM2" s="668">
        <f>(DD2/(DM5+DM6))*((DM9*DD21)/(1-EXP(-DD21*DM9)))</f>
        <v>7.2593235320010142E-4</v>
      </c>
      <c r="DN2" s="666" t="s">
        <v>304</v>
      </c>
      <c r="DO2" s="680" t="s">
        <v>553</v>
      </c>
      <c r="DP2" s="668">
        <f>-(DP5+DP6+DP7)/(DP23+DP24)</f>
        <v>-48.781547491595369</v>
      </c>
      <c r="DQ2" s="678" t="s">
        <v>19</v>
      </c>
      <c r="DR2" s="556" t="s">
        <v>510</v>
      </c>
      <c r="DS2" s="460">
        <f>(DS5/(DS6*DS7*DS16))/DS20</f>
        <v>3.9637711318548508E-4</v>
      </c>
      <c r="DT2" s="466" t="s">
        <v>303</v>
      </c>
      <c r="DU2" s="464" t="s">
        <v>510</v>
      </c>
      <c r="DV2" s="462">
        <f>DS2/(DV5*(1/DV8)*DV6*(1/DV7))</f>
        <v>11.678158655064349</v>
      </c>
      <c r="DW2" s="480" t="s">
        <v>304</v>
      </c>
      <c r="DX2" s="478" t="s">
        <v>510</v>
      </c>
      <c r="DY2" s="462">
        <f>(DS2/(DY9*(1/DY14)*((DY10*DY12*DY13*(DY5+DY6))+(DY11*DY12))))*CU11</f>
        <v>0.18580194396726007</v>
      </c>
      <c r="DZ2" s="480" t="s">
        <v>304</v>
      </c>
      <c r="EA2" s="478" t="s">
        <v>554</v>
      </c>
      <c r="EB2" s="462">
        <f>(DS2/(EB9*(1/EB14)*((EB10*EB12*EB13*(EB5+EB6))+(EB11*EB12))))*((EB15*DS18)/(1-EXP(-DS18*EB15)))</f>
        <v>0.18580194396726007</v>
      </c>
      <c r="EC2" s="480" t="s">
        <v>304</v>
      </c>
      <c r="ED2" s="478" t="s">
        <v>553</v>
      </c>
      <c r="EE2" s="462">
        <f>-EE15/((EE10*EE12*EE13*(EE5+EE6))+(EE11*EE12))</f>
        <v>-15.807288534561259</v>
      </c>
      <c r="EF2" s="476" t="s">
        <v>19</v>
      </c>
      <c r="EG2" s="474" t="s">
        <v>510</v>
      </c>
      <c r="EH2" s="472">
        <f>(EH5/(EH6*EH7*EH16))/EH20</f>
        <v>3.9637711318548508E-4</v>
      </c>
      <c r="EI2" s="470" t="s">
        <v>303</v>
      </c>
      <c r="EJ2" s="468" t="s">
        <v>510</v>
      </c>
      <c r="EK2" s="502">
        <f>EH2/(EK5*EK6*(1/EK7))</f>
        <v>4.399302033135239</v>
      </c>
      <c r="EL2" s="500" t="s">
        <v>304</v>
      </c>
      <c r="EM2" s="504" t="s">
        <v>510</v>
      </c>
      <c r="EN2" s="502">
        <f>(EH2/(EN9*((EN10*EN12*EN13*(EN5+EN6))+(EN11*EN12))))*CU11</f>
        <v>6.4426992666935898E-2</v>
      </c>
      <c r="EO2" s="500" t="s">
        <v>303</v>
      </c>
      <c r="EP2" s="504" t="s">
        <v>554</v>
      </c>
      <c r="EQ2" s="502">
        <f>(EH2/(EQ9*((EQ10*EQ12*EQ13*(EQ5+EQ6))+(EQ11*EQ12))))*((EQ14*EH18)/(1-EXP(-EH18*EQ14)))</f>
        <v>6.4426992666935898E-2</v>
      </c>
      <c r="ER2" s="500" t="s">
        <v>304</v>
      </c>
      <c r="ES2" s="504" t="s">
        <v>553</v>
      </c>
      <c r="ET2" s="502">
        <f>-ET15/((ET10*ET12*ET13*(ET5+ET6))+(ET11*ET12))</f>
        <v>-14.550086614194845</v>
      </c>
      <c r="EU2" s="514" t="s">
        <v>19</v>
      </c>
      <c r="EV2" s="512" t="s">
        <v>510</v>
      </c>
      <c r="EW2" s="510">
        <f>(EW5/(EW6*EW7*EW16))/EW20</f>
        <v>3.9637711318548508E-4</v>
      </c>
      <c r="EX2" s="508" t="s">
        <v>303</v>
      </c>
      <c r="EY2" s="506" t="s">
        <v>510</v>
      </c>
      <c r="EZ2" s="494" t="e">
        <f>EW2/(EZ5*EZ6*(1/EZ7))</f>
        <v>#DIV/0!</v>
      </c>
      <c r="FA2" s="498" t="s">
        <v>304</v>
      </c>
      <c r="FB2" s="496" t="s">
        <v>510</v>
      </c>
      <c r="FC2" s="494" t="e">
        <f>(EW2/(FC9*((FC10*FC12*FC13*(FC5+FC6))+(FC11*FC12))))*CU11</f>
        <v>#DIV/0!</v>
      </c>
      <c r="FD2" s="498" t="s">
        <v>303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304</v>
      </c>
      <c r="FH2" s="496" t="s">
        <v>553</v>
      </c>
      <c r="FI2" s="494">
        <f>-FI15/((FI10*FI12*FI13*(FI5+FI6))+(FI11*FI12))</f>
        <v>-5.3050397877984095</v>
      </c>
      <c r="FJ2" s="492" t="s">
        <v>19</v>
      </c>
      <c r="FK2" s="490" t="s">
        <v>510</v>
      </c>
      <c r="FL2" s="488">
        <f>(FL5/(FL6*FL7*FL16))/FL20</f>
        <v>3.9637711318548508E-4</v>
      </c>
      <c r="FM2" s="486" t="s">
        <v>303</v>
      </c>
      <c r="FN2" s="484" t="s">
        <v>510</v>
      </c>
      <c r="FO2" s="430">
        <f>FL2/(FO5*(1/FO6))</f>
        <v>9.9094278296371269E-2</v>
      </c>
      <c r="FP2" s="428" t="s">
        <v>304</v>
      </c>
      <c r="FQ2" s="482" t="s">
        <v>510</v>
      </c>
      <c r="FR2" s="430">
        <f>((FL2*FR6)/FR5)*CU11</f>
        <v>9.9739475667927954E-5</v>
      </c>
      <c r="FS2" s="428" t="s">
        <v>303</v>
      </c>
      <c r="FT2" s="426" t="s">
        <v>554</v>
      </c>
      <c r="FU2" s="430">
        <f>((FL2*FU6)/FU5)*((FU7*FL18)/(1-EXP(-FL18*FU7)))</f>
        <v>9.9739475667927954E-5</v>
      </c>
      <c r="FV2" s="428" t="s">
        <v>304</v>
      </c>
      <c r="FW2" s="426" t="s">
        <v>553</v>
      </c>
      <c r="FX2" s="430">
        <f>-FX5/FX6</f>
        <v>-1E-3</v>
      </c>
      <c r="FY2" s="438" t="s">
        <v>19</v>
      </c>
      <c r="FZ2" s="436" t="s">
        <v>510</v>
      </c>
      <c r="GA2" s="434">
        <f>(GA5/(GA6*GA7*GA16))/GA20</f>
        <v>3.9637711318548508E-4</v>
      </c>
      <c r="GB2" s="432" t="s">
        <v>303</v>
      </c>
      <c r="GC2" s="458" t="s">
        <v>510</v>
      </c>
      <c r="GD2" s="417" t="e">
        <f>(GA2/(GD5*GD6*(1/GD7)))</f>
        <v>#DIV/0!</v>
      </c>
      <c r="GE2" s="421" t="s">
        <v>304</v>
      </c>
      <c r="GF2" s="419" t="s">
        <v>510</v>
      </c>
      <c r="GG2" s="417" t="e">
        <f>(GA2/((GG9)*((GG10*GG12*GG13*(GG5+GG6))+(GG11*GG12))))*CU11</f>
        <v>#DIV/0!</v>
      </c>
      <c r="GH2" s="421" t="s">
        <v>303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304</v>
      </c>
      <c r="GL2" s="419" t="s">
        <v>553</v>
      </c>
      <c r="GM2" s="417">
        <f>-GM15/((GM10*GM12*GM13*(GM5+GM6))+(GM11*GM12))</f>
        <v>-5.3050397877984095</v>
      </c>
      <c r="GN2" s="456" t="s">
        <v>19</v>
      </c>
      <c r="GO2" s="454" t="s">
        <v>510</v>
      </c>
      <c r="GP2" s="452">
        <f>(GP5/(GP6*GP7*GP15))/GP19</f>
        <v>3.9637711318548508E-4</v>
      </c>
      <c r="GQ2" s="450" t="s">
        <v>303</v>
      </c>
      <c r="GR2" s="448" t="s">
        <v>510</v>
      </c>
      <c r="GS2" s="442" t="e">
        <f>GP2/(GS5*GS6*(1/GS7))</f>
        <v>#DIV/0!</v>
      </c>
      <c r="GT2" s="446" t="s">
        <v>304</v>
      </c>
      <c r="GU2" s="444" t="s">
        <v>510</v>
      </c>
      <c r="GV2" s="442" t="e">
        <f>(GP2/((GV9)*((GV10*GV12*GV13*(GV5+GV6))+(GV11*GV12))))*CU11</f>
        <v>#DIV/0!</v>
      </c>
      <c r="GW2" s="446" t="s">
        <v>303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304</v>
      </c>
      <c r="HA2" s="444" t="s">
        <v>553</v>
      </c>
      <c r="HB2" s="442">
        <f>-HB15/((HB10*HB12*HB13*(HB5+HB6))+(HB11*HB12))</f>
        <v>-7.0158163579297179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362">
        <v>0.124</v>
      </c>
      <c r="C3" s="240"/>
      <c r="D3" s="317" t="s">
        <v>15</v>
      </c>
      <c r="E3" s="285">
        <f>1/((1/E20)+(1/E21))</f>
        <v>2.166277830236825E-5</v>
      </c>
      <c r="F3" s="253" t="s">
        <v>302</v>
      </c>
      <c r="G3" s="627"/>
      <c r="H3" s="623"/>
      <c r="I3" s="625"/>
      <c r="J3" s="619"/>
      <c r="K3" s="623"/>
      <c r="L3" s="621"/>
      <c r="M3" s="617"/>
      <c r="N3" s="647"/>
      <c r="O3" s="689"/>
      <c r="P3" s="639"/>
      <c r="Q3" s="647"/>
      <c r="R3" s="637"/>
      <c r="S3" s="639"/>
      <c r="T3" s="647"/>
      <c r="U3" s="643"/>
      <c r="V3" s="319" t="s">
        <v>16</v>
      </c>
      <c r="W3" s="358">
        <f>1/((1/W18)+(1/W19))</f>
        <v>4.1637587512147314E-4</v>
      </c>
      <c r="X3" s="254" t="s">
        <v>302</v>
      </c>
      <c r="Y3" s="321" t="s">
        <v>16</v>
      </c>
      <c r="Z3" s="358">
        <f>1/((1/Z18)+(1/Z19))</f>
        <v>4.1637587512147314E-4</v>
      </c>
      <c r="AA3" s="255" t="s">
        <v>302</v>
      </c>
      <c r="AB3" s="699"/>
      <c r="AC3" s="661"/>
      <c r="AD3" s="658"/>
      <c r="AE3" s="658"/>
      <c r="AF3" s="658"/>
      <c r="AG3" s="655"/>
      <c r="AH3" s="701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2.9328069086283166E-4</v>
      </c>
      <c r="BU3" s="250" t="s">
        <v>302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 t="e">
        <f>1/((1/CU14)+(1/CU15)+(1/CU16)+(1/CU17)+(1/CU18)+(1/CU19)+(1/CU20)+(1/CU21)+(1/CU22)+(1/CU23))</f>
        <v>#DIV/0!</v>
      </c>
      <c r="CV3" s="71" t="s">
        <v>303</v>
      </c>
      <c r="CW3" s="326" t="s">
        <v>15</v>
      </c>
      <c r="CX3" s="117">
        <f>1/((1/CX20)+(1/CX21))</f>
        <v>2.3106269163668024E-5</v>
      </c>
      <c r="CY3" s="256" t="s">
        <v>302</v>
      </c>
      <c r="CZ3" s="338" t="s">
        <v>285</v>
      </c>
      <c r="DA3" s="336" t="e">
        <f>1/((1/DA13)+(1/DA15)+(1/DA16)+(1/DA17)+(1/DA18)+(1/DA19)+(1/DA20)+(1/DA21)+(1/DA22))</f>
        <v>#DIV/0!</v>
      </c>
      <c r="DB3" s="72" t="s">
        <v>303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2.4154341107127521E-4</v>
      </c>
      <c r="HF3" s="252" t="s">
        <v>303</v>
      </c>
    </row>
    <row r="4" spans="1:214" ht="13.5" customHeight="1" thickBot="1" x14ac:dyDescent="0.25">
      <c r="A4" s="279" t="s">
        <v>457</v>
      </c>
      <c r="B4" s="363">
        <v>0.79200000000000004</v>
      </c>
      <c r="C4" s="241"/>
      <c r="D4" s="318" t="s">
        <v>16</v>
      </c>
      <c r="E4" s="286">
        <f>1/((1/E22)+(1/E23))</f>
        <v>2.175674067332004E-5</v>
      </c>
      <c r="F4" s="257" t="s">
        <v>302</v>
      </c>
      <c r="G4" s="628"/>
      <c r="H4" s="624"/>
      <c r="I4" s="626"/>
      <c r="J4" s="620"/>
      <c r="K4" s="624"/>
      <c r="L4" s="622"/>
      <c r="M4" s="618"/>
      <c r="N4" s="648"/>
      <c r="O4" s="690"/>
      <c r="P4" s="640"/>
      <c r="Q4" s="648"/>
      <c r="R4" s="638"/>
      <c r="S4" s="640"/>
      <c r="T4" s="648"/>
      <c r="U4" s="644"/>
      <c r="V4" s="320" t="s">
        <v>15</v>
      </c>
      <c r="W4" s="359">
        <f>1/((1/W16)+(1/W17))</f>
        <v>4.1592534340547039E-4</v>
      </c>
      <c r="X4" s="258" t="s">
        <v>302</v>
      </c>
      <c r="Y4" s="322" t="s">
        <v>15</v>
      </c>
      <c r="Z4" s="359">
        <f>1/((1/Z16)+(1/Z17))</f>
        <v>4.1592534340547039E-4</v>
      </c>
      <c r="AA4" s="259" t="s">
        <v>302</v>
      </c>
      <c r="AB4" s="700"/>
      <c r="AC4" s="662"/>
      <c r="AD4" s="659"/>
      <c r="AE4" s="659"/>
      <c r="AF4" s="659"/>
      <c r="AG4" s="656"/>
      <c r="AH4" s="702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2.9493514383054016E-4</v>
      </c>
      <c r="BU4" s="260" t="s">
        <v>302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6.393570618636441E-4</v>
      </c>
      <c r="CV4" s="73" t="s">
        <v>303</v>
      </c>
      <c r="CW4" s="327" t="s">
        <v>16</v>
      </c>
      <c r="CX4" s="106">
        <f>1/((1/CX22)+(1/CX23))</f>
        <v>2.3256712805694382E-5</v>
      </c>
      <c r="CY4" s="261" t="s">
        <v>302</v>
      </c>
      <c r="CZ4" s="339" t="s">
        <v>11</v>
      </c>
      <c r="DA4" s="337">
        <f>1/((1/DA15)+(1/DA16)+(1/DA13))</f>
        <v>6.5173607322439354E-3</v>
      </c>
      <c r="DB4" s="74" t="s">
        <v>303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8.9213429979885301E-8</v>
      </c>
      <c r="HF4" s="75" t="s">
        <v>303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0.52543733718458041</v>
      </c>
      <c r="DH5" s="249" t="s">
        <v>19</v>
      </c>
      <c r="DI5" s="262" t="s">
        <v>20</v>
      </c>
      <c r="DJ5" s="305">
        <f>DJ7</f>
        <v>1.4789999999999999E-2</v>
      </c>
      <c r="DK5" s="262"/>
      <c r="DL5" s="262" t="s">
        <v>20</v>
      </c>
      <c r="DM5" s="305">
        <f>DM7</f>
        <v>1.4789999999999999E-2</v>
      </c>
      <c r="DO5" s="249" t="s">
        <v>18</v>
      </c>
      <c r="DP5" s="118">
        <f>(DP8*DP9*DP10*((1-EXP(-DP11*DP12))))/(DP13*DP11)</f>
        <v>0.52543733718458041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3.8000000000000002E-4</v>
      </c>
      <c r="DW5" s="262"/>
      <c r="DX5" s="262" t="s">
        <v>21</v>
      </c>
      <c r="DY5" s="305">
        <f>DY7</f>
        <v>1.7000000000000001E-2</v>
      </c>
      <c r="DZ5" s="262"/>
      <c r="EA5" s="262" t="s">
        <v>21</v>
      </c>
      <c r="EB5" s="305">
        <f>EB7</f>
        <v>1.7000000000000001E-2</v>
      </c>
      <c r="EC5" s="263"/>
      <c r="ED5" s="262" t="s">
        <v>21</v>
      </c>
      <c r="EE5" s="305">
        <f>EE7</f>
        <v>1.7000000000000001E-2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1.6999999999999999E-3</v>
      </c>
      <c r="EL5" s="262"/>
      <c r="EM5" s="262" t="s">
        <v>21</v>
      </c>
      <c r="EN5" s="305">
        <f>EN7</f>
        <v>1.7000000000000001E-2</v>
      </c>
      <c r="EO5" s="262"/>
      <c r="EP5" s="262" t="s">
        <v>21</v>
      </c>
      <c r="EQ5" s="305">
        <f>EQ7</f>
        <v>1.7000000000000001E-2</v>
      </c>
      <c r="ER5" s="263"/>
      <c r="ES5" s="262" t="s">
        <v>21</v>
      </c>
      <c r="ET5" s="305">
        <f>ET7</f>
        <v>1.7000000000000001E-2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1.7000000000000001E-2</v>
      </c>
      <c r="FD5" s="262"/>
      <c r="FE5" s="262" t="s">
        <v>21</v>
      </c>
      <c r="FF5" s="305">
        <f>FF7</f>
        <v>1.7000000000000001E-2</v>
      </c>
      <c r="FG5" s="263"/>
      <c r="FH5" s="263" t="s">
        <v>21</v>
      </c>
      <c r="FI5" s="290">
        <f>FI7</f>
        <v>1.7000000000000001E-2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4</v>
      </c>
      <c r="FP5" s="263"/>
      <c r="FQ5" s="263" t="s">
        <v>122</v>
      </c>
      <c r="FR5" s="298">
        <f>B36</f>
        <v>4</v>
      </c>
      <c r="FS5" s="263"/>
      <c r="FT5" s="263" t="s">
        <v>122</v>
      </c>
      <c r="FU5" s="298">
        <f>B36</f>
        <v>4</v>
      </c>
      <c r="FV5" s="263"/>
      <c r="FW5" s="262" t="s">
        <v>181</v>
      </c>
      <c r="FX5" s="305">
        <f>B46</f>
        <v>1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1.7000000000000001E-2</v>
      </c>
      <c r="GH5" s="262"/>
      <c r="GI5" s="262" t="s">
        <v>21</v>
      </c>
      <c r="GJ5" s="305">
        <f>GJ7</f>
        <v>1.7000000000000001E-2</v>
      </c>
      <c r="GK5" s="262"/>
      <c r="GL5" s="262" t="s">
        <v>21</v>
      </c>
      <c r="GM5" s="305">
        <f>GM7</f>
        <v>1.7000000000000001E-2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1.7000000000000001E-2</v>
      </c>
      <c r="GW5" s="262"/>
      <c r="GX5" s="262" t="s">
        <v>21</v>
      </c>
      <c r="GY5" s="305">
        <f>GY7</f>
        <v>1.7000000000000001E-2</v>
      </c>
      <c r="GZ5" s="262"/>
      <c r="HA5" s="262" t="s">
        <v>21</v>
      </c>
      <c r="HB5" s="305">
        <f>HB7</f>
        <v>1.7000000000000001E-2</v>
      </c>
      <c r="HC5" s="263"/>
      <c r="HD5" s="265" t="s">
        <v>22</v>
      </c>
      <c r="HE5" s="305">
        <f>B47</f>
        <v>0.185000185000185</v>
      </c>
      <c r="HF5" s="262" t="s">
        <v>304</v>
      </c>
    </row>
    <row r="6" spans="1:214" ht="13.5" thickTop="1" x14ac:dyDescent="0.2">
      <c r="A6" s="278" t="s">
        <v>454</v>
      </c>
      <c r="B6" s="362">
        <v>5.8099999999999999E-2</v>
      </c>
      <c r="C6" s="240"/>
      <c r="D6" s="262" t="s">
        <v>23</v>
      </c>
      <c r="E6" s="288">
        <f>0.693/E7</f>
        <v>4.3312499999999997E-4</v>
      </c>
      <c r="G6" s="262" t="s">
        <v>439</v>
      </c>
      <c r="H6" s="287">
        <f>B20</f>
        <v>3.8480000000000001E-10</v>
      </c>
      <c r="I6" s="262" t="s">
        <v>35</v>
      </c>
      <c r="J6" s="262" t="s">
        <v>316</v>
      </c>
      <c r="K6" s="287">
        <f>B21</f>
        <v>6.7709999999999997E-10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4.3312499999999997E-4</v>
      </c>
      <c r="Y6" s="262" t="s">
        <v>23</v>
      </c>
      <c r="Z6" s="288">
        <f>0.693/Z7</f>
        <v>4.3312499999999997E-4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BK12</f>
        <v>5</v>
      </c>
      <c r="BR6" s="249" t="s">
        <v>69</v>
      </c>
      <c r="BS6" s="262" t="s">
        <v>23</v>
      </c>
      <c r="BT6" s="288">
        <f>0.693/BT7</f>
        <v>4.3312499999999997E-4</v>
      </c>
      <c r="BV6" s="262" t="s">
        <v>163</v>
      </c>
      <c r="BW6" s="287">
        <f>B20</f>
        <v>3.8480000000000001E-10</v>
      </c>
      <c r="BX6" s="262" t="s">
        <v>35</v>
      </c>
      <c r="BY6" s="262" t="s">
        <v>45</v>
      </c>
      <c r="BZ6" s="287">
        <f>B21</f>
        <v>6.7709999999999997E-10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5.1429999999999997E-10</v>
      </c>
      <c r="CM6" s="266" t="s">
        <v>13</v>
      </c>
      <c r="CN6" s="263" t="s">
        <v>21</v>
      </c>
      <c r="CO6" s="290">
        <f>CO8</f>
        <v>1.7000000000000001E-2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6.7709999999999997E-10</v>
      </c>
      <c r="CV6" s="262" t="s">
        <v>35</v>
      </c>
      <c r="CW6" s="262" t="s">
        <v>23</v>
      </c>
      <c r="CX6" s="288">
        <f>0.693/CX7</f>
        <v>4.3312499999999997E-4</v>
      </c>
      <c r="CZ6" s="262" t="s">
        <v>163</v>
      </c>
      <c r="DA6" s="287">
        <f>B20</f>
        <v>3.8480000000000001E-10</v>
      </c>
      <c r="DB6" s="262" t="s">
        <v>35</v>
      </c>
      <c r="DC6" s="262" t="s">
        <v>438</v>
      </c>
      <c r="DD6" s="287">
        <f>B30</f>
        <v>5.1429999999999997E-10</v>
      </c>
      <c r="DE6" s="267" t="s">
        <v>35</v>
      </c>
      <c r="DF6" s="249" t="s">
        <v>27</v>
      </c>
      <c r="DG6" s="118">
        <f>(DG8*DG9*DG14*((1-EXP(-DG11*DG12))))/(DG13*DG11)</f>
        <v>9.2368970701819411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9.2368970701819411</v>
      </c>
      <c r="DQ6" s="249" t="s">
        <v>19</v>
      </c>
      <c r="DR6" s="262" t="s">
        <v>438</v>
      </c>
      <c r="DS6" s="287">
        <f>B30</f>
        <v>5.1429999999999997E-10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5.1429999999999997E-10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5.1429999999999997E-10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5.1429999999999997E-10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</v>
      </c>
      <c r="FS6" s="249" t="s">
        <v>19</v>
      </c>
      <c r="FT6" s="262" t="s">
        <v>181</v>
      </c>
      <c r="FU6" s="305">
        <f>B46</f>
        <v>1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5.1429999999999997E-10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5.1429999999999997E-10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6.8329336650419512E-5</v>
      </c>
      <c r="HF6" s="262" t="s">
        <v>304</v>
      </c>
    </row>
    <row r="7" spans="1:214" x14ac:dyDescent="0.2">
      <c r="A7" s="279" t="s">
        <v>455</v>
      </c>
      <c r="B7" s="363">
        <v>0.624</v>
      </c>
      <c r="C7" s="241"/>
      <c r="D7" s="266" t="s">
        <v>270</v>
      </c>
      <c r="E7" s="287">
        <f>B31</f>
        <v>1600</v>
      </c>
      <c r="F7" s="249" t="s">
        <v>69</v>
      </c>
      <c r="G7" s="262" t="s">
        <v>43</v>
      </c>
      <c r="H7" s="290">
        <f>B19</f>
        <v>2.8231E-8</v>
      </c>
      <c r="I7" s="263" t="s">
        <v>35</v>
      </c>
      <c r="J7" s="262" t="s">
        <v>43</v>
      </c>
      <c r="K7" s="290">
        <f>B19</f>
        <v>2.8231E-8</v>
      </c>
      <c r="L7" s="263" t="s">
        <v>35</v>
      </c>
      <c r="M7" s="262" t="s">
        <v>23</v>
      </c>
      <c r="N7" s="288">
        <f>0.693/N8</f>
        <v>4.3312499999999997E-4</v>
      </c>
      <c r="P7" s="262" t="s">
        <v>23</v>
      </c>
      <c r="Q7" s="288">
        <f>0.693/Q8</f>
        <v>4.3312499999999997E-4</v>
      </c>
      <c r="S7" s="262" t="s">
        <v>23</v>
      </c>
      <c r="T7" s="288">
        <f>0.693/T8</f>
        <v>4.3312499999999997E-4</v>
      </c>
      <c r="V7" s="266" t="s">
        <v>270</v>
      </c>
      <c r="W7" s="287">
        <f>B31</f>
        <v>1600</v>
      </c>
      <c r="X7" s="249" t="s">
        <v>69</v>
      </c>
      <c r="Y7" s="266" t="s">
        <v>270</v>
      </c>
      <c r="Z7" s="287">
        <f>B31</f>
        <v>1600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4.3312499999999997E-4</v>
      </c>
      <c r="AL7" s="262" t="s">
        <v>23</v>
      </c>
      <c r="AM7" s="288">
        <f>0.693/AM8</f>
        <v>4.3312499999999997E-4</v>
      </c>
      <c r="AO7" s="262" t="s">
        <v>23</v>
      </c>
      <c r="AP7" s="288">
        <f>0.693/AP8</f>
        <v>4.3312499999999997E-4</v>
      </c>
      <c r="AR7" s="262" t="s">
        <v>23</v>
      </c>
      <c r="AS7" s="288">
        <f>0.693/AS8</f>
        <v>4.3312499999999997E-4</v>
      </c>
      <c r="AU7" s="262" t="s">
        <v>23</v>
      </c>
      <c r="AV7" s="288">
        <f>0.693/AV8</f>
        <v>4.3312499999999997E-4</v>
      </c>
      <c r="AX7" s="262" t="s">
        <v>23</v>
      </c>
      <c r="AY7" s="288">
        <f>0.693/AY8</f>
        <v>4.3312499999999997E-4</v>
      </c>
      <c r="BA7" s="262" t="s">
        <v>23</v>
      </c>
      <c r="BB7" s="288">
        <f>0.693/BB8</f>
        <v>4.3312499999999997E-4</v>
      </c>
      <c r="BD7" s="262" t="s">
        <v>23</v>
      </c>
      <c r="BE7" s="288">
        <f>0.693/BE8</f>
        <v>4.3312499999999997E-4</v>
      </c>
      <c r="BG7" s="262" t="s">
        <v>23</v>
      </c>
      <c r="BH7" s="288">
        <f>0.693/BH8</f>
        <v>4.3312499999999997E-4</v>
      </c>
      <c r="BJ7" s="262" t="s">
        <v>23</v>
      </c>
      <c r="BK7" s="288">
        <f>0.693/BK8</f>
        <v>4.3312499999999997E-4</v>
      </c>
      <c r="BM7" s="262" t="s">
        <v>23</v>
      </c>
      <c r="BN7" s="288">
        <f>0.693/BN8</f>
        <v>4.3312499999999997E-4</v>
      </c>
      <c r="BP7" s="262" t="s">
        <v>23</v>
      </c>
      <c r="BQ7" s="288">
        <f>0.693/BQ8</f>
        <v>4.3312499999999997E-4</v>
      </c>
      <c r="BS7" s="266" t="s">
        <v>270</v>
      </c>
      <c r="BT7" s="287">
        <f>B31</f>
        <v>1600</v>
      </c>
      <c r="BU7" s="249" t="s">
        <v>69</v>
      </c>
      <c r="BV7" s="262" t="s">
        <v>43</v>
      </c>
      <c r="BW7" s="290">
        <f>E10</f>
        <v>2.8231E-8</v>
      </c>
      <c r="BX7" s="263" t="s">
        <v>35</v>
      </c>
      <c r="BY7" s="262" t="s">
        <v>43</v>
      </c>
      <c r="BZ7" s="290">
        <f>B19</f>
        <v>2.8231E-8</v>
      </c>
      <c r="CA7" s="263" t="s">
        <v>35</v>
      </c>
      <c r="CB7" s="262" t="s">
        <v>23</v>
      </c>
      <c r="CC7" s="288">
        <f>0.693/CC8</f>
        <v>4.3312499999999997E-4</v>
      </c>
      <c r="CE7" s="262" t="s">
        <v>23</v>
      </c>
      <c r="CF7" s="288">
        <f>0.693/CF8</f>
        <v>4.3312499999999997E-4</v>
      </c>
      <c r="CH7" s="262" t="s">
        <v>23</v>
      </c>
      <c r="CI7" s="288">
        <f>0.693/CI8</f>
        <v>4.3312499999999997E-4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2.8231E-8</v>
      </c>
      <c r="CV7" s="263" t="s">
        <v>35</v>
      </c>
      <c r="CW7" s="266" t="s">
        <v>270</v>
      </c>
      <c r="CX7" s="287">
        <f>B31</f>
        <v>1600</v>
      </c>
      <c r="CY7" s="249" t="s">
        <v>69</v>
      </c>
      <c r="CZ7" s="263" t="s">
        <v>43</v>
      </c>
      <c r="DA7" s="290">
        <f>B19</f>
        <v>2.8231E-8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3.6423470278489711</v>
      </c>
      <c r="DH7" s="249" t="s">
        <v>19</v>
      </c>
      <c r="DI7" s="262" t="s">
        <v>37</v>
      </c>
      <c r="DJ7" s="287">
        <f>B44</f>
        <v>1.4789999999999999E-2</v>
      </c>
      <c r="DL7" s="262" t="s">
        <v>37</v>
      </c>
      <c r="DM7" s="287">
        <f>B44</f>
        <v>1.4789999999999999E-2</v>
      </c>
      <c r="DO7" s="249" t="s">
        <v>36</v>
      </c>
      <c r="DP7" s="118">
        <f>(DP8*DP9*DP15*DP21*((1-EXP(-DP16*DP17))))/(DP18*DP16)</f>
        <v>3.6423470278489711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1.7000000000000001E-2</v>
      </c>
      <c r="EA7" s="262" t="s">
        <v>38</v>
      </c>
      <c r="EB7" s="287">
        <f>B45</f>
        <v>1.7000000000000001E-2</v>
      </c>
      <c r="EC7" s="263"/>
      <c r="ED7" s="262" t="s">
        <v>38</v>
      </c>
      <c r="EE7" s="287">
        <f>B45</f>
        <v>1.7000000000000001E-2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1.7000000000000001E-2</v>
      </c>
      <c r="EP7" s="262" t="s">
        <v>38</v>
      </c>
      <c r="EQ7" s="287">
        <f>B45</f>
        <v>1.7000000000000001E-2</v>
      </c>
      <c r="ER7" s="263"/>
      <c r="ES7" s="262" t="s">
        <v>38</v>
      </c>
      <c r="ET7" s="287">
        <f>B45</f>
        <v>1.7000000000000001E-2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1.7000000000000001E-2</v>
      </c>
      <c r="FD7" s="262"/>
      <c r="FE7" s="262" t="s">
        <v>38</v>
      </c>
      <c r="FF7" s="305">
        <f>B45</f>
        <v>1.7000000000000001E-2</v>
      </c>
      <c r="FG7" s="263"/>
      <c r="FH7" s="263" t="s">
        <v>38</v>
      </c>
      <c r="FI7" s="290">
        <f>B45</f>
        <v>1.7000000000000001E-2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1.7000000000000001E-2</v>
      </c>
      <c r="GH7" s="262"/>
      <c r="GI7" s="262" t="s">
        <v>38</v>
      </c>
      <c r="GJ7" s="305">
        <f>B45</f>
        <v>1.7000000000000001E-2</v>
      </c>
      <c r="GK7" s="262"/>
      <c r="GL7" s="262" t="s">
        <v>38</v>
      </c>
      <c r="GM7" s="305">
        <f>B45</f>
        <v>1.7000000000000001E-2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1.7000000000000001E-2</v>
      </c>
      <c r="GW7" s="262"/>
      <c r="GX7" s="262" t="s">
        <v>38</v>
      </c>
      <c r="GY7" s="305">
        <f>B45</f>
        <v>1.7000000000000001E-2</v>
      </c>
      <c r="GZ7" s="262"/>
      <c r="HA7" s="262" t="s">
        <v>38</v>
      </c>
      <c r="HB7" s="305">
        <f>B45</f>
        <v>1.7000000000000001E-2</v>
      </c>
      <c r="HC7" s="263"/>
      <c r="HD7" s="262" t="s">
        <v>23</v>
      </c>
      <c r="HE7" s="288">
        <f>0.693/HE8</f>
        <v>4.3312499999999997E-4</v>
      </c>
    </row>
    <row r="8" spans="1:214" x14ac:dyDescent="0.2">
      <c r="A8" s="279" t="s">
        <v>458</v>
      </c>
      <c r="B8" s="363">
        <v>6.8599999999999994E-2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1.6813889280000001E-11</v>
      </c>
      <c r="I8" s="263" t="s">
        <v>35</v>
      </c>
      <c r="J8" s="262" t="s">
        <v>71</v>
      </c>
      <c r="K8" s="287">
        <f>B23</f>
        <v>8.3719157040000005E-6</v>
      </c>
      <c r="L8" s="262" t="s">
        <v>445</v>
      </c>
      <c r="M8" s="266" t="s">
        <v>270</v>
      </c>
      <c r="N8" s="287">
        <f>B31</f>
        <v>1600</v>
      </c>
      <c r="O8" s="249" t="s">
        <v>69</v>
      </c>
      <c r="P8" s="266" t="s">
        <v>270</v>
      </c>
      <c r="Q8" s="287">
        <f>B31</f>
        <v>1600</v>
      </c>
      <c r="R8" s="249" t="s">
        <v>69</v>
      </c>
      <c r="S8" s="266" t="s">
        <v>270</v>
      </c>
      <c r="T8" s="287">
        <f>B31</f>
        <v>1600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1600</v>
      </c>
      <c r="AK8" s="249" t="s">
        <v>69</v>
      </c>
      <c r="AL8" s="266" t="s">
        <v>270</v>
      </c>
      <c r="AM8" s="287">
        <f>B31</f>
        <v>1600</v>
      </c>
      <c r="AN8" s="249" t="s">
        <v>69</v>
      </c>
      <c r="AO8" s="266" t="s">
        <v>270</v>
      </c>
      <c r="AP8" s="287">
        <f>B31</f>
        <v>1600</v>
      </c>
      <c r="AQ8" s="249" t="s">
        <v>69</v>
      </c>
      <c r="AR8" s="266" t="s">
        <v>270</v>
      </c>
      <c r="AS8" s="287">
        <f>B31</f>
        <v>1600</v>
      </c>
      <c r="AT8" s="249" t="s">
        <v>69</v>
      </c>
      <c r="AU8" s="266" t="s">
        <v>270</v>
      </c>
      <c r="AV8" s="287">
        <f>B31</f>
        <v>1600</v>
      </c>
      <c r="AW8" s="249" t="s">
        <v>69</v>
      </c>
      <c r="AX8" s="266" t="s">
        <v>270</v>
      </c>
      <c r="AY8" s="287">
        <f>B31</f>
        <v>1600</v>
      </c>
      <c r="AZ8" s="249" t="s">
        <v>69</v>
      </c>
      <c r="BA8" s="266" t="s">
        <v>270</v>
      </c>
      <c r="BB8" s="287">
        <f>B31</f>
        <v>1600</v>
      </c>
      <c r="BC8" s="249" t="s">
        <v>69</v>
      </c>
      <c r="BD8" s="266" t="s">
        <v>270</v>
      </c>
      <c r="BE8" s="287">
        <f>B31</f>
        <v>1600</v>
      </c>
      <c r="BF8" s="249" t="s">
        <v>69</v>
      </c>
      <c r="BG8" s="266" t="s">
        <v>270</v>
      </c>
      <c r="BH8" s="287">
        <f>B31</f>
        <v>1600</v>
      </c>
      <c r="BI8" s="249" t="s">
        <v>69</v>
      </c>
      <c r="BJ8" s="266" t="s">
        <v>270</v>
      </c>
      <c r="BK8" s="287">
        <f>B31</f>
        <v>1600</v>
      </c>
      <c r="BL8" s="249" t="s">
        <v>69</v>
      </c>
      <c r="BM8" s="266" t="s">
        <v>270</v>
      </c>
      <c r="BN8" s="287">
        <f>B31</f>
        <v>1600</v>
      </c>
      <c r="BO8" s="249" t="s">
        <v>69</v>
      </c>
      <c r="BP8" s="266" t="s">
        <v>270</v>
      </c>
      <c r="BQ8" s="287">
        <f>B31</f>
        <v>1600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1.6813889280000001E-11</v>
      </c>
      <c r="BX8" s="263" t="s">
        <v>35</v>
      </c>
      <c r="BY8" s="262" t="s">
        <v>71</v>
      </c>
      <c r="BZ8" s="287">
        <f>B23</f>
        <v>8.3719157040000005E-6</v>
      </c>
      <c r="CA8" s="262" t="s">
        <v>95</v>
      </c>
      <c r="CB8" s="266" t="s">
        <v>270</v>
      </c>
      <c r="CC8" s="287">
        <f>B31</f>
        <v>1600</v>
      </c>
      <c r="CD8" s="249" t="s">
        <v>69</v>
      </c>
      <c r="CE8" s="266" t="s">
        <v>270</v>
      </c>
      <c r="CF8" s="287">
        <f>B31</f>
        <v>1600</v>
      </c>
      <c r="CG8" s="249" t="s">
        <v>69</v>
      </c>
      <c r="CH8" s="266" t="s">
        <v>270</v>
      </c>
      <c r="CI8" s="287">
        <f>B31</f>
        <v>1600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1.7000000000000001E-2</v>
      </c>
      <c r="CT8" s="262" t="s">
        <v>71</v>
      </c>
      <c r="CU8" s="287">
        <f>B23</f>
        <v>8.3719157040000005E-6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1.6813889280000001E-11</v>
      </c>
      <c r="DB8" s="262" t="s">
        <v>35</v>
      </c>
      <c r="DC8" s="262" t="s">
        <v>380</v>
      </c>
      <c r="DD8" s="311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1600</v>
      </c>
      <c r="HF8" s="249" t="s">
        <v>69</v>
      </c>
    </row>
    <row r="9" spans="1:214" x14ac:dyDescent="0.2">
      <c r="A9" s="279" t="s">
        <v>459</v>
      </c>
      <c r="B9" s="363">
        <v>0.73699999999999999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5.1429999999999997E-10</v>
      </c>
      <c r="I9" s="267" t="s">
        <v>35</v>
      </c>
      <c r="J9" s="262" t="s">
        <v>438</v>
      </c>
      <c r="K9" s="287">
        <f>B30</f>
        <v>5.1429999999999997E-10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2.9489E-10</v>
      </c>
      <c r="AD9" s="287">
        <f>B22</f>
        <v>2.9489E-10</v>
      </c>
      <c r="AE9" s="287">
        <f>B22</f>
        <v>2.9489E-10</v>
      </c>
      <c r="AF9" s="287">
        <f>B22</f>
        <v>2.9489E-10</v>
      </c>
      <c r="AG9" s="287">
        <f>B22</f>
        <v>2.9489E-10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5.1429999999999997E-10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5.1429999999999997E-10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5.1429999999999997E-10</v>
      </c>
      <c r="DB9" s="263" t="s">
        <v>35</v>
      </c>
      <c r="DC9" s="262" t="s">
        <v>381</v>
      </c>
      <c r="DD9" s="311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3.8000000000000002E-4</v>
      </c>
      <c r="EA9" s="262" t="s">
        <v>278</v>
      </c>
      <c r="EB9" s="287">
        <f>B37</f>
        <v>3.8000000000000002E-4</v>
      </c>
      <c r="EC9" s="263"/>
      <c r="ED9" s="262" t="s">
        <v>278</v>
      </c>
      <c r="EE9" s="287">
        <f>B37</f>
        <v>3.8000000000000002E-4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1.6999999999999999E-3</v>
      </c>
      <c r="EP9" s="262" t="s">
        <v>275</v>
      </c>
      <c r="EQ9" s="310">
        <f>B38</f>
        <v>1.6999999999999999E-3</v>
      </c>
      <c r="ER9" s="263"/>
      <c r="ES9" s="262" t="s">
        <v>275</v>
      </c>
      <c r="ET9" s="310">
        <f>B38</f>
        <v>1.6999999999999999E-3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0.10100000000000001</v>
      </c>
      <c r="C10" s="241"/>
      <c r="D10" s="88" t="s">
        <v>43</v>
      </c>
      <c r="E10" s="187">
        <f>B19</f>
        <v>2.8231E-8</v>
      </c>
      <c r="F10" s="188" t="s">
        <v>35</v>
      </c>
      <c r="G10" s="266" t="s">
        <v>80</v>
      </c>
      <c r="H10" s="294">
        <f>(H5/(H6*H15))/H68</f>
        <v>1.7482517482517498E-2</v>
      </c>
      <c r="I10" s="271" t="s">
        <v>304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2.8231E-8</v>
      </c>
      <c r="X10" s="263" t="s">
        <v>44</v>
      </c>
      <c r="Y10" s="249" t="s">
        <v>43</v>
      </c>
      <c r="Z10" s="290">
        <f>B19</f>
        <v>2.8231E-8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2.8231E-8</v>
      </c>
      <c r="BU10" s="263" t="s">
        <v>35</v>
      </c>
      <c r="BV10" s="266" t="s">
        <v>80</v>
      </c>
      <c r="BW10" s="294">
        <f>(BW5/(BW6*BW12))/BW32</f>
        <v>9.8619329388560245E-3</v>
      </c>
      <c r="BX10" s="271" t="s">
        <v>304</v>
      </c>
      <c r="BY10" s="188" t="s">
        <v>16</v>
      </c>
      <c r="BZ10" s="191">
        <f>(BZ33*BZ11)/(1-EXP(-BZ11*BZ33))</f>
        <v>1.0056411929569626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299</v>
      </c>
      <c r="CL10" s="289">
        <f>B293</f>
        <v>27.027027027027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2.8231E-8</v>
      </c>
      <c r="CY10" s="263" t="s">
        <v>35</v>
      </c>
      <c r="CZ10" s="263" t="s">
        <v>16</v>
      </c>
      <c r="DA10" s="288">
        <f>(DA38*DA11)/(1-EXP(-DA11*DA38))</f>
        <v>1.0065109447553271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1.4789999999999999E-2</v>
      </c>
      <c r="DL10" s="267"/>
      <c r="DO10" s="267" t="s">
        <v>37</v>
      </c>
      <c r="DP10" s="287">
        <f>B44</f>
        <v>1.4789999999999999E-2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0.751</v>
      </c>
      <c r="C11" s="241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(H5/(H7*H16*H28))/H68</f>
        <v>6.9321837461954299E-5</v>
      </c>
      <c r="I11" s="271" t="s">
        <v>304</v>
      </c>
      <c r="J11" s="188" t="s">
        <v>16</v>
      </c>
      <c r="K11" s="109">
        <f>(K46*K12)/(1-EXP(-K12*K46))</f>
        <v>1.0043375032343622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(BW5/(BW8*(1/BW31)*BW15))/BW32</f>
        <v>9885.600044547502</v>
      </c>
      <c r="BX11" s="271" t="s">
        <v>304</v>
      </c>
      <c r="BY11" s="266" t="s">
        <v>23</v>
      </c>
      <c r="BZ11" s="109">
        <f>0.693/BZ12</f>
        <v>4.3312499999999997E-4</v>
      </c>
      <c r="CA11" s="88"/>
      <c r="CB11" s="249" t="s">
        <v>456</v>
      </c>
      <c r="CC11" s="287">
        <f>B3</f>
        <v>0.124</v>
      </c>
      <c r="CE11" s="249" t="s">
        <v>454</v>
      </c>
      <c r="CF11" s="287">
        <f>B6</f>
        <v>5.8099999999999999E-2</v>
      </c>
      <c r="CH11" s="249" t="s">
        <v>460</v>
      </c>
      <c r="CI11" s="287">
        <f>B10</f>
        <v>0.10100000000000001</v>
      </c>
      <c r="CK11" s="266" t="s">
        <v>270</v>
      </c>
      <c r="CL11" s="287">
        <f>B31</f>
        <v>1600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1.0065109447553271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4.3312499999999997E-4</v>
      </c>
      <c r="DC11" s="262" t="s">
        <v>382</v>
      </c>
      <c r="DD11" s="311">
        <f>B141</f>
        <v>55</v>
      </c>
      <c r="DE11" s="267" t="s">
        <v>254</v>
      </c>
      <c r="DF11" s="267" t="s">
        <v>55</v>
      </c>
      <c r="DG11" s="288">
        <f>DG19+DG20</f>
        <v>2.8186643835616437E-5</v>
      </c>
      <c r="DL11" s="267"/>
      <c r="DO11" s="267" t="s">
        <v>55</v>
      </c>
      <c r="DP11" s="288">
        <f>DP19+DP20</f>
        <v>2.8186643835616437E-5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3.44E-2</v>
      </c>
      <c r="C12" s="241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(H5/(H8*(1/H45)*H21))/H68</f>
        <v>4381.1182015608247</v>
      </c>
      <c r="I12" s="271" t="s">
        <v>304</v>
      </c>
      <c r="J12" s="266" t="s">
        <v>23</v>
      </c>
      <c r="K12" s="109">
        <f>0.693/K13</f>
        <v>4.3312499999999997E-4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1600</v>
      </c>
      <c r="CA12" s="88" t="s">
        <v>69</v>
      </c>
      <c r="CB12" s="249" t="s">
        <v>457</v>
      </c>
      <c r="CC12" s="287">
        <f>B4</f>
        <v>0.79200000000000004</v>
      </c>
      <c r="CE12" s="249" t="s">
        <v>455</v>
      </c>
      <c r="CF12" s="287">
        <f>B7</f>
        <v>0.624</v>
      </c>
      <c r="CH12" s="249" t="s">
        <v>461</v>
      </c>
      <c r="CI12" s="287">
        <f>B11</f>
        <v>0.751</v>
      </c>
      <c r="CK12" s="249" t="s">
        <v>23</v>
      </c>
      <c r="CL12" s="288">
        <f>693/CL11</f>
        <v>0.43312499999999998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4.3312499999999997E-4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1600</v>
      </c>
      <c r="DB12" s="249" t="s">
        <v>69</v>
      </c>
      <c r="DC12" s="262" t="s">
        <v>383</v>
      </c>
      <c r="DD12" s="311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0.45600000000000002</v>
      </c>
      <c r="C13" s="242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>
        <f>(H14/((1/H42)*(H50+H51+H52)))/H68</f>
        <v>6.564551313842034E-3</v>
      </c>
      <c r="I13" s="271" t="s">
        <v>304</v>
      </c>
      <c r="J13" s="266" t="s">
        <v>270</v>
      </c>
      <c r="K13" s="189">
        <f>B31</f>
        <v>1600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0.124</v>
      </c>
      <c r="BM13" s="249" t="s">
        <v>454</v>
      </c>
      <c r="BN13" s="287">
        <f>B6</f>
        <v>5.8099999999999999E-2</v>
      </c>
      <c r="BP13" s="249" t="s">
        <v>460</v>
      </c>
      <c r="BQ13" s="287">
        <f>B10</f>
        <v>0.10100000000000001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>
        <f>((BZ5/(BZ6*BZ16*(1/BZ36)))*BZ10)/BZ37</f>
        <v>0.51238294315511412</v>
      </c>
      <c r="CA13" s="271" t="s">
        <v>303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11.261394841645959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1600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>
        <f>(DA5/(DA6*DA23))/DA50</f>
        <v>1.1655011655011666E-2</v>
      </c>
      <c r="DB13" s="266" t="s">
        <v>304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>
        <f>(H5/(H9*(H22+H25)*H43))/H68</f>
        <v>2.3782626791129108E-3</v>
      </c>
      <c r="I14" s="271" t="s">
        <v>303</v>
      </c>
      <c r="J14" s="266" t="s">
        <v>80</v>
      </c>
      <c r="K14" s="294">
        <f>((K5/(K6*K19*(1/K49)))*K11)/K54</f>
        <v>0.90713769880717443</v>
      </c>
      <c r="L14" s="271" t="s">
        <v>303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7.7413948559999998E-9</v>
      </c>
      <c r="X14" s="262" t="s">
        <v>64</v>
      </c>
      <c r="Y14" s="262" t="s">
        <v>63</v>
      </c>
      <c r="Z14" s="287">
        <f>B28</f>
        <v>7.7413948559999998E-9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0.79200000000000004</v>
      </c>
      <c r="BM14" s="249" t="s">
        <v>455</v>
      </c>
      <c r="BN14" s="287">
        <f>B7</f>
        <v>0.624</v>
      </c>
      <c r="BP14" s="249" t="s">
        <v>461</v>
      </c>
      <c r="BQ14" s="287">
        <f>B11</f>
        <v>0.751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((BZ5/(BZ7*BZ17*(1/BZ9)*BZ35))*BZ10)/BZ37</f>
        <v>400.92393420946428</v>
      </c>
      <c r="CA14" s="271" t="s">
        <v>303</v>
      </c>
      <c r="CB14" s="249" t="s">
        <v>71</v>
      </c>
      <c r="CC14" s="290">
        <f>B23</f>
        <v>8.3719157040000005E-6</v>
      </c>
      <c r="CD14" s="263" t="s">
        <v>72</v>
      </c>
      <c r="CE14" s="249" t="s">
        <v>71</v>
      </c>
      <c r="CF14" s="290">
        <f>B25</f>
        <v>1.5599552831999999E-6</v>
      </c>
      <c r="CG14" s="263" t="s">
        <v>72</v>
      </c>
      <c r="CH14" s="249" t="s">
        <v>71</v>
      </c>
      <c r="CI14" s="290">
        <f>B27</f>
        <v>7.0991976959999998E-6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((CU5/(CU6*CU24*(1/CU47)))*CU11)/CU48</f>
        <v>0.60606719640839279</v>
      </c>
      <c r="CV14" s="271" t="s">
        <v>303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(DA5/(DA7*DA24*DA46))/DA50</f>
        <v>4.6214558307969526E-5</v>
      </c>
      <c r="DB14" s="266" t="s">
        <v>304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((K5/(K7*K20*(1/K10)*K48))*K11)/K54</f>
        <v>47.320494685214541</v>
      </c>
      <c r="L15" s="271" t="s">
        <v>303</v>
      </c>
      <c r="M15" s="249" t="s">
        <v>448</v>
      </c>
      <c r="N15" s="290">
        <f>B23</f>
        <v>8.3719157040000005E-6</v>
      </c>
      <c r="O15" s="263" t="s">
        <v>446</v>
      </c>
      <c r="P15" s="249" t="s">
        <v>449</v>
      </c>
      <c r="Q15" s="290">
        <f>B25</f>
        <v>1.5599552831999999E-6</v>
      </c>
      <c r="R15" s="263" t="s">
        <v>446</v>
      </c>
      <c r="S15" s="249" t="s">
        <v>453</v>
      </c>
      <c r="T15" s="290">
        <f>B27</f>
        <v>7.0991976959999998E-6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8.3719157040000005E-6</v>
      </c>
      <c r="AK15" s="263" t="s">
        <v>72</v>
      </c>
      <c r="AL15" s="262" t="s">
        <v>449</v>
      </c>
      <c r="AM15" s="290">
        <f>B25</f>
        <v>1.5599552831999999E-6</v>
      </c>
      <c r="AN15" s="263" t="s">
        <v>72</v>
      </c>
      <c r="AO15" s="262" t="s">
        <v>452</v>
      </c>
      <c r="AP15" s="290">
        <f>B27</f>
        <v>7.0991976959999998E-6</v>
      </c>
      <c r="AQ15" s="263" t="s">
        <v>72</v>
      </c>
      <c r="AR15" s="249" t="s">
        <v>448</v>
      </c>
      <c r="AS15" s="290">
        <f>B23</f>
        <v>8.3719157040000005E-6</v>
      </c>
      <c r="AT15" s="263" t="s">
        <v>72</v>
      </c>
      <c r="AU15" s="262" t="s">
        <v>449</v>
      </c>
      <c r="AV15" s="290">
        <f>B25</f>
        <v>1.5599552831999999E-6</v>
      </c>
      <c r="AW15" s="263" t="s">
        <v>72</v>
      </c>
      <c r="AX15" s="262" t="s">
        <v>452</v>
      </c>
      <c r="AY15" s="290">
        <f>B27</f>
        <v>7.0991976959999998E-6</v>
      </c>
      <c r="AZ15" s="263" t="s">
        <v>72</v>
      </c>
      <c r="BA15" s="249" t="s">
        <v>448</v>
      </c>
      <c r="BB15" s="290">
        <f>B23</f>
        <v>8.3719157040000005E-6</v>
      </c>
      <c r="BC15" s="263" t="s">
        <v>72</v>
      </c>
      <c r="BD15" s="262" t="s">
        <v>449</v>
      </c>
      <c r="BE15" s="290">
        <f>B25</f>
        <v>1.5599552831999999E-6</v>
      </c>
      <c r="BF15" s="263" t="s">
        <v>72</v>
      </c>
      <c r="BG15" s="262" t="s">
        <v>452</v>
      </c>
      <c r="BH15" s="290">
        <f>B27</f>
        <v>7.0991976959999998E-6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(((BZ5)/(BZ8*BZ22*(1/BZ34)*BZ25*BZ28*(1/24)*BZ31*BZ32))*BZ10)/BZ37</f>
        <v>0.20330242542636828</v>
      </c>
      <c r="CA15" s="271" t="s">
        <v>303</v>
      </c>
      <c r="CB15" s="95" t="s">
        <v>299</v>
      </c>
      <c r="CC15" s="289">
        <f>B293</f>
        <v>27.027027027027</v>
      </c>
      <c r="CE15" s="95" t="s">
        <v>299</v>
      </c>
      <c r="CF15" s="289">
        <f>B293</f>
        <v>27.027027027027</v>
      </c>
      <c r="CH15" s="95" t="s">
        <v>299</v>
      </c>
      <c r="CI15" s="289">
        <f>B293</f>
        <v>27.027027027027</v>
      </c>
      <c r="CT15" s="266" t="s">
        <v>74</v>
      </c>
      <c r="CU15" s="295">
        <f>((CU5/(CU7*CU25*(1/CU10)*CU46))*CU11)/CU48</f>
        <v>31.615265889883887</v>
      </c>
      <c r="CV15" s="271" t="s">
        <v>303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(DA5/(DA8*DA25*(DA47/DA48)))/DA50</f>
        <v>2920.7454677072164</v>
      </c>
      <c r="DB15" s="266" t="s">
        <v>304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x14ac:dyDescent="0.2">
      <c r="A16" s="585"/>
      <c r="B16" s="586"/>
      <c r="C16" s="6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((K5/(K8*K45*((K40*K44*(1/24))+(K41*K43*(1/24)))*K32*(1/K47)*K34))*K11)/K54</f>
        <v>6.5792970100644757E-3</v>
      </c>
      <c r="L16" s="271" t="s">
        <v>303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((W5)/((W11/W12)*W8*W9*W10*W13))/W20</f>
        <v>4.1593102477172577E-4</v>
      </c>
      <c r="X16" s="88" t="s">
        <v>15</v>
      </c>
      <c r="Y16" s="88" t="s">
        <v>74</v>
      </c>
      <c r="Z16" s="294">
        <f>((Z5)/((Z11/Z12)*Z8*Z9*Z10*Z13))/Z20</f>
        <v>4.1593102477172577E-4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0.124</v>
      </c>
      <c r="AG16" s="305">
        <f>B3</f>
        <v>0.124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8.3719157040000005E-6</v>
      </c>
      <c r="BL16" s="263" t="s">
        <v>72</v>
      </c>
      <c r="BM16" s="262" t="s">
        <v>449</v>
      </c>
      <c r="BN16" s="290">
        <f>B25</f>
        <v>1.5599552831999999E-6</v>
      </c>
      <c r="BO16" s="263" t="s">
        <v>72</v>
      </c>
      <c r="BP16" s="262" t="s">
        <v>452</v>
      </c>
      <c r="BQ16" s="290">
        <f>B27</f>
        <v>7.0991976959999998E-6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B16" s="262"/>
      <c r="CC16" s="293"/>
      <c r="CD16" s="262"/>
      <c r="CE16" s="262"/>
      <c r="CF16" s="293"/>
      <c r="CG16" s="262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((CU5*CU44*CU12)/((1-EXP(-CU12*CU44))*CU8*CU31*(1/365)*CU32*((CU38*(1/24)*CU42)+(CU39*(1/24)*CU41))*CU43))/CU48</f>
        <v>5.4097678573349905E-3</v>
      </c>
      <c r="CV16" s="271" t="s">
        <v>303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>
        <f>DG2</f>
        <v>1.4785025481626185E-2</v>
      </c>
      <c r="DB16" s="266" t="s">
        <v>304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4.9501186643835612E-2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4.9501186643835612E-2</v>
      </c>
      <c r="DQ16" s="262" t="s">
        <v>82</v>
      </c>
      <c r="DR16" s="267" t="s">
        <v>400</v>
      </c>
      <c r="DS16" s="297">
        <f>B175</f>
        <v>2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4.9501186643835612E-2</v>
      </c>
      <c r="EF16" s="262" t="s">
        <v>82</v>
      </c>
      <c r="EG16" s="267" t="s">
        <v>401</v>
      </c>
      <c r="EH16" s="297">
        <f>B176</f>
        <v>2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4.9501186643835612E-2</v>
      </c>
      <c r="EU16" s="262" t="s">
        <v>82</v>
      </c>
      <c r="EV16" s="267" t="s">
        <v>402</v>
      </c>
      <c r="EW16" s="297">
        <f>B177</f>
        <v>2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4.9501186643835612E-2</v>
      </c>
      <c r="FJ16" s="262" t="s">
        <v>82</v>
      </c>
      <c r="FK16" s="267" t="s">
        <v>403</v>
      </c>
      <c r="FL16" s="297">
        <f>B178</f>
        <v>2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2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4.9501186643835612E-2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4.9501186643835612E-2</v>
      </c>
      <c r="HC16" s="262" t="s">
        <v>82</v>
      </c>
      <c r="HD16" s="262"/>
      <c r="HE16" s="293"/>
      <c r="HF16" s="262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>
        <f>(K18/(K50+K51))*K11</f>
        <v>8.6923774561509723E-3</v>
      </c>
      <c r="L17" s="271" t="s">
        <v>303</v>
      </c>
      <c r="M17" s="95" t="s">
        <v>299</v>
      </c>
      <c r="N17" s="293">
        <f>B293</f>
        <v>27.027027027027</v>
      </c>
      <c r="O17" s="262"/>
      <c r="P17" s="95" t="s">
        <v>299</v>
      </c>
      <c r="Q17" s="293">
        <f>B293</f>
        <v>27.027027027027</v>
      </c>
      <c r="R17" s="262"/>
      <c r="S17" s="95" t="s">
        <v>299</v>
      </c>
      <c r="T17" s="293">
        <f>B293</f>
        <v>27.027027027027</v>
      </c>
      <c r="U17" s="262"/>
      <c r="V17" s="88" t="s">
        <v>78</v>
      </c>
      <c r="W17" s="296">
        <f>((W5)/((W11/W12)*W8*W9*W14*(1/365)))/W20</f>
        <v>30.449762704060753</v>
      </c>
      <c r="X17" s="88" t="s">
        <v>15</v>
      </c>
      <c r="Y17" s="88" t="s">
        <v>78</v>
      </c>
      <c r="Z17" s="296">
        <f>((Z5)/((Z11/Z12)*Z8*Z9*Z14*(1/365)))/Z20</f>
        <v>30.449762704060753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95" t="s">
        <v>299</v>
      </c>
      <c r="AJ17" s="293">
        <f>B293</f>
        <v>27.027027027027</v>
      </c>
      <c r="AK17" s="262"/>
      <c r="AL17" s="95" t="s">
        <v>299</v>
      </c>
      <c r="AM17" s="293">
        <f>B293</f>
        <v>27.027027027027</v>
      </c>
      <c r="AN17" s="262"/>
      <c r="AO17" s="95" t="s">
        <v>299</v>
      </c>
      <c r="AP17" s="293">
        <f>B293</f>
        <v>27.027027027027</v>
      </c>
      <c r="AQ17" s="262"/>
      <c r="AR17" s="95" t="s">
        <v>299</v>
      </c>
      <c r="AS17" s="293">
        <f>B293</f>
        <v>27.027027027027</v>
      </c>
      <c r="AT17" s="262"/>
      <c r="AU17" s="95" t="s">
        <v>299</v>
      </c>
      <c r="AV17" s="293">
        <f>B293</f>
        <v>27.027027027027</v>
      </c>
      <c r="AW17" s="262"/>
      <c r="AX17" s="95" t="s">
        <v>299</v>
      </c>
      <c r="AY17" s="293">
        <f>B293</f>
        <v>27.027027027027</v>
      </c>
      <c r="AZ17" s="262"/>
      <c r="BA17" s="95" t="s">
        <v>299</v>
      </c>
      <c r="BB17" s="293">
        <f>B293</f>
        <v>27.027027027027</v>
      </c>
      <c r="BC17" s="262"/>
      <c r="BD17" s="95" t="s">
        <v>299</v>
      </c>
      <c r="BE17" s="293">
        <f>B293</f>
        <v>27.027027027027</v>
      </c>
      <c r="BF17" s="262"/>
      <c r="BG17" s="95" t="s">
        <v>299</v>
      </c>
      <c r="BH17" s="293">
        <f>B293</f>
        <v>27.027027027027</v>
      </c>
      <c r="BI17" s="262"/>
      <c r="BJ17" s="95" t="s">
        <v>299</v>
      </c>
      <c r="BK17" s="293">
        <f>B293</f>
        <v>27.027027027027</v>
      </c>
      <c r="BL17" s="262"/>
      <c r="BM17" s="95" t="s">
        <v>299</v>
      </c>
      <c r="BN17" s="293">
        <f>B293</f>
        <v>27.027027027027</v>
      </c>
      <c r="BO17" s="262"/>
      <c r="BP17" s="95" t="s">
        <v>299</v>
      </c>
      <c r="BQ17" s="293">
        <f>B293</f>
        <v>27.027027027027</v>
      </c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7.2593235320010142E-4</v>
      </c>
      <c r="CV17" s="271" t="s">
        <v>303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4.3312499999999997E-4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7.7413948559999998E-9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>
        <f>(K5/(K9*(K25+K28)*K39))/K54</f>
        <v>2.3782626791129108E-3</v>
      </c>
      <c r="L18" s="271" t="s">
        <v>303</v>
      </c>
      <c r="V18" s="88" t="s">
        <v>74</v>
      </c>
      <c r="W18" s="294">
        <f>((W5*W6*W9)/((W11/W12)*(1-EXP(-W6*W9))*W10*W13*W8*W9))/W20</f>
        <v>4.1638156264180328E-4</v>
      </c>
      <c r="X18" s="88" t="s">
        <v>16</v>
      </c>
      <c r="Y18" s="88" t="s">
        <v>74</v>
      </c>
      <c r="Z18" s="294">
        <f>((Z5*Z6*Z9)/((Z11/Z12)*(1-EXP(-Z6*Z9))*Z10*Z13*Z8*Z9))/Z20</f>
        <v>4.1638156264180328E-4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14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303</v>
      </c>
      <c r="CW18" s="266" t="s">
        <v>63</v>
      </c>
      <c r="CX18" s="189">
        <f>B28</f>
        <v>7.7413948559999998E-9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4.3312499999999997E-4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4.3312499999999997E-4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4.3312499999999997E-4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4.3312499999999997E-4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4.3312499999999997E-4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1600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2.8231E-8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((W5*W6*W9)/((W11/W12)*(1-EXP(-W6*W9))*W14*W8*W9*(1/365)))/W20</f>
        <v>30.482745988345894</v>
      </c>
      <c r="X19" s="88" t="s">
        <v>16</v>
      </c>
      <c r="Y19" s="88" t="s">
        <v>78</v>
      </c>
      <c r="Z19" s="296">
        <f>((Z5*Z6*Z9)/((Z11/Z12)*(1-EXP(-Z6*Z9))*Z14*Z8*Z9*(1/365)))/Z20</f>
        <v>30.482745988345894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0.79200000000000004</v>
      </c>
      <c r="AG19" s="305">
        <f>B4</f>
        <v>0.79200000000000004</v>
      </c>
      <c r="AH19" s="267"/>
      <c r="BS19" s="262" t="s">
        <v>63</v>
      </c>
      <c r="BT19" s="287">
        <f>E18</f>
        <v>7.7413948559999998E-9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((CC22*CC23*CC24)/((1-EXP(-CC24*CC23))*CC27*CC31*(CC26/365)*CC29*(CC30/24)*CC28))/CC32</f>
        <v>7.0200781154511027</v>
      </c>
      <c r="CD19" s="404" t="s">
        <v>307</v>
      </c>
      <c r="CE19" s="402" t="s">
        <v>562</v>
      </c>
      <c r="CF19" s="400">
        <f>((CF22*CF23*CF24)/((1-EXP(-CF24*CF23))*CF27*CF31*(CF26/365)*CF29*(CF30/24)*CF28))/CF32</f>
        <v>0.74045572465023413</v>
      </c>
      <c r="CG19" s="398" t="s">
        <v>303</v>
      </c>
      <c r="CK19" s="410" t="s">
        <v>510</v>
      </c>
      <c r="CL19" s="400">
        <f>(CL22/(CL23*CL24*CL25*CL26))/CL27</f>
        <v>3.6893562073418228E-2</v>
      </c>
      <c r="CM19" s="404" t="s">
        <v>303</v>
      </c>
      <c r="CN19" s="402" t="s">
        <v>7</v>
      </c>
      <c r="CO19" s="400">
        <f>(CL19/(CO22*((CO27*CO29*CO30*(CO23+CO24))+(CO28*CO29))))*CL30</f>
        <v>192.89334213451741</v>
      </c>
      <c r="CP19" s="412" t="s">
        <v>303</v>
      </c>
      <c r="CQ19" s="402" t="s">
        <v>6</v>
      </c>
      <c r="CR19" s="400">
        <f>CL19/(CR22*CR23*(1/CR24))</f>
        <v>21702.09533730484</v>
      </c>
      <c r="CS19" s="415" t="s">
        <v>304</v>
      </c>
      <c r="CT19" s="266" t="s">
        <v>258</v>
      </c>
      <c r="CU19" s="295" t="e">
        <f>GV2</f>
        <v>#DIV/0!</v>
      </c>
      <c r="CV19" s="271" t="s">
        <v>303</v>
      </c>
      <c r="CW19" s="266" t="s">
        <v>255</v>
      </c>
      <c r="CX19" s="304">
        <f>B173</f>
        <v>2</v>
      </c>
      <c r="CY19" s="88"/>
      <c r="CZ19" s="266" t="s">
        <v>184</v>
      </c>
      <c r="DA19" s="295">
        <f>EK2</f>
        <v>4.399302033135239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1600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1600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1600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1600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1600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299</v>
      </c>
      <c r="GP19" s="344">
        <f>B293</f>
        <v>27.027027027027</v>
      </c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3.8480000000000001E-10</v>
      </c>
      <c r="C20" s="263" t="s">
        <v>35</v>
      </c>
      <c r="D20" s="88" t="s">
        <v>74</v>
      </c>
      <c r="E20" s="294">
        <f>((E5)/(E10*E11))/E26</f>
        <v>2.1663074206860718E-5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299</v>
      </c>
      <c r="W20" s="289">
        <f>B293</f>
        <v>27.027027027027</v>
      </c>
      <c r="Y20" s="95" t="s">
        <v>299</v>
      </c>
      <c r="Z20" s="289">
        <f>B293</f>
        <v>27.027027027027</v>
      </c>
      <c r="AB20" s="262" t="s">
        <v>71</v>
      </c>
      <c r="AC20" s="287">
        <f>B23</f>
        <v>8.3719157040000005E-6</v>
      </c>
      <c r="AD20" s="287">
        <f>B23</f>
        <v>8.3719157040000005E-6</v>
      </c>
      <c r="AE20" s="287">
        <f>B23</f>
        <v>8.3719157040000005E-6</v>
      </c>
      <c r="AF20" s="287">
        <f>B23</f>
        <v>8.3719157040000005E-6</v>
      </c>
      <c r="AG20" s="287">
        <f>B23</f>
        <v>8.3719157040000005E-6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6.4426992666935898E-2</v>
      </c>
      <c r="CV20" s="271" t="s">
        <v>303</v>
      </c>
      <c r="CW20" s="88" t="s">
        <v>74</v>
      </c>
      <c r="CX20" s="294">
        <f>((CX5)/((CX14/CX15)*CX10*CX11))/CX26</f>
        <v>2.3107279153984763E-5</v>
      </c>
      <c r="CY20" s="88" t="s">
        <v>15</v>
      </c>
      <c r="CZ20" s="266" t="s">
        <v>493</v>
      </c>
      <c r="DA20" s="295">
        <f>DV2</f>
        <v>11.678158655064349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1.1866438356164383E-6</v>
      </c>
      <c r="DH20" s="249" t="s">
        <v>82</v>
      </c>
      <c r="DL20" s="267"/>
      <c r="DO20" s="267" t="s">
        <v>90</v>
      </c>
      <c r="DP20" s="288">
        <f>0.693/B35</f>
        <v>1.1866438356164383E-6</v>
      </c>
      <c r="DQ20" s="249" t="s">
        <v>82</v>
      </c>
      <c r="DR20" s="95" t="s">
        <v>299</v>
      </c>
      <c r="DS20" s="289">
        <f>B293</f>
        <v>27.027027027027</v>
      </c>
      <c r="DU20" s="267"/>
      <c r="EA20" s="267"/>
      <c r="EB20" s="307"/>
      <c r="EC20" s="263"/>
      <c r="ED20" s="267" t="s">
        <v>90</v>
      </c>
      <c r="EE20" s="299">
        <f>0.693/B35</f>
        <v>1.1866438356164383E-6</v>
      </c>
      <c r="EF20" s="263" t="s">
        <v>82</v>
      </c>
      <c r="EG20" s="95" t="s">
        <v>299</v>
      </c>
      <c r="EH20" s="345">
        <f>B293</f>
        <v>27.027027027027</v>
      </c>
      <c r="EJ20" s="267"/>
      <c r="EP20" s="267"/>
      <c r="EQ20" s="307"/>
      <c r="ER20" s="263"/>
      <c r="ES20" s="267" t="s">
        <v>90</v>
      </c>
      <c r="ET20" s="299">
        <f>0.693/B35</f>
        <v>1.1866438356164383E-6</v>
      </c>
      <c r="EU20" s="263" t="s">
        <v>82</v>
      </c>
      <c r="EV20" s="95" t="s">
        <v>299</v>
      </c>
      <c r="EW20" s="345">
        <f>B293</f>
        <v>27.027027027027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1.1866438356164383E-6</v>
      </c>
      <c r="FJ20" s="263" t="s">
        <v>82</v>
      </c>
      <c r="FK20" s="95" t="s">
        <v>299</v>
      </c>
      <c r="FL20" s="345">
        <f>B293</f>
        <v>27.027027027027</v>
      </c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299</v>
      </c>
      <c r="GA20" s="344">
        <f>B293</f>
        <v>27.027027027027</v>
      </c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1.1866438356164383E-6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1.1866438356164383E-6</v>
      </c>
      <c r="HC20" s="263" t="s">
        <v>82</v>
      </c>
    </row>
    <row r="21" spans="1:214" ht="15" thickTop="1" thickBot="1" x14ac:dyDescent="0.25">
      <c r="A21" s="262" t="s">
        <v>316</v>
      </c>
      <c r="B21" s="315">
        <v>6.7709999999999997E-10</v>
      </c>
      <c r="C21" s="262" t="s">
        <v>35</v>
      </c>
      <c r="D21" s="88" t="s">
        <v>78</v>
      </c>
      <c r="E21" s="295">
        <f>((E5)/((E14/E15)*E8*E9*E18*(1/365)*E19))/E26</f>
        <v>1.5859251408364978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((N24*N25*N26)/((1-EXP(-N26*N25))*N29*N34*(N28/365)*N32*(((N33/24)*N31)+((N35/24)*N30))))/N36</f>
        <v>2.3467528614868432E-2</v>
      </c>
      <c r="O21" s="637" t="s">
        <v>307</v>
      </c>
      <c r="P21" s="639" t="s">
        <v>516</v>
      </c>
      <c r="Q21" s="647">
        <f>((Q24*Q25*Q26)/((1-EXP(-Q26*Q25))*Q29*Q34*(Q28/365)*Q32*(((Q33/24)*Q31)+((Q35/24)*Q30))))/Q36</f>
        <v>7.977977824092302E-3</v>
      </c>
      <c r="R21" s="643" t="s">
        <v>303</v>
      </c>
      <c r="AB21" s="262" t="s">
        <v>43</v>
      </c>
      <c r="AC21" s="290">
        <f>B19</f>
        <v>2.8231E-8</v>
      </c>
      <c r="AD21" s="290">
        <f>B19</f>
        <v>2.8231E-8</v>
      </c>
      <c r="AE21" s="290">
        <f>B19</f>
        <v>2.8231E-8</v>
      </c>
      <c r="AF21" s="290">
        <f>B19</f>
        <v>2.8231E-8</v>
      </c>
      <c r="AG21" s="290">
        <f>B19</f>
        <v>2.8231E-8</v>
      </c>
      <c r="AH21" s="263" t="s">
        <v>35</v>
      </c>
      <c r="AI21" s="381" t="s">
        <v>516</v>
      </c>
      <c r="AJ21" s="387">
        <f>((AJ24*AJ25*AJ26)/((1-EXP(-AJ26*AJ25))*AJ34*(AJ28/365)*AJ29*(AJ35/24)*AJ30*AJ32))/AJ36</f>
        <v>0.38865501135141012</v>
      </c>
      <c r="AK21" s="629" t="s">
        <v>307</v>
      </c>
      <c r="AL21" s="383" t="s">
        <v>516</v>
      </c>
      <c r="AM21" s="387">
        <f>((AM24*AM25*AM26)/((1-EXP(-AM26*AM25))*AM34*(AM28/365)*AM29*(AM35/24)*AM30*AM32))/AM36</f>
        <v>0.13212644214352331</v>
      </c>
      <c r="AN21" s="635" t="s">
        <v>303</v>
      </c>
      <c r="AR21" s="381" t="s">
        <v>516</v>
      </c>
      <c r="AS21" s="387">
        <f>((AS24*AS25*AS26)/((1-EXP(-AS26*AS25))*AS34*(AS28/365)*AS29*(AS33/24)*AS31*AS32))/AS36</f>
        <v>0.15546200454056405</v>
      </c>
      <c r="AT21" s="391" t="s">
        <v>307</v>
      </c>
      <c r="AU21" s="383" t="s">
        <v>516</v>
      </c>
      <c r="AV21" s="387">
        <f>((AV24*AV25*AV26)/((1-EXP(-AV26*AV25))*AV34*(AV28/365)*AV29*(AV33/24)*AV31*AV32))/AV36</f>
        <v>5.2850576857409327E-2</v>
      </c>
      <c r="AW21" s="385" t="s">
        <v>303</v>
      </c>
      <c r="BA21" s="381" t="s">
        <v>516</v>
      </c>
      <c r="BB21" s="387">
        <f>((BB24*BB25*BB26)/((1-EXP(-BB26*BB25))*BB34*(BB28/365)*BB29*((BB33+BB35)/24)*BB31*BB32))/BB36</f>
        <v>0.15546200454056405</v>
      </c>
      <c r="BC21" s="391" t="s">
        <v>307</v>
      </c>
      <c r="BD21" s="383" t="s">
        <v>516</v>
      </c>
      <c r="BE21" s="387">
        <f>((BE24*BE25*BE26)/((1-EXP(-BE26*BE25))*BE34*(BE28/365)*BE29*((BE33+BE35)/24)*BE31*BE32))/BE36</f>
        <v>5.2850576857409327E-2</v>
      </c>
      <c r="BF21" s="385" t="s">
        <v>303</v>
      </c>
      <c r="BJ21" s="381" t="s">
        <v>561</v>
      </c>
      <c r="BK21" s="389">
        <f>((BK24*BK25*BK26)/((1-EXP(-BK26*BK25))*BK31*BK35*(BK28/365)*BK33*(BK34/24)*BK32))/BK36</f>
        <v>9.9106235044729214</v>
      </c>
      <c r="BL21" s="391" t="s">
        <v>307</v>
      </c>
      <c r="BM21" s="383" t="s">
        <v>562</v>
      </c>
      <c r="BN21" s="389">
        <f>((BN24*BN25*BN26)/((1-EXP(-BN26*BN25))*BN31*BN35*(BN28/365)*BN33*(BN34/24)*BN32))/BN36</f>
        <v>1.0453413463574519</v>
      </c>
      <c r="BO21" s="385" t="s">
        <v>303</v>
      </c>
      <c r="BS21" s="88" t="s">
        <v>74</v>
      </c>
      <c r="BT21" s="294">
        <f>((BT5)/(BT10*BT11))/BT29</f>
        <v>2.9328469695442201E-4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0.18580194396726007</v>
      </c>
      <c r="CV21" s="271" t="s">
        <v>303</v>
      </c>
      <c r="CW21" s="88" t="s">
        <v>78</v>
      </c>
      <c r="CX21" s="296">
        <f>((CX5)/((CX14/CX15)*CX8*CX9*CX18*(1/365)*CX19))/CX26</f>
        <v>0.52864171361216594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4.3312499999999997E-4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2.9489E-10</v>
      </c>
      <c r="C22" s="262" t="s">
        <v>35</v>
      </c>
      <c r="D22" s="88" t="s">
        <v>74</v>
      </c>
      <c r="E22" s="295">
        <f>((E5*E9*E6)/((1-EXP(-E6*E9))*E10*E11))/E26</f>
        <v>2.1757037861299201E-5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((BT5)/((BT14/24)*(BT8/365)*BT9*BT19*BT20))/BT29</f>
        <v>21.470986522094126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1.6999999999999999E-3</v>
      </c>
      <c r="CQ22" s="262" t="s">
        <v>265</v>
      </c>
      <c r="CR22" s="287">
        <f>CO22</f>
        <v>1.6999999999999999E-3</v>
      </c>
      <c r="CT22" s="266" t="s">
        <v>492</v>
      </c>
      <c r="CU22" s="295" t="e">
        <f>GG2</f>
        <v>#DIV/0!</v>
      </c>
      <c r="CV22" s="271" t="s">
        <v>303</v>
      </c>
      <c r="CW22" s="88" t="s">
        <v>74</v>
      </c>
      <c r="CX22" s="294">
        <f>((CX5*CX9*CX6)/((CX14/CX15)*(1-EXP(-CX6*CX9))*CX10*CX11))/CX26</f>
        <v>2.325772937200228E-5</v>
      </c>
      <c r="CY22" s="88" t="s">
        <v>16</v>
      </c>
      <c r="CZ22" s="266" t="s">
        <v>183</v>
      </c>
      <c r="DA22" s="296">
        <f>FO2</f>
        <v>9.9094278296371269E-2</v>
      </c>
      <c r="DB22" s="88"/>
      <c r="DC22" s="266" t="s">
        <v>270</v>
      </c>
      <c r="DD22" s="287">
        <f>B31</f>
        <v>1600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8.3719157040000005E-6</v>
      </c>
      <c r="C23" s="262" t="s">
        <v>95</v>
      </c>
      <c r="D23" s="88" t="s">
        <v>78</v>
      </c>
      <c r="E23" s="296">
        <f>((E5*E9*E6)/((E14/E15)*E8*E9*(1-EXP(-E6*E9))*E18*(1/365)*E19))/E26</f>
        <v>1.5928040962643326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97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((BT5*BT28*BT6)/((1-EXP(-BT6*BT28))*BT10*BT11))/BT29</f>
        <v>2.9493917252126618E-4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5.1429999999999997E-10</v>
      </c>
      <c r="CM23" s="266" t="s">
        <v>13</v>
      </c>
      <c r="CN23" s="249" t="s">
        <v>21</v>
      </c>
      <c r="CO23" s="290">
        <f>CO25</f>
        <v>1.7000000000000001E-2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9.9739475667927954E-5</v>
      </c>
      <c r="CV23" s="271" t="s">
        <v>303</v>
      </c>
      <c r="CW23" s="88" t="s">
        <v>78</v>
      </c>
      <c r="CX23" s="296">
        <f>((CX5*CX9*CX6)/((CX14/CX15)*CX8*CX9*(1-EXP(-CX6*CX9))*CX18*(1/365)*CX19))/CX26</f>
        <v>0.53208367060485628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C23" s="95" t="s">
        <v>299</v>
      </c>
      <c r="DD23" s="345">
        <f>B293</f>
        <v>27.027027027027</v>
      </c>
      <c r="DF23" s="262" t="s">
        <v>17</v>
      </c>
      <c r="DG23" s="287">
        <f>B35</f>
        <v>584000</v>
      </c>
      <c r="DH23" s="249" t="s">
        <v>257</v>
      </c>
      <c r="DO23" s="262" t="s">
        <v>20</v>
      </c>
      <c r="DP23" s="305">
        <f>DP25</f>
        <v>1.4789999999999999E-2</v>
      </c>
      <c r="EA23" s="262"/>
      <c r="EB23" s="293"/>
      <c r="EC23" s="263"/>
      <c r="ED23" s="262" t="s">
        <v>20</v>
      </c>
      <c r="EE23" s="305">
        <f>EE25</f>
        <v>1.7000000000000001E-2</v>
      </c>
      <c r="EF23" s="263"/>
      <c r="EP23" s="262"/>
      <c r="EQ23" s="293"/>
      <c r="ER23" s="263"/>
      <c r="ES23" s="262" t="s">
        <v>20</v>
      </c>
      <c r="ET23" s="305">
        <f>ET25</f>
        <v>1.7000000000000001E-2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1.4789999999999999E-2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1.4789999999999999E-2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1.4789999999999999E-2</v>
      </c>
      <c r="HC23" s="263"/>
      <c r="HD23" s="219" t="s">
        <v>574</v>
      </c>
      <c r="HE23" s="348">
        <f>(HE25*HE33*HE38*HE32*10^-3*HE31*HE27)/(HE30*HE41*(1-EXP(-HE27*HE31)))</f>
        <v>2.6188774597575965E-3</v>
      </c>
      <c r="HF23" s="252" t="s">
        <v>303</v>
      </c>
    </row>
    <row r="24" spans="1:214" ht="14.25" thickTop="1" thickBot="1" x14ac:dyDescent="0.25">
      <c r="A24" s="262" t="s">
        <v>450</v>
      </c>
      <c r="B24" s="315">
        <v>1.5179205599999999E-6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((BT5*BT28*BT6)/((BT14/24)*(BT8/365)*BT9*(1-EXP(-BT6*BT28))*BT19*BT20))/BT29</f>
        <v>21.592108500041604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4.3312499999999997E-4</v>
      </c>
      <c r="CE24" s="262" t="s">
        <v>23</v>
      </c>
      <c r="CF24" s="288">
        <f>0.693/CF25</f>
        <v>4.3312499999999997E-4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9.672755710692579E-7</v>
      </c>
      <c r="HF24" s="75" t="s">
        <v>303</v>
      </c>
    </row>
    <row r="25" spans="1:214" ht="13.5" thickTop="1" x14ac:dyDescent="0.2">
      <c r="A25" s="262" t="s">
        <v>449</v>
      </c>
      <c r="B25" s="315">
        <v>1.5599552831999999E-6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4.1637587512147314E-4</v>
      </c>
      <c r="X25" s="254" t="s">
        <v>302</v>
      </c>
      <c r="Y25" s="321" t="s">
        <v>16</v>
      </c>
      <c r="Z25" s="358">
        <f>1/((1/Z38)+(1/Z39))</f>
        <v>4.1599271949907123E-4</v>
      </c>
      <c r="AA25" s="255" t="s">
        <v>302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1600</v>
      </c>
      <c r="CD25" s="249" t="s">
        <v>69</v>
      </c>
      <c r="CE25" s="266" t="s">
        <v>270</v>
      </c>
      <c r="CF25" s="287">
        <f>B31</f>
        <v>1600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1.7000000000000001E-2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1.4789999999999999E-2</v>
      </c>
      <c r="EA25" s="262"/>
      <c r="EC25" s="263"/>
      <c r="ED25" s="262" t="s">
        <v>38</v>
      </c>
      <c r="EE25" s="287">
        <f>B45</f>
        <v>1.7000000000000001E-2</v>
      </c>
      <c r="EF25" s="263"/>
      <c r="EP25" s="262"/>
      <c r="ER25" s="263"/>
      <c r="ES25" s="263" t="s">
        <v>37</v>
      </c>
      <c r="ET25" s="287">
        <f>B45</f>
        <v>1.7000000000000001E-2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1.4789999999999999E-2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1.4789999999999999E-2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1.4789999999999999E-2</v>
      </c>
      <c r="HC25" s="263"/>
      <c r="HD25" s="265" t="s">
        <v>22</v>
      </c>
      <c r="HE25" s="305">
        <f>B47</f>
        <v>0.185000185000185</v>
      </c>
      <c r="HF25" s="262" t="s">
        <v>304</v>
      </c>
    </row>
    <row r="26" spans="1:214" ht="13.5" thickBot="1" x14ac:dyDescent="0.25">
      <c r="A26" s="262" t="s">
        <v>451</v>
      </c>
      <c r="B26" s="315">
        <v>4.4650217087999997E-6</v>
      </c>
      <c r="C26" s="262" t="s">
        <v>95</v>
      </c>
      <c r="D26" s="95" t="s">
        <v>299</v>
      </c>
      <c r="E26" s="289">
        <f>B293</f>
        <v>27.027027027027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4.3312499999999997E-4</v>
      </c>
      <c r="P26" s="262" t="s">
        <v>23</v>
      </c>
      <c r="Q26" s="288">
        <f>0.693/Q27</f>
        <v>4.3312499999999997E-4</v>
      </c>
      <c r="V26" s="320" t="s">
        <v>15</v>
      </c>
      <c r="W26" s="359">
        <f>1/((1/W38)+(1/W39))</f>
        <v>4.1592534340547039E-4</v>
      </c>
      <c r="X26" s="258" t="s">
        <v>302</v>
      </c>
      <c r="Y26" s="322" t="s">
        <v>15</v>
      </c>
      <c r="Z26" s="360">
        <f>1/((1/Z40)+(1/Z41))</f>
        <v>4.1592534340547044E-4</v>
      </c>
      <c r="AA26" s="259" t="s">
        <v>302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4.3312499999999997E-4</v>
      </c>
      <c r="AL26" s="262" t="s">
        <v>23</v>
      </c>
      <c r="AM26" s="288">
        <f>0.693/AM27</f>
        <v>4.3312499999999997E-4</v>
      </c>
      <c r="AR26" s="262" t="s">
        <v>23</v>
      </c>
      <c r="AS26" s="288">
        <f>0.693/AS27</f>
        <v>4.3312499999999997E-4</v>
      </c>
      <c r="AU26" s="262" t="s">
        <v>23</v>
      </c>
      <c r="AV26" s="288">
        <f>0.693/AV27</f>
        <v>4.3312499999999997E-4</v>
      </c>
      <c r="BA26" s="262" t="s">
        <v>23</v>
      </c>
      <c r="BB26" s="288">
        <f>0.693/BB27</f>
        <v>4.3312499999999997E-4</v>
      </c>
      <c r="BD26" s="262" t="s">
        <v>23</v>
      </c>
      <c r="BE26" s="288">
        <f>0.693/BE27</f>
        <v>4.3312499999999997E-4</v>
      </c>
      <c r="BJ26" s="262" t="s">
        <v>23</v>
      </c>
      <c r="BK26" s="288">
        <f>0.693/BK27</f>
        <v>4.3312499999999997E-4</v>
      </c>
      <c r="BM26" s="262" t="s">
        <v>23</v>
      </c>
      <c r="BN26" s="288">
        <f>0.693/BN27</f>
        <v>4.3312499999999997E-4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95" t="s">
        <v>299</v>
      </c>
      <c r="CX26" s="346">
        <f>B293</f>
        <v>27.027027027027</v>
      </c>
      <c r="CY26" s="88"/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1.7000000000000001E-2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6.8329336650419512E-5</v>
      </c>
      <c r="HF26" s="262" t="s">
        <v>304</v>
      </c>
    </row>
    <row r="27" spans="1:214" ht="15" thickTop="1" x14ac:dyDescent="0.2">
      <c r="A27" s="262" t="s">
        <v>452</v>
      </c>
      <c r="B27" s="315">
        <v>7.0991976959999998E-6</v>
      </c>
      <c r="C27" s="262" t="s">
        <v>95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1600</v>
      </c>
      <c r="O27" s="249" t="s">
        <v>69</v>
      </c>
      <c r="P27" s="266" t="s">
        <v>270</v>
      </c>
      <c r="Q27" s="287">
        <f>B31</f>
        <v>1600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4.3312499999999997E-4</v>
      </c>
      <c r="AD27" s="288">
        <f>0.693/AD28</f>
        <v>4.3312499999999997E-4</v>
      </c>
      <c r="AE27" s="288">
        <f>0.693/AE28</f>
        <v>4.3312499999999997E-4</v>
      </c>
      <c r="AF27" s="288">
        <f>0.693/AF28</f>
        <v>4.3312499999999997E-4</v>
      </c>
      <c r="AG27" s="288">
        <f>0.693/AG28</f>
        <v>4.3312499999999997E-4</v>
      </c>
      <c r="AI27" s="266" t="s">
        <v>270</v>
      </c>
      <c r="AJ27" s="287">
        <f>B31</f>
        <v>1600</v>
      </c>
      <c r="AK27" s="249" t="s">
        <v>69</v>
      </c>
      <c r="AL27" s="266" t="s">
        <v>270</v>
      </c>
      <c r="AM27" s="287">
        <f>B31</f>
        <v>1600</v>
      </c>
      <c r="AN27" s="249" t="s">
        <v>69</v>
      </c>
      <c r="AR27" s="266" t="s">
        <v>270</v>
      </c>
      <c r="AS27" s="287">
        <f>B31</f>
        <v>1600</v>
      </c>
      <c r="AT27" s="249" t="s">
        <v>69</v>
      </c>
      <c r="AU27" s="266" t="s">
        <v>270</v>
      </c>
      <c r="AV27" s="287">
        <f>B31</f>
        <v>1600</v>
      </c>
      <c r="AW27" s="249" t="s">
        <v>69</v>
      </c>
      <c r="BA27" s="266" t="s">
        <v>270</v>
      </c>
      <c r="BB27" s="287">
        <f>B31</f>
        <v>1600</v>
      </c>
      <c r="BC27" s="249" t="s">
        <v>69</v>
      </c>
      <c r="BD27" s="266" t="s">
        <v>270</v>
      </c>
      <c r="BE27" s="287">
        <f>B31</f>
        <v>1600</v>
      </c>
      <c r="BF27" s="249" t="s">
        <v>69</v>
      </c>
      <c r="BJ27" s="266" t="s">
        <v>270</v>
      </c>
      <c r="BK27" s="287">
        <f>B31</f>
        <v>1600</v>
      </c>
      <c r="BL27" s="249" t="s">
        <v>69</v>
      </c>
      <c r="BM27" s="266" t="s">
        <v>270</v>
      </c>
      <c r="BN27" s="287">
        <f>B31</f>
        <v>1600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299</v>
      </c>
      <c r="CL27" s="289">
        <f>B293</f>
        <v>27.027027027027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3.8000000000000002E-4</v>
      </c>
      <c r="EP27" s="262"/>
      <c r="EQ27" s="310"/>
      <c r="ES27" s="262" t="s">
        <v>275</v>
      </c>
      <c r="ET27" s="310">
        <f>B38</f>
        <v>1.6999999999999999E-3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4.3312499999999997E-4</v>
      </c>
    </row>
    <row r="28" spans="1:214" ht="15.75" thickBot="1" x14ac:dyDescent="0.25">
      <c r="A28" s="262" t="s">
        <v>63</v>
      </c>
      <c r="B28" s="315">
        <v>7.7413948559999998E-9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4.3312499999999997E-4</v>
      </c>
      <c r="Y28" s="262" t="s">
        <v>23</v>
      </c>
      <c r="Z28" s="288">
        <f>0.693/Z29</f>
        <v>4.3312499999999997E-4</v>
      </c>
      <c r="AB28" s="266" t="s">
        <v>270</v>
      </c>
      <c r="AC28" s="287">
        <f>B31</f>
        <v>1600</v>
      </c>
      <c r="AD28" s="287">
        <f>B31</f>
        <v>1600</v>
      </c>
      <c r="AE28" s="287">
        <f>B31</f>
        <v>1600</v>
      </c>
      <c r="AF28" s="287">
        <f>B31</f>
        <v>1600</v>
      </c>
      <c r="AG28" s="287">
        <f>B31</f>
        <v>1600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3.44E-2</v>
      </c>
      <c r="CE28" s="249" t="s">
        <v>458</v>
      </c>
      <c r="CF28" s="287">
        <f>B8</f>
        <v>6.8599999999999994E-2</v>
      </c>
      <c r="CK28" s="266" t="s">
        <v>270</v>
      </c>
      <c r="CL28" s="287">
        <f>B31</f>
        <v>1600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1600</v>
      </c>
      <c r="HF28" s="249" t="s">
        <v>69</v>
      </c>
    </row>
    <row r="29" spans="1:214" ht="18.75" thickTop="1" x14ac:dyDescent="0.2">
      <c r="A29" s="266" t="s">
        <v>161</v>
      </c>
      <c r="B29" s="315">
        <v>1.6813889280000001E-11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1600</v>
      </c>
      <c r="X29" s="249" t="s">
        <v>69</v>
      </c>
      <c r="Y29" s="266" t="s">
        <v>270</v>
      </c>
      <c r="Z29" s="287">
        <f>B31</f>
        <v>1600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95" t="s">
        <v>299</v>
      </c>
      <c r="BT29" s="313">
        <f>B293</f>
        <v>27.027027027027</v>
      </c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0.45600000000000002</v>
      </c>
      <c r="CE29" s="249" t="s">
        <v>459</v>
      </c>
      <c r="CF29" s="287">
        <f>B9</f>
        <v>0.73699999999999999</v>
      </c>
      <c r="CK29" s="249" t="s">
        <v>23</v>
      </c>
      <c r="CL29" s="288">
        <f>693/CL28</f>
        <v>0.43312499999999998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5.1429999999999997E-10</v>
      </c>
      <c r="C30" s="267" t="s">
        <v>35</v>
      </c>
      <c r="D30" s="203" t="s">
        <v>510</v>
      </c>
      <c r="E30" s="204">
        <f>E37</f>
        <v>1.1891313395564554E-3</v>
      </c>
      <c r="F30" s="184" t="s">
        <v>303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354">
        <f>(AC26*AC27)/(1-EXP(-AC27*AC26))</f>
        <v>1.0010832033275825</v>
      </c>
      <c r="AD30" s="354">
        <f>(AD26*AD27)/(1-EXP(-AD27*AD26))</f>
        <v>1.0010832033275825</v>
      </c>
      <c r="AE30" s="354">
        <f>(AE26*AE27)/(1-EXP(-AE27*AE26))</f>
        <v>1.0010832033275825</v>
      </c>
      <c r="AF30" s="354">
        <f>(AF26*AF27)/(1-EXP(-AF27*AF26))</f>
        <v>1.0010832033275825</v>
      </c>
      <c r="AG30" s="354">
        <f>(AG26*AG27)/(1-EXP(-AG27*AG26))</f>
        <v>1.0010832033275825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11.261394841645959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315">
        <v>1600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0.124</v>
      </c>
      <c r="CB31" s="249" t="s">
        <v>71</v>
      </c>
      <c r="CC31" s="290">
        <f>B24</f>
        <v>1.5179205599999999E-6</v>
      </c>
      <c r="CD31" s="262" t="s">
        <v>282</v>
      </c>
      <c r="CE31" s="249" t="s">
        <v>71</v>
      </c>
      <c r="CF31" s="290">
        <f>B26</f>
        <v>4.4650217087999997E-6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2.8231E-8</v>
      </c>
      <c r="X32" s="263" t="s">
        <v>44</v>
      </c>
      <c r="Y32" s="249" t="s">
        <v>43</v>
      </c>
      <c r="Z32" s="290">
        <f>B19</f>
        <v>2.8231E-8</v>
      </c>
      <c r="AA32" s="263" t="s">
        <v>44</v>
      </c>
      <c r="AB32" s="266" t="s">
        <v>80</v>
      </c>
      <c r="AC32" s="294">
        <f>((AC5/(AC9*AC14*AC8*AC11*(1/AC6)))*AC30)/AC38</f>
        <v>8.3045569922547013</v>
      </c>
      <c r="AD32" s="294">
        <f>((AD5/(AD9*AD14*AD8*AD11*(1/AD6)))*AD30)/AD38</f>
        <v>8.3045569922547013</v>
      </c>
      <c r="AE32" s="294">
        <f>((AE5/(AE9*AE14*AE8*AE11*(1/AE6)))*AE30)/AE38</f>
        <v>8.3045569922547013</v>
      </c>
      <c r="AF32" s="294">
        <f>((AF5/(AF9*AF14*AF8*AF11*(1/AF6)))*AF30)/AF38</f>
        <v>8.3045569922547013</v>
      </c>
      <c r="AG32" s="294">
        <f>((AG5/(AG9*AG14*AG8*AG11*(1/AG6)))*AG30)/AG38</f>
        <v>8.3045569922547013</v>
      </c>
      <c r="AH32" s="266" t="s">
        <v>303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3.44E-2</v>
      </c>
      <c r="BM32" s="249" t="s">
        <v>458</v>
      </c>
      <c r="BN32" s="287">
        <f>B8</f>
        <v>6.8599999999999994E-2</v>
      </c>
      <c r="BV32" s="95" t="s">
        <v>299</v>
      </c>
      <c r="BW32" s="289">
        <f>B293</f>
        <v>27.027027027027</v>
      </c>
      <c r="BY32" s="262" t="s">
        <v>62</v>
      </c>
      <c r="BZ32" s="305">
        <f>B4</f>
        <v>0.79200000000000004</v>
      </c>
      <c r="CB32" s="95" t="s">
        <v>299</v>
      </c>
      <c r="CC32" s="289">
        <f>B293</f>
        <v>27.027027027027</v>
      </c>
      <c r="CE32" s="95" t="s">
        <v>299</v>
      </c>
      <c r="CF32" s="289">
        <f>B293</f>
        <v>27.027027027027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((AC5/(AC21*AC17*AC8*AC11*(1/AC35)*((8/1)/(24/1))*AC31))*AC30)/AC38</f>
        <v>353.75373504896061</v>
      </c>
      <c r="AD33" s="295">
        <f>((AD5/(AD21*AD17*AD8*((8/1)/(24/1))*AD11*(1/AD35)*AD31))*AD30)/AD38</f>
        <v>353.75373504896055</v>
      </c>
      <c r="AE33" s="295">
        <f>((AE5/(AE21*AE17*AE8*((8/1)/(24/1))*AE11*(1/AE35)*AE31))*AE30)/AE38</f>
        <v>353.75373504896055</v>
      </c>
      <c r="AF33" s="295">
        <f>((AF5/(AF21*AF17*AF8*AF11*(1/AF36)*(AF23/24)*AF31))*AF30)/AF38</f>
        <v>0.32214677011106119</v>
      </c>
      <c r="AG33" s="295">
        <f>((AG5/(AG21*AG17*AG8*AG11*(1/AG37)*(AG23/24)*AG31))*AG30)/AG38</f>
        <v>15.012995728524901</v>
      </c>
      <c r="AH33" s="88" t="s">
        <v>303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0.45600000000000002</v>
      </c>
      <c r="BM33" s="249" t="s">
        <v>459</v>
      </c>
      <c r="BN33" s="287">
        <f>B9</f>
        <v>0.73699999999999999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5.1429999999999997E-10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1.5179205599999999E-6</v>
      </c>
      <c r="O34" s="263" t="s">
        <v>447</v>
      </c>
      <c r="P34" s="249" t="s">
        <v>451</v>
      </c>
      <c r="Q34" s="290">
        <f>B26</f>
        <v>4.4650217087999997E-6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((AC5/(AC20*(AC8/365)*AC11*((AC23+AC24)/24)*AC16*AC19))*AC30)/AC38</f>
        <v>2.818697432395164E-2</v>
      </c>
      <c r="AD34" s="296">
        <f>((AD5/(AD20*(AD8/365)*AD11*(AD24/24)*AD18*AD19))*AD30)/AD38</f>
        <v>7.0467435809879089E-2</v>
      </c>
      <c r="AE34" s="296">
        <f>((AE5/(AE20*(AE8/365)*AE11*(AE23/24)*AE16*AE19))*AE30)/AE38</f>
        <v>2.818697432395164E-2</v>
      </c>
      <c r="AF34" s="296">
        <f>((AF5/(AF20*(AF8/365)*AF11*(AF23/24)*AF16*AF19))*AF30)/AF38</f>
        <v>0.28701301649510874</v>
      </c>
      <c r="AG34" s="296">
        <f>((AG5/(AG20*(AG8/365)*AG11*(AG23/24)*AG16*AG19))*AG30)/AG38</f>
        <v>0.28701301649510874</v>
      </c>
      <c r="AH34" s="266" t="s">
        <v>303</v>
      </c>
      <c r="AI34" s="262" t="s">
        <v>450</v>
      </c>
      <c r="AJ34" s="290">
        <f>B24</f>
        <v>1.5179205599999999E-6</v>
      </c>
      <c r="AK34" s="262" t="s">
        <v>282</v>
      </c>
      <c r="AL34" s="262" t="s">
        <v>451</v>
      </c>
      <c r="AM34" s="290">
        <f>B26</f>
        <v>4.4650217087999997E-6</v>
      </c>
      <c r="AN34" s="263" t="s">
        <v>72</v>
      </c>
      <c r="AR34" s="262" t="s">
        <v>450</v>
      </c>
      <c r="AS34" s="290">
        <f>B24</f>
        <v>1.5179205599999999E-6</v>
      </c>
      <c r="AT34" s="262" t="s">
        <v>282</v>
      </c>
      <c r="AU34" s="262" t="s">
        <v>451</v>
      </c>
      <c r="AV34" s="290">
        <f>B26</f>
        <v>4.4650217087999997E-6</v>
      </c>
      <c r="AW34" s="263" t="s">
        <v>72</v>
      </c>
      <c r="BA34" s="262" t="s">
        <v>450</v>
      </c>
      <c r="BB34" s="290">
        <f>B24</f>
        <v>1.5179205599999999E-6</v>
      </c>
      <c r="BC34" s="262" t="s">
        <v>282</v>
      </c>
      <c r="BD34" s="262" t="s">
        <v>451</v>
      </c>
      <c r="BE34" s="290">
        <f>B26</f>
        <v>4.4650217087999997E-6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</v>
      </c>
      <c r="HF34" s="249" t="s">
        <v>19</v>
      </c>
    </row>
    <row r="35" spans="1:214" ht="12.75" customHeight="1" x14ac:dyDescent="0.2">
      <c r="A35" s="266" t="s">
        <v>270</v>
      </c>
      <c r="B35" s="315">
        <v>584000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1.5179205599999999E-6</v>
      </c>
      <c r="BL35" s="262" t="s">
        <v>282</v>
      </c>
      <c r="BM35" s="262" t="s">
        <v>451</v>
      </c>
      <c r="BN35" s="290">
        <f>B26</f>
        <v>4.4650217087999997E-6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x14ac:dyDescent="0.2">
      <c r="A36" s="262" t="s">
        <v>122</v>
      </c>
      <c r="B36" s="315">
        <v>4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95" t="s">
        <v>299</v>
      </c>
      <c r="N36" s="361">
        <f>B293</f>
        <v>27.027027027027</v>
      </c>
      <c r="O36" s="281"/>
      <c r="P36" s="95" t="s">
        <v>299</v>
      </c>
      <c r="Q36" s="361">
        <f>B293</f>
        <v>27.027027027027</v>
      </c>
      <c r="R36" s="281"/>
      <c r="V36" s="262" t="s">
        <v>63</v>
      </c>
      <c r="W36" s="287">
        <f>B28</f>
        <v>7.7413948559999998E-9</v>
      </c>
      <c r="X36" s="262" t="s">
        <v>64</v>
      </c>
      <c r="Y36" s="262" t="s">
        <v>63</v>
      </c>
      <c r="Z36" s="287">
        <f>B28</f>
        <v>7.7413948559999998E-9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299</v>
      </c>
      <c r="AJ36" s="289">
        <f>B293</f>
        <v>27.027027027027</v>
      </c>
      <c r="AL36" s="95" t="s">
        <v>299</v>
      </c>
      <c r="AM36" s="289">
        <f>B293</f>
        <v>27.027027027027</v>
      </c>
      <c r="AR36" s="95" t="s">
        <v>299</v>
      </c>
      <c r="AS36" s="289">
        <f>B293</f>
        <v>27.027027027027</v>
      </c>
      <c r="AU36" s="95" t="s">
        <v>299</v>
      </c>
      <c r="AV36" s="289">
        <f>B293</f>
        <v>27.027027027027</v>
      </c>
      <c r="BA36" s="95" t="s">
        <v>299</v>
      </c>
      <c r="BB36" s="289">
        <f>B293</f>
        <v>27.027027027027</v>
      </c>
      <c r="BD36" s="95" t="s">
        <v>299</v>
      </c>
      <c r="BE36" s="289">
        <f>B293</f>
        <v>27.027027027027</v>
      </c>
      <c r="BJ36" s="95" t="s">
        <v>299</v>
      </c>
      <c r="BK36" s="289">
        <f>B293</f>
        <v>27.027027027027</v>
      </c>
      <c r="BM36" s="95" t="s">
        <v>299</v>
      </c>
      <c r="BN36" s="289">
        <f>B293</f>
        <v>27.027027027027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ht="12.75" customHeight="1" x14ac:dyDescent="0.2">
      <c r="A37" s="262" t="s">
        <v>278</v>
      </c>
      <c r="B37" s="315">
        <v>3.8000000000000002E-4</v>
      </c>
      <c r="C37" s="263" t="s">
        <v>298</v>
      </c>
      <c r="D37" s="262" t="s">
        <v>80</v>
      </c>
      <c r="E37" s="300">
        <f>(E32/(E34*E33*E35*E36))/E38</f>
        <v>1.1891313395564554E-3</v>
      </c>
      <c r="F37" s="263" t="s">
        <v>303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BY37" s="95" t="s">
        <v>299</v>
      </c>
      <c r="BZ37" s="345">
        <f>B293</f>
        <v>27.027027027027</v>
      </c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1.6999999999999999E-3</v>
      </c>
      <c r="C38" s="263" t="s">
        <v>298</v>
      </c>
      <c r="D38" s="95" t="s">
        <v>299</v>
      </c>
      <c r="E38" s="289">
        <f>B293</f>
        <v>27.027027027027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((W27)/((W33/W34)*W30*W31*W32*W35))/W42</f>
        <v>4.1593102477172577E-4</v>
      </c>
      <c r="X38" s="88" t="s">
        <v>15</v>
      </c>
      <c r="Y38" s="88" t="s">
        <v>74</v>
      </c>
      <c r="Z38" s="294">
        <f>((Z27*Z31*Z28)/((1-EXP(-Z28))*Z31*Z32*Z30*Z44*(Z33/Z34)*Z35))/Z46</f>
        <v>4.1602110633657277E-4</v>
      </c>
      <c r="AA38" s="88" t="s">
        <v>16</v>
      </c>
      <c r="AB38" s="95" t="s">
        <v>299</v>
      </c>
      <c r="AC38" s="345">
        <f>B293</f>
        <v>27.027027027027</v>
      </c>
      <c r="AD38" s="345">
        <f>B293</f>
        <v>27.027027027027</v>
      </c>
      <c r="AE38" s="345">
        <f>B293</f>
        <v>27.027027027027</v>
      </c>
      <c r="AF38" s="345">
        <f>B293</f>
        <v>27.027027027027</v>
      </c>
      <c r="AG38" s="345">
        <f>B293</f>
        <v>27.027027027027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x14ac:dyDescent="0.2">
      <c r="A39" s="262" t="s">
        <v>276</v>
      </c>
      <c r="B39" s="315">
        <v>0</v>
      </c>
      <c r="C39" s="263" t="s">
        <v>298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((W27)/((W33/W34)*W30*W31*W36*(1/365)))/W42</f>
        <v>30.449762704060753</v>
      </c>
      <c r="X39" s="88" t="s">
        <v>15</v>
      </c>
      <c r="Y39" s="88" t="s">
        <v>78</v>
      </c>
      <c r="Z39" s="296">
        <f>((Z27*Z31*Z28)/((1-EXP(-Z28*Z31))*Z36*Z30*Z44*(Z33/Z34)*Z37*(Z44/Z45)))/Z46</f>
        <v>6.0965491976691784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((W27*W28*W31)/((W33/W34)*(1-EXP(-W28*W31))*W32*W35*W30*W31))/W42</f>
        <v>4.1638156264180328E-4</v>
      </c>
      <c r="X40" s="88" t="s">
        <v>16</v>
      </c>
      <c r="Y40" s="88" t="s">
        <v>74</v>
      </c>
      <c r="Z40" s="294">
        <f>(Z27/((Z32*Z30*Z44*(Z33/Z34)*Z35)))/Z46</f>
        <v>4.1593102477172582E-4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((W27*W28*W31)/((W33/W34)*(1-EXP(-W28*W31))*W36*W30*W31*(1/365)))/W42</f>
        <v>30.482745988345894</v>
      </c>
      <c r="X41" s="88" t="s">
        <v>16</v>
      </c>
      <c r="Y41" s="88" t="s">
        <v>78</v>
      </c>
      <c r="Z41" s="296">
        <f>(Z27/(Z36*Z30*(1/Z45)*Z44*(Z33/Z34)*Z37))/Z46</f>
        <v>30.449762704060753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1.6999999999999999E-3</v>
      </c>
      <c r="C42" s="263" t="s">
        <v>298</v>
      </c>
      <c r="D42" s="203" t="s">
        <v>510</v>
      </c>
      <c r="E42" s="204">
        <f>E52</f>
        <v>0.29728283488911378</v>
      </c>
      <c r="F42" s="184" t="s">
        <v>304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299</v>
      </c>
      <c r="W42" s="289">
        <f>B293</f>
        <v>27.027027027027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0.124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0.79200000000000004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1.4789999999999999E-2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0.124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1.7000000000000001E-2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0.79200000000000004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1</v>
      </c>
      <c r="C46" s="249" t="s">
        <v>19</v>
      </c>
      <c r="D46" s="262" t="s">
        <v>438</v>
      </c>
      <c r="E46" s="287">
        <f>B30</f>
        <v>5.1429999999999997E-10</v>
      </c>
      <c r="F46" s="262" t="s">
        <v>289</v>
      </c>
      <c r="G46" s="249" t="s">
        <v>20</v>
      </c>
      <c r="H46" s="287">
        <f>H48</f>
        <v>1.4789999999999999E-2</v>
      </c>
      <c r="I46" s="263"/>
      <c r="J46" s="269" t="s">
        <v>107</v>
      </c>
      <c r="K46" s="292">
        <f>K34</f>
        <v>20</v>
      </c>
      <c r="L46" s="269" t="s">
        <v>69</v>
      </c>
      <c r="Y46" s="95" t="s">
        <v>299</v>
      </c>
      <c r="Z46" s="289">
        <f>B293</f>
        <v>27.027027027027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347">
        <f>5/27.027</f>
        <v>0.185000185000185</v>
      </c>
      <c r="C47" s="262" t="s">
        <v>581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1.4789999999999999E-2</v>
      </c>
      <c r="K48" s="289">
        <v>1000</v>
      </c>
      <c r="L48" s="249" t="s">
        <v>115</v>
      </c>
      <c r="CT48" s="95" t="s">
        <v>299</v>
      </c>
      <c r="CU48" s="289">
        <f>B293</f>
        <v>27.027027027027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249" customFormat="1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262"/>
      <c r="BZ49" s="293"/>
      <c r="CC49" s="289"/>
      <c r="CF49" s="289"/>
      <c r="CI49" s="289"/>
      <c r="CL49" s="289"/>
      <c r="CO49" s="289"/>
      <c r="CR49" s="289"/>
      <c r="CU49" s="289"/>
      <c r="CX49" s="289"/>
      <c r="DA49" s="292">
        <v>1000</v>
      </c>
      <c r="DB49" s="267" t="s">
        <v>115</v>
      </c>
      <c r="DD49" s="289"/>
      <c r="DG49" s="289"/>
      <c r="DJ49" s="289"/>
      <c r="DM49" s="289"/>
      <c r="DP49" s="289"/>
      <c r="DS49" s="289"/>
      <c r="DV49" s="289"/>
      <c r="DW49" s="264"/>
      <c r="DX49" s="264"/>
      <c r="DY49" s="328"/>
      <c r="DZ49" s="264"/>
    </row>
    <row r="50" spans="1:130" s="249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4</v>
      </c>
      <c r="F50" s="263" t="s">
        <v>19</v>
      </c>
      <c r="G50" s="249" t="s">
        <v>18</v>
      </c>
      <c r="H50" s="288">
        <f>(H53*H54*H48*((1-EXP(-H55*H56))))/(H57*H55)</f>
        <v>0.52543733718458041</v>
      </c>
      <c r="I50" s="249" t="s">
        <v>19</v>
      </c>
      <c r="J50" s="249" t="s">
        <v>20</v>
      </c>
      <c r="K50" s="287">
        <f>K52</f>
        <v>1.4789999999999999E-2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263"/>
      <c r="BZ50" s="307"/>
      <c r="CC50" s="289"/>
      <c r="CF50" s="289"/>
      <c r="CI50" s="289"/>
      <c r="CL50" s="289"/>
      <c r="CO50" s="289"/>
      <c r="CR50" s="289"/>
      <c r="CT50" s="263"/>
      <c r="CU50" s="307"/>
      <c r="CX50" s="289"/>
      <c r="CZ50" s="95" t="s">
        <v>299</v>
      </c>
      <c r="DA50" s="289">
        <f>B293</f>
        <v>27.027027027027</v>
      </c>
      <c r="DD50" s="289"/>
      <c r="DG50" s="289"/>
      <c r="DJ50" s="289"/>
      <c r="DM50" s="289"/>
      <c r="DP50" s="289"/>
      <c r="DS50" s="289"/>
      <c r="DV50" s="289"/>
      <c r="DW50" s="264"/>
      <c r="DX50" s="264"/>
      <c r="DY50" s="328"/>
      <c r="DZ50" s="264"/>
    </row>
    <row r="51" spans="1:130" s="249" customFormat="1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9.2368970701819411</v>
      </c>
      <c r="I51" s="249" t="s">
        <v>19</v>
      </c>
      <c r="J51" s="262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262"/>
      <c r="BZ51" s="293"/>
      <c r="CC51" s="289"/>
      <c r="CF51" s="289"/>
      <c r="CI51" s="289"/>
      <c r="CL51" s="289"/>
      <c r="CO51" s="289"/>
      <c r="CR51" s="289"/>
      <c r="CT51" s="262"/>
      <c r="CU51" s="293"/>
      <c r="CX51" s="289"/>
      <c r="CZ51" s="267"/>
      <c r="DA51" s="289"/>
      <c r="DD51" s="289"/>
      <c r="DG51" s="289"/>
      <c r="DJ51" s="289"/>
      <c r="DM51" s="289"/>
      <c r="DP51" s="289"/>
      <c r="DS51" s="289"/>
      <c r="DV51" s="289"/>
      <c r="DW51" s="264"/>
      <c r="DX51" s="264"/>
      <c r="DY51" s="328"/>
      <c r="DZ51" s="264"/>
    </row>
    <row r="52" spans="1:130" s="249" customFormat="1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>
        <f>(E44/(E46*E45*E47*E48*E50*E51*(1/E49)))/E53</f>
        <v>0.29728283488911378</v>
      </c>
      <c r="F52" s="249" t="s">
        <v>304</v>
      </c>
      <c r="G52" s="249" t="s">
        <v>36</v>
      </c>
      <c r="H52" s="288">
        <f>(H53*H54*H58*H64*((1-EXP(-H59*H60))))/(H61*H59)</f>
        <v>3.6423470278489711</v>
      </c>
      <c r="I52" s="249" t="s">
        <v>19</v>
      </c>
      <c r="J52" s="263" t="s">
        <v>37</v>
      </c>
      <c r="K52" s="290">
        <f>B44</f>
        <v>1.4789999999999999E-2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267"/>
      <c r="DA52" s="289"/>
      <c r="DD52" s="289"/>
      <c r="DG52" s="289"/>
      <c r="DJ52" s="289"/>
      <c r="DM52" s="289"/>
      <c r="DP52" s="289"/>
      <c r="DS52" s="289"/>
      <c r="DV52" s="289"/>
      <c r="DW52" s="264"/>
      <c r="DX52" s="264"/>
      <c r="DY52" s="328"/>
      <c r="DZ52" s="264"/>
    </row>
    <row r="53" spans="1:130" s="249" customFormat="1" x14ac:dyDescent="0.2">
      <c r="A53" s="262" t="s">
        <v>320</v>
      </c>
      <c r="B53" s="283">
        <v>55</v>
      </c>
      <c r="C53" s="263" t="s">
        <v>54</v>
      </c>
      <c r="D53" s="95" t="s">
        <v>299</v>
      </c>
      <c r="E53" s="289">
        <f>B293</f>
        <v>27.027027027027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262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267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249" customFormat="1" x14ac:dyDescent="0.2">
      <c r="A54" s="262" t="s">
        <v>321</v>
      </c>
      <c r="B54" s="283">
        <v>55</v>
      </c>
      <c r="C54" s="263" t="s">
        <v>54</v>
      </c>
      <c r="E54" s="289"/>
      <c r="G54" s="262" t="s">
        <v>46</v>
      </c>
      <c r="H54" s="287">
        <f>B86</f>
        <v>0.25</v>
      </c>
      <c r="I54" s="249" t="s">
        <v>47</v>
      </c>
      <c r="J54" s="95" t="s">
        <v>299</v>
      </c>
      <c r="K54" s="289">
        <f>B293</f>
        <v>27.027027027027</v>
      </c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262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267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249" customFormat="1" x14ac:dyDescent="0.2">
      <c r="A55" s="262" t="s">
        <v>322</v>
      </c>
      <c r="B55" s="283">
        <v>5</v>
      </c>
      <c r="C55" s="262" t="s">
        <v>30</v>
      </c>
      <c r="E55" s="289"/>
      <c r="G55" s="267" t="s">
        <v>55</v>
      </c>
      <c r="H55" s="303">
        <f>H62+H63</f>
        <v>2.8186643835616437E-5</v>
      </c>
      <c r="K55" s="289"/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267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267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249" customFormat="1" x14ac:dyDescent="0.2">
      <c r="A56" s="262" t="s">
        <v>323</v>
      </c>
      <c r="B56" s="283">
        <v>5</v>
      </c>
      <c r="C56" s="262" t="s">
        <v>30</v>
      </c>
      <c r="E56" s="289"/>
      <c r="G56" s="267" t="s">
        <v>60</v>
      </c>
      <c r="H56" s="289">
        <f>B87</f>
        <v>10950</v>
      </c>
      <c r="I56" s="249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267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267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249" customFormat="1" x14ac:dyDescent="0.2">
      <c r="A57" s="262" t="s">
        <v>337</v>
      </c>
      <c r="B57" s="283">
        <v>55</v>
      </c>
      <c r="C57" s="249" t="s">
        <v>54</v>
      </c>
      <c r="E57" s="289"/>
      <c r="G57" s="267" t="s">
        <v>65</v>
      </c>
      <c r="H57" s="289">
        <f>B88</f>
        <v>240</v>
      </c>
      <c r="I57" s="249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267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267"/>
      <c r="DA57" s="293"/>
      <c r="DB57" s="262"/>
      <c r="DD57" s="289"/>
      <c r="DG57" s="289"/>
      <c r="DJ57" s="289"/>
      <c r="DM57" s="289"/>
      <c r="DP57" s="289"/>
      <c r="DS57" s="289"/>
      <c r="DV57" s="289"/>
      <c r="DY57" s="289"/>
    </row>
    <row r="58" spans="1:130" s="249" customFormat="1" x14ac:dyDescent="0.2">
      <c r="A58" s="249" t="s">
        <v>357</v>
      </c>
      <c r="B58" s="283">
        <v>55</v>
      </c>
      <c r="C58" s="249" t="s">
        <v>54</v>
      </c>
      <c r="E58" s="289"/>
      <c r="G58" s="267" t="s">
        <v>76</v>
      </c>
      <c r="H58" s="289">
        <f>B89</f>
        <v>0.42</v>
      </c>
      <c r="I58" s="249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267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267"/>
      <c r="DA58" s="293"/>
      <c r="DB58" s="262"/>
      <c r="DD58" s="289"/>
      <c r="DG58" s="289"/>
      <c r="DJ58" s="289"/>
      <c r="DM58" s="289"/>
      <c r="DP58" s="289"/>
      <c r="DS58" s="289"/>
      <c r="DV58" s="289"/>
      <c r="DY58" s="289"/>
    </row>
    <row r="59" spans="1:130" s="249" customFormat="1" x14ac:dyDescent="0.2">
      <c r="A59" s="249" t="s">
        <v>336</v>
      </c>
      <c r="B59" s="283">
        <v>55</v>
      </c>
      <c r="C59" s="249" t="s">
        <v>54</v>
      </c>
      <c r="E59" s="289"/>
      <c r="G59" s="267" t="s">
        <v>81</v>
      </c>
      <c r="H59" s="299">
        <f>H63+(0.693/H65)</f>
        <v>4.9501186643835612E-2</v>
      </c>
      <c r="I59" s="262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267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267"/>
      <c r="DA59" s="293"/>
      <c r="DB59" s="262"/>
      <c r="DD59" s="289"/>
      <c r="DG59" s="289"/>
      <c r="DJ59" s="289"/>
      <c r="DM59" s="289"/>
      <c r="DP59" s="289"/>
      <c r="DS59" s="289"/>
      <c r="DV59" s="289"/>
      <c r="DY59" s="289"/>
    </row>
    <row r="60" spans="1:130" s="249" customFormat="1" x14ac:dyDescent="0.2">
      <c r="A60" s="262" t="s">
        <v>332</v>
      </c>
      <c r="B60" s="283">
        <v>55</v>
      </c>
      <c r="C60" s="267" t="s">
        <v>254</v>
      </c>
      <c r="E60" s="289"/>
      <c r="G60" s="267" t="s">
        <v>85</v>
      </c>
      <c r="H60" s="293">
        <f>B90</f>
        <v>60</v>
      </c>
      <c r="I60" s="262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267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267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249" customFormat="1" x14ac:dyDescent="0.2">
      <c r="A61" s="262" t="s">
        <v>333</v>
      </c>
      <c r="B61" s="283">
        <v>55</v>
      </c>
      <c r="C61" s="267" t="s">
        <v>254</v>
      </c>
      <c r="E61" s="289"/>
      <c r="G61" s="267" t="s">
        <v>87</v>
      </c>
      <c r="H61" s="293">
        <f>B91</f>
        <v>2</v>
      </c>
      <c r="I61" s="262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267"/>
      <c r="BW61" s="293"/>
      <c r="BX61" s="262"/>
      <c r="BZ61" s="289"/>
      <c r="CC61" s="289"/>
      <c r="CF61" s="289"/>
      <c r="CI61" s="289"/>
      <c r="CL61" s="289"/>
      <c r="CO61" s="289"/>
      <c r="CR61" s="289"/>
      <c r="CU61" s="289"/>
      <c r="CX61" s="289"/>
      <c r="CZ61" s="267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249" customFormat="1" x14ac:dyDescent="0.2">
      <c r="A62" s="262" t="s">
        <v>334</v>
      </c>
      <c r="B62" s="283">
        <v>55</v>
      </c>
      <c r="C62" s="267" t="s">
        <v>254</v>
      </c>
      <c r="E62" s="289"/>
      <c r="G62" s="267" t="s">
        <v>89</v>
      </c>
      <c r="H62" s="289">
        <f>B92</f>
        <v>2.6999999999999999E-5</v>
      </c>
      <c r="I62" s="249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267"/>
      <c r="BW62" s="293"/>
      <c r="BX62" s="262"/>
      <c r="BZ62" s="289"/>
      <c r="CC62" s="289"/>
      <c r="CF62" s="289"/>
      <c r="CI62" s="289"/>
      <c r="CL62" s="289"/>
      <c r="CO62" s="289"/>
      <c r="CR62" s="289"/>
      <c r="CU62" s="289"/>
      <c r="CX62" s="289"/>
      <c r="CZ62" s="267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249" customFormat="1" x14ac:dyDescent="0.2">
      <c r="A63" s="262" t="s">
        <v>335</v>
      </c>
      <c r="B63" s="283">
        <v>55</v>
      </c>
      <c r="C63" s="267" t="s">
        <v>254</v>
      </c>
      <c r="E63" s="289"/>
      <c r="G63" s="267" t="s">
        <v>90</v>
      </c>
      <c r="H63" s="288">
        <f>0.693/H67</f>
        <v>1.1866438356164383E-6</v>
      </c>
      <c r="I63" s="249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267"/>
      <c r="BW63" s="293"/>
      <c r="BX63" s="262"/>
      <c r="BZ63" s="289"/>
      <c r="CC63" s="289"/>
      <c r="CF63" s="289"/>
      <c r="CI63" s="289"/>
      <c r="CL63" s="289"/>
      <c r="CO63" s="289"/>
      <c r="CR63" s="289"/>
      <c r="CU63" s="289"/>
      <c r="CX63" s="289"/>
      <c r="CZ63" s="267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249" customFormat="1" x14ac:dyDescent="0.2">
      <c r="A64" s="262" t="s">
        <v>343</v>
      </c>
      <c r="B64" s="283">
        <v>5</v>
      </c>
      <c r="C64" s="264" t="s">
        <v>69</v>
      </c>
      <c r="E64" s="289"/>
      <c r="G64" s="267" t="s">
        <v>91</v>
      </c>
      <c r="H64" s="289">
        <f>B93</f>
        <v>1</v>
      </c>
      <c r="I64" s="249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275"/>
      <c r="AJ64" s="353"/>
      <c r="AK64" s="275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267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249" customFormat="1" x14ac:dyDescent="0.2">
      <c r="A65" s="262" t="s">
        <v>342</v>
      </c>
      <c r="B65" s="283">
        <v>15</v>
      </c>
      <c r="C65" s="264" t="s">
        <v>69</v>
      </c>
      <c r="E65" s="289"/>
      <c r="G65" s="267" t="s">
        <v>92</v>
      </c>
      <c r="H65" s="289">
        <f>B94</f>
        <v>14</v>
      </c>
      <c r="I65" s="249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275"/>
      <c r="AJ65" s="353"/>
      <c r="AK65" s="275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267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249" customFormat="1" x14ac:dyDescent="0.2">
      <c r="A66" s="262" t="s">
        <v>341</v>
      </c>
      <c r="B66" s="283">
        <v>20</v>
      </c>
      <c r="C66" s="264" t="s">
        <v>69</v>
      </c>
      <c r="E66" s="289"/>
      <c r="G66" s="249" t="s">
        <v>38</v>
      </c>
      <c r="H66" s="287">
        <f>B45</f>
        <v>1.7000000000000001E-2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275"/>
      <c r="AJ66" s="353"/>
      <c r="AK66" s="275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267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262"/>
      <c r="DA66" s="287"/>
    </row>
    <row r="67" spans="1:105" s="249" customFormat="1" x14ac:dyDescent="0.2">
      <c r="A67" s="262" t="s">
        <v>340</v>
      </c>
      <c r="B67" s="283">
        <v>55</v>
      </c>
      <c r="C67" s="264" t="s">
        <v>26</v>
      </c>
      <c r="E67" s="289"/>
      <c r="G67" s="262" t="s">
        <v>273</v>
      </c>
      <c r="H67" s="287">
        <f>B35</f>
        <v>584000</v>
      </c>
      <c r="I67" s="249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275"/>
      <c r="AJ67" s="353"/>
      <c r="AK67" s="275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267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249" customFormat="1" x14ac:dyDescent="0.2">
      <c r="A68" s="262" t="s">
        <v>339</v>
      </c>
      <c r="B68" s="283">
        <v>55</v>
      </c>
      <c r="C68" s="264" t="s">
        <v>26</v>
      </c>
      <c r="E68" s="289"/>
      <c r="G68" s="95" t="s">
        <v>299</v>
      </c>
      <c r="H68" s="345">
        <f>B293</f>
        <v>27.027027027027</v>
      </c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275"/>
      <c r="AJ68" s="353"/>
      <c r="AK68" s="275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249" customFormat="1" x14ac:dyDescent="0.2">
      <c r="A69" s="262" t="s">
        <v>338</v>
      </c>
      <c r="B69" s="283">
        <v>55</v>
      </c>
      <c r="C69" s="264" t="s">
        <v>26</v>
      </c>
      <c r="E69" s="289"/>
      <c r="H69" s="289"/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275"/>
      <c r="AJ69" s="353"/>
      <c r="AK69" s="275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262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249" customFormat="1" x14ac:dyDescent="0.2">
      <c r="A70" s="249" t="s">
        <v>344</v>
      </c>
      <c r="B70" s="284">
        <v>2</v>
      </c>
      <c r="C70" s="92" t="s">
        <v>104</v>
      </c>
      <c r="E70" s="289"/>
      <c r="H70" s="289"/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275"/>
      <c r="AJ70" s="353"/>
      <c r="AK70" s="275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262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249" customFormat="1" x14ac:dyDescent="0.2">
      <c r="A71" s="249" t="s">
        <v>345</v>
      </c>
      <c r="B71" s="284">
        <v>2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275"/>
      <c r="AJ71" s="353"/>
      <c r="AK71" s="275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262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249" customFormat="1" x14ac:dyDescent="0.2">
      <c r="A72" s="262" t="s">
        <v>347</v>
      </c>
      <c r="B72" s="283">
        <v>15</v>
      </c>
      <c r="C72" s="264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275"/>
      <c r="AI72" s="275"/>
      <c r="AJ72" s="353"/>
      <c r="AK72" s="275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249" customFormat="1" x14ac:dyDescent="0.2">
      <c r="A73" s="262" t="s">
        <v>348</v>
      </c>
      <c r="B73" s="283">
        <v>15</v>
      </c>
      <c r="C73" s="264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275"/>
      <c r="AI73" s="275"/>
      <c r="AJ73" s="353"/>
      <c r="AK73" s="275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249" customFormat="1" x14ac:dyDescent="0.2">
      <c r="A74" s="262" t="s">
        <v>346</v>
      </c>
      <c r="B74" s="283">
        <v>15</v>
      </c>
      <c r="C74" s="264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275"/>
      <c r="AI74" s="275"/>
      <c r="AJ74" s="353"/>
      <c r="AK74" s="275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249" customFormat="1" x14ac:dyDescent="0.2">
      <c r="A75" s="249" t="s">
        <v>349</v>
      </c>
      <c r="B75" s="284">
        <v>2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275"/>
      <c r="AI75" s="275"/>
      <c r="AJ75" s="353"/>
      <c r="AK75" s="275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249" customFormat="1" x14ac:dyDescent="0.2">
      <c r="A76" s="249" t="s">
        <v>350</v>
      </c>
      <c r="B76" s="284">
        <v>2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275"/>
      <c r="AI76" s="275"/>
      <c r="AJ76" s="353"/>
      <c r="AK76" s="275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249" customFormat="1" x14ac:dyDescent="0.2">
      <c r="A77" s="262" t="s">
        <v>103</v>
      </c>
      <c r="B77" s="283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275"/>
      <c r="AI77" s="275"/>
      <c r="AJ77" s="353"/>
      <c r="AK77" s="275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249" customFormat="1" x14ac:dyDescent="0.2">
      <c r="A78" s="249" t="s">
        <v>353</v>
      </c>
      <c r="B78" s="284">
        <v>1</v>
      </c>
      <c r="C78" s="247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249" customFormat="1" x14ac:dyDescent="0.2">
      <c r="A79" s="249" t="s">
        <v>158</v>
      </c>
      <c r="B79" s="284">
        <v>0.4</v>
      </c>
      <c r="C79" s="247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275"/>
      <c r="AI79" s="275"/>
      <c r="AJ79" s="353"/>
      <c r="AK79" s="275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249" customFormat="1" x14ac:dyDescent="0.2">
      <c r="A80" s="249" t="s">
        <v>159</v>
      </c>
      <c r="B80" s="282">
        <f>B3</f>
        <v>0.124</v>
      </c>
      <c r="C80" s="247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275"/>
      <c r="AI80" s="275"/>
      <c r="AJ80" s="353"/>
      <c r="AK80" s="275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249" customFormat="1" x14ac:dyDescent="0.2">
      <c r="A81" s="249" t="s">
        <v>62</v>
      </c>
      <c r="B81" s="282">
        <f>B4</f>
        <v>0.79200000000000004</v>
      </c>
      <c r="C81" s="247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249" customFormat="1" x14ac:dyDescent="0.2">
      <c r="A82" s="262" t="s">
        <v>124</v>
      </c>
      <c r="B82" s="284">
        <v>1</v>
      </c>
      <c r="C82" s="263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249" customFormat="1" x14ac:dyDescent="0.2">
      <c r="A83" s="249" t="s">
        <v>83</v>
      </c>
      <c r="B83" s="284">
        <v>0.5</v>
      </c>
      <c r="C83" s="249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249" customFormat="1" x14ac:dyDescent="0.2">
      <c r="A84" s="249" t="s">
        <v>355</v>
      </c>
      <c r="B84" s="284">
        <v>0.25</v>
      </c>
      <c r="C84" s="24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249" customFormat="1" x14ac:dyDescent="0.2">
      <c r="A85" s="262" t="s">
        <v>41</v>
      </c>
      <c r="B85" s="284">
        <v>3.62</v>
      </c>
      <c r="C85" s="249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249" customFormat="1" x14ac:dyDescent="0.2">
      <c r="A86" s="262" t="s">
        <v>46</v>
      </c>
      <c r="B86" s="284">
        <v>0.25</v>
      </c>
      <c r="C86" s="249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249" customFormat="1" x14ac:dyDescent="0.2">
      <c r="A87" s="267" t="s">
        <v>60</v>
      </c>
      <c r="B87" s="284">
        <v>10950</v>
      </c>
      <c r="C87" s="249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249" customFormat="1" x14ac:dyDescent="0.2">
      <c r="A88" s="267" t="s">
        <v>65</v>
      </c>
      <c r="B88" s="284">
        <v>240</v>
      </c>
      <c r="C88" s="249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249" customFormat="1" x14ac:dyDescent="0.2">
      <c r="A89" s="267" t="s">
        <v>76</v>
      </c>
      <c r="B89" s="284">
        <v>0.42</v>
      </c>
      <c r="C89" s="24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249" customFormat="1" x14ac:dyDescent="0.2">
      <c r="A90" s="267" t="s">
        <v>85</v>
      </c>
      <c r="B90" s="284">
        <v>60</v>
      </c>
      <c r="C90" s="262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249" customFormat="1" x14ac:dyDescent="0.2">
      <c r="A91" s="267" t="s">
        <v>87</v>
      </c>
      <c r="B91" s="284">
        <v>2</v>
      </c>
      <c r="C91" s="262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249" customFormat="1" x14ac:dyDescent="0.2">
      <c r="A92" s="267" t="s">
        <v>89</v>
      </c>
      <c r="B92" s="284">
        <v>2.6999999999999999E-5</v>
      </c>
      <c r="C92" s="249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249" customFormat="1" x14ac:dyDescent="0.2">
      <c r="A93" s="267" t="s">
        <v>91</v>
      </c>
      <c r="B93" s="284">
        <v>1</v>
      </c>
      <c r="C93" s="249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249" customFormat="1" x14ac:dyDescent="0.2">
      <c r="A94" s="267" t="s">
        <v>92</v>
      </c>
      <c r="B94" s="284">
        <v>14</v>
      </c>
      <c r="C94" s="249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249" customFormat="1" x14ac:dyDescent="0.2">
      <c r="A95" s="262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249" customFormat="1" x14ac:dyDescent="0.2">
      <c r="A96" s="262" t="s">
        <v>351</v>
      </c>
      <c r="B96" s="283">
        <v>1.752</v>
      </c>
      <c r="C96" s="264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249" customFormat="1" x14ac:dyDescent="0.2">
      <c r="A97" s="262" t="s">
        <v>352</v>
      </c>
      <c r="B97" s="283">
        <v>16.416</v>
      </c>
      <c r="C97" s="264" t="s">
        <v>224</v>
      </c>
    </row>
    <row r="98" spans="1:3" s="249" customFormat="1" ht="15" x14ac:dyDescent="0.2">
      <c r="A98" s="517" t="s">
        <v>5</v>
      </c>
      <c r="B98" s="517"/>
      <c r="C98" s="517"/>
    </row>
    <row r="99" spans="1:3" s="249" customFormat="1" x14ac:dyDescent="0.2">
      <c r="A99" s="262" t="s">
        <v>358</v>
      </c>
      <c r="B99" s="284">
        <v>55</v>
      </c>
      <c r="C99" s="267" t="s">
        <v>359</v>
      </c>
    </row>
    <row r="100" spans="1:3" s="249" customFormat="1" x14ac:dyDescent="0.2">
      <c r="A100" s="262" t="s">
        <v>360</v>
      </c>
      <c r="B100" s="284">
        <v>55</v>
      </c>
      <c r="C100" s="267" t="s">
        <v>359</v>
      </c>
    </row>
    <row r="101" spans="1:3" s="249" customFormat="1" x14ac:dyDescent="0.2">
      <c r="A101" s="262" t="s">
        <v>305</v>
      </c>
      <c r="B101" s="283">
        <v>5</v>
      </c>
      <c r="C101" s="262" t="s">
        <v>361</v>
      </c>
    </row>
    <row r="102" spans="1:3" s="249" customFormat="1" x14ac:dyDescent="0.2">
      <c r="A102" s="262" t="s">
        <v>306</v>
      </c>
      <c r="B102" s="283">
        <v>5</v>
      </c>
      <c r="C102" s="262" t="s">
        <v>361</v>
      </c>
    </row>
    <row r="103" spans="1:3" s="249" customFormat="1" x14ac:dyDescent="0.2">
      <c r="A103" s="262" t="s">
        <v>362</v>
      </c>
      <c r="B103" s="284">
        <v>55</v>
      </c>
      <c r="C103" s="263" t="s">
        <v>54</v>
      </c>
    </row>
    <row r="104" spans="1:3" s="249" customFormat="1" x14ac:dyDescent="0.2">
      <c r="A104" s="262" t="s">
        <v>363</v>
      </c>
      <c r="B104" s="284">
        <v>55</v>
      </c>
      <c r="C104" s="263" t="s">
        <v>54</v>
      </c>
    </row>
    <row r="105" spans="1:3" s="249" customFormat="1" x14ac:dyDescent="0.2">
      <c r="A105" s="249" t="s">
        <v>187</v>
      </c>
      <c r="B105" s="284">
        <v>1</v>
      </c>
      <c r="C105" s="249" t="s">
        <v>254</v>
      </c>
    </row>
    <row r="106" spans="1:3" s="249" customFormat="1" x14ac:dyDescent="0.2">
      <c r="A106" s="249" t="s">
        <v>188</v>
      </c>
      <c r="B106" s="284">
        <v>1</v>
      </c>
      <c r="C106" s="249" t="s">
        <v>254</v>
      </c>
    </row>
    <row r="107" spans="1:3" s="249" customFormat="1" x14ac:dyDescent="0.2">
      <c r="A107" s="94" t="s">
        <v>373</v>
      </c>
      <c r="B107" s="283">
        <v>6</v>
      </c>
      <c r="C107" s="270" t="s">
        <v>69</v>
      </c>
    </row>
    <row r="108" spans="1:3" s="249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249" customFormat="1" x14ac:dyDescent="0.2">
      <c r="A109" s="94" t="s">
        <v>59</v>
      </c>
      <c r="B109" s="283">
        <v>26</v>
      </c>
      <c r="C109" s="270" t="s">
        <v>69</v>
      </c>
    </row>
    <row r="110" spans="1:3" s="249" customFormat="1" x14ac:dyDescent="0.2">
      <c r="A110" s="94" t="s">
        <v>371</v>
      </c>
      <c r="B110" s="107">
        <v>75</v>
      </c>
      <c r="C110" s="94" t="s">
        <v>26</v>
      </c>
    </row>
    <row r="111" spans="1:3" s="249" customFormat="1" x14ac:dyDescent="0.2">
      <c r="A111" s="94" t="s">
        <v>370</v>
      </c>
      <c r="B111" s="283">
        <v>75</v>
      </c>
      <c r="C111" s="94" t="s">
        <v>26</v>
      </c>
    </row>
    <row r="112" spans="1:3" s="249" customFormat="1" x14ac:dyDescent="0.2">
      <c r="A112" s="94" t="s">
        <v>157</v>
      </c>
      <c r="B112" s="283">
        <v>75</v>
      </c>
      <c r="C112" s="94" t="s">
        <v>26</v>
      </c>
    </row>
    <row r="113" spans="1:3" s="249" customFormat="1" x14ac:dyDescent="0.2">
      <c r="A113" s="94" t="s">
        <v>105</v>
      </c>
      <c r="B113" s="283">
        <v>1</v>
      </c>
      <c r="C113" s="92" t="s">
        <v>224</v>
      </c>
    </row>
    <row r="114" spans="1:3" s="249" customFormat="1" x14ac:dyDescent="0.2">
      <c r="A114" s="92" t="s">
        <v>368</v>
      </c>
      <c r="B114" s="284">
        <v>1</v>
      </c>
      <c r="C114" s="92" t="s">
        <v>224</v>
      </c>
    </row>
    <row r="115" spans="1:3" s="249" customFormat="1" x14ac:dyDescent="0.2">
      <c r="A115" s="92" t="s">
        <v>369</v>
      </c>
      <c r="B115" s="284">
        <v>1</v>
      </c>
      <c r="C115" s="92" t="s">
        <v>224</v>
      </c>
    </row>
    <row r="116" spans="1:3" s="249" customFormat="1" x14ac:dyDescent="0.2">
      <c r="A116" s="249" t="s">
        <v>366</v>
      </c>
      <c r="B116" s="284">
        <v>1</v>
      </c>
      <c r="C116" s="249" t="s">
        <v>104</v>
      </c>
    </row>
    <row r="117" spans="1:3" s="249" customFormat="1" x14ac:dyDescent="0.2">
      <c r="A117" s="249" t="s">
        <v>367</v>
      </c>
      <c r="B117" s="284">
        <v>1</v>
      </c>
      <c r="C117" s="249" t="s">
        <v>104</v>
      </c>
    </row>
    <row r="118" spans="1:3" s="249" customFormat="1" x14ac:dyDescent="0.2">
      <c r="A118" s="94" t="s">
        <v>364</v>
      </c>
      <c r="B118" s="284">
        <v>1</v>
      </c>
      <c r="C118" s="92" t="s">
        <v>98</v>
      </c>
    </row>
    <row r="119" spans="1:3" s="249" customFormat="1" x14ac:dyDescent="0.2">
      <c r="A119" s="94" t="s">
        <v>365</v>
      </c>
      <c r="B119" s="284">
        <v>1</v>
      </c>
      <c r="C119" s="92" t="s">
        <v>98</v>
      </c>
    </row>
    <row r="120" spans="1:3" s="249" customFormat="1" x14ac:dyDescent="0.2">
      <c r="A120" s="263" t="s">
        <v>192</v>
      </c>
      <c r="B120" s="283">
        <v>1</v>
      </c>
      <c r="C120" s="249" t="s">
        <v>283</v>
      </c>
    </row>
    <row r="121" spans="1:3" s="249" customFormat="1" x14ac:dyDescent="0.2">
      <c r="A121" s="263" t="s">
        <v>189</v>
      </c>
      <c r="B121" s="283">
        <v>1</v>
      </c>
      <c r="C121" s="249" t="s">
        <v>283</v>
      </c>
    </row>
    <row r="122" spans="1:3" s="249" customFormat="1" x14ac:dyDescent="0.2">
      <c r="A122" s="263" t="s">
        <v>190</v>
      </c>
      <c r="B122" s="283">
        <v>1</v>
      </c>
      <c r="C122" s="249" t="s">
        <v>47</v>
      </c>
    </row>
    <row r="123" spans="1:3" s="249" customFormat="1" x14ac:dyDescent="0.2">
      <c r="A123" s="263" t="s">
        <v>191</v>
      </c>
      <c r="B123" s="283">
        <v>1</v>
      </c>
      <c r="C123" s="249" t="s">
        <v>47</v>
      </c>
    </row>
    <row r="124" spans="1:3" s="249" customFormat="1" x14ac:dyDescent="0.2">
      <c r="A124" s="263" t="s">
        <v>199</v>
      </c>
      <c r="B124" s="283">
        <v>1</v>
      </c>
      <c r="C124" s="249" t="s">
        <v>30</v>
      </c>
    </row>
    <row r="125" spans="1:3" s="249" customFormat="1" x14ac:dyDescent="0.2">
      <c r="A125" s="249" t="s">
        <v>193</v>
      </c>
      <c r="B125" s="283">
        <v>1</v>
      </c>
      <c r="C125" s="249" t="s">
        <v>283</v>
      </c>
    </row>
    <row r="126" spans="1:3" s="249" customFormat="1" x14ac:dyDescent="0.2">
      <c r="A126" s="249" t="s">
        <v>196</v>
      </c>
      <c r="B126" s="283">
        <v>1</v>
      </c>
      <c r="C126" s="249" t="s">
        <v>283</v>
      </c>
    </row>
    <row r="127" spans="1:3" s="249" customFormat="1" x14ac:dyDescent="0.2">
      <c r="A127" s="268" t="s">
        <v>197</v>
      </c>
      <c r="B127" s="283">
        <v>1</v>
      </c>
      <c r="C127" s="249" t="s">
        <v>47</v>
      </c>
    </row>
    <row r="128" spans="1:3" s="249" customFormat="1" x14ac:dyDescent="0.2">
      <c r="A128" s="262" t="s">
        <v>198</v>
      </c>
      <c r="B128" s="283">
        <v>1</v>
      </c>
      <c r="C128" s="249" t="s">
        <v>47</v>
      </c>
    </row>
    <row r="129" spans="1:3" s="249" customFormat="1" x14ac:dyDescent="0.2">
      <c r="A129" s="263" t="s">
        <v>200</v>
      </c>
      <c r="B129" s="283">
        <v>1</v>
      </c>
      <c r="C129" s="249" t="s">
        <v>30</v>
      </c>
    </row>
    <row r="130" spans="1:3" s="249" customFormat="1" x14ac:dyDescent="0.2">
      <c r="A130" s="262" t="s">
        <v>255</v>
      </c>
      <c r="B130" s="284">
        <v>1</v>
      </c>
    </row>
    <row r="131" spans="1:3" s="249" customFormat="1" x14ac:dyDescent="0.2">
      <c r="A131" s="249" t="s">
        <v>83</v>
      </c>
      <c r="B131" s="284">
        <v>0.5</v>
      </c>
    </row>
    <row r="132" spans="1:3" s="249" customFormat="1" ht="15" x14ac:dyDescent="0.2">
      <c r="A132" s="518" t="s">
        <v>180</v>
      </c>
      <c r="B132" s="518"/>
      <c r="C132" s="518"/>
    </row>
    <row r="133" spans="1:3" s="249" customFormat="1" x14ac:dyDescent="0.2">
      <c r="A133" s="262" t="s">
        <v>374</v>
      </c>
      <c r="B133" s="283">
        <v>55</v>
      </c>
      <c r="C133" s="263" t="s">
        <v>54</v>
      </c>
    </row>
    <row r="134" spans="1:3" s="249" customFormat="1" x14ac:dyDescent="0.2">
      <c r="A134" s="262" t="s">
        <v>375</v>
      </c>
      <c r="B134" s="283">
        <v>55</v>
      </c>
      <c r="C134" s="263" t="s">
        <v>54</v>
      </c>
    </row>
    <row r="135" spans="1:3" s="249" customFormat="1" x14ac:dyDescent="0.2">
      <c r="A135" s="262" t="s">
        <v>376</v>
      </c>
      <c r="B135" s="283">
        <v>55</v>
      </c>
      <c r="C135" s="267" t="s">
        <v>359</v>
      </c>
    </row>
    <row r="136" spans="1:3" s="249" customFormat="1" x14ac:dyDescent="0.2">
      <c r="A136" s="262" t="s">
        <v>377</v>
      </c>
      <c r="B136" s="283">
        <v>55</v>
      </c>
      <c r="C136" s="267" t="s">
        <v>359</v>
      </c>
    </row>
    <row r="137" spans="1:3" s="249" customFormat="1" x14ac:dyDescent="0.2">
      <c r="A137" s="267" t="s">
        <v>378</v>
      </c>
      <c r="B137" s="284">
        <v>5</v>
      </c>
      <c r="C137" s="262" t="s">
        <v>30</v>
      </c>
    </row>
    <row r="138" spans="1:3" s="249" customFormat="1" x14ac:dyDescent="0.2">
      <c r="A138" s="267" t="s">
        <v>379</v>
      </c>
      <c r="B138" s="284">
        <v>5</v>
      </c>
      <c r="C138" s="262" t="s">
        <v>30</v>
      </c>
    </row>
    <row r="139" spans="1:3" s="249" customFormat="1" x14ac:dyDescent="0.2">
      <c r="A139" s="262" t="s">
        <v>380</v>
      </c>
      <c r="B139" s="283">
        <v>55</v>
      </c>
      <c r="C139" s="267" t="s">
        <v>254</v>
      </c>
    </row>
    <row r="140" spans="1:3" s="249" customFormat="1" x14ac:dyDescent="0.2">
      <c r="A140" s="262" t="s">
        <v>381</v>
      </c>
      <c r="B140" s="283">
        <v>55</v>
      </c>
      <c r="C140" s="267" t="s">
        <v>254</v>
      </c>
    </row>
    <row r="141" spans="1:3" s="249" customFormat="1" x14ac:dyDescent="0.2">
      <c r="A141" s="262" t="s">
        <v>382</v>
      </c>
      <c r="B141" s="283">
        <v>55</v>
      </c>
      <c r="C141" s="267" t="s">
        <v>254</v>
      </c>
    </row>
    <row r="142" spans="1:3" s="249" customFormat="1" x14ac:dyDescent="0.2">
      <c r="A142" s="262" t="s">
        <v>383</v>
      </c>
      <c r="B142" s="283">
        <v>55</v>
      </c>
      <c r="C142" s="267" t="s">
        <v>254</v>
      </c>
    </row>
    <row r="143" spans="1:3" s="249" customFormat="1" x14ac:dyDescent="0.2">
      <c r="A143" s="262" t="s">
        <v>479</v>
      </c>
      <c r="B143" s="283">
        <v>55</v>
      </c>
      <c r="C143" s="267" t="s">
        <v>254</v>
      </c>
    </row>
    <row r="144" spans="1:3" s="249" customFormat="1" x14ac:dyDescent="0.2">
      <c r="A144" s="262" t="s">
        <v>480</v>
      </c>
      <c r="B144" s="283">
        <v>55</v>
      </c>
      <c r="C144" s="267" t="s">
        <v>254</v>
      </c>
    </row>
    <row r="145" spans="1:3" s="249" customFormat="1" x14ac:dyDescent="0.2">
      <c r="A145" s="262" t="s">
        <v>481</v>
      </c>
      <c r="B145" s="283">
        <v>55</v>
      </c>
      <c r="C145" s="267" t="s">
        <v>254</v>
      </c>
    </row>
    <row r="146" spans="1:3" s="249" customFormat="1" x14ac:dyDescent="0.2">
      <c r="A146" s="262" t="s">
        <v>482</v>
      </c>
      <c r="B146" s="283">
        <v>55</v>
      </c>
      <c r="C146" s="267" t="s">
        <v>254</v>
      </c>
    </row>
    <row r="147" spans="1:3" s="249" customFormat="1" x14ac:dyDescent="0.2">
      <c r="A147" s="262" t="s">
        <v>326</v>
      </c>
      <c r="B147" s="283">
        <v>55</v>
      </c>
      <c r="C147" s="262" t="s">
        <v>254</v>
      </c>
    </row>
    <row r="148" spans="1:3" s="249" customFormat="1" x14ac:dyDescent="0.2">
      <c r="A148" s="262" t="s">
        <v>327</v>
      </c>
      <c r="B148" s="283">
        <v>55</v>
      </c>
      <c r="C148" s="262" t="s">
        <v>254</v>
      </c>
    </row>
    <row r="149" spans="1:3" s="249" customFormat="1" x14ac:dyDescent="0.2">
      <c r="A149" s="262" t="s">
        <v>483</v>
      </c>
      <c r="B149" s="283">
        <v>55</v>
      </c>
      <c r="C149" s="267" t="s">
        <v>254</v>
      </c>
    </row>
    <row r="150" spans="1:3" s="249" customFormat="1" x14ac:dyDescent="0.2">
      <c r="A150" s="262" t="s">
        <v>484</v>
      </c>
      <c r="B150" s="283">
        <v>55</v>
      </c>
      <c r="C150" s="267" t="s">
        <v>254</v>
      </c>
    </row>
    <row r="151" spans="1:3" s="249" customFormat="1" x14ac:dyDescent="0.2">
      <c r="A151" s="262" t="s">
        <v>324</v>
      </c>
      <c r="B151" s="283">
        <v>55</v>
      </c>
      <c r="C151" s="262" t="s">
        <v>254</v>
      </c>
    </row>
    <row r="152" spans="1:3" s="249" customFormat="1" x14ac:dyDescent="0.2">
      <c r="A152" s="262" t="s">
        <v>325</v>
      </c>
      <c r="B152" s="283">
        <v>55</v>
      </c>
      <c r="C152" s="262" t="s">
        <v>254</v>
      </c>
    </row>
    <row r="153" spans="1:3" s="249" customFormat="1" x14ac:dyDescent="0.2">
      <c r="A153" s="262" t="s">
        <v>328</v>
      </c>
      <c r="B153" s="283">
        <v>55</v>
      </c>
      <c r="C153" s="262" t="s">
        <v>254</v>
      </c>
    </row>
    <row r="154" spans="1:3" s="249" customFormat="1" x14ac:dyDescent="0.2">
      <c r="A154" s="262" t="s">
        <v>329</v>
      </c>
      <c r="B154" s="283">
        <v>55</v>
      </c>
      <c r="C154" s="262" t="s">
        <v>254</v>
      </c>
    </row>
    <row r="155" spans="1:3" s="249" customFormat="1" x14ac:dyDescent="0.2">
      <c r="A155" s="262" t="s">
        <v>384</v>
      </c>
      <c r="B155" s="284">
        <v>10</v>
      </c>
      <c r="C155" s="93" t="s">
        <v>69</v>
      </c>
    </row>
    <row r="156" spans="1:3" s="249" customFormat="1" x14ac:dyDescent="0.2">
      <c r="A156" s="262" t="s">
        <v>385</v>
      </c>
      <c r="B156" s="284">
        <v>20</v>
      </c>
      <c r="C156" s="93" t="s">
        <v>69</v>
      </c>
    </row>
    <row r="157" spans="1:3" s="249" customFormat="1" x14ac:dyDescent="0.2">
      <c r="A157" s="262" t="s">
        <v>386</v>
      </c>
      <c r="B157" s="284">
        <v>30</v>
      </c>
      <c r="C157" s="93" t="s">
        <v>69</v>
      </c>
    </row>
    <row r="158" spans="1:3" s="249" customFormat="1" x14ac:dyDescent="0.2">
      <c r="A158" s="262" t="s">
        <v>387</v>
      </c>
      <c r="B158" s="284">
        <v>55</v>
      </c>
      <c r="C158" s="262" t="s">
        <v>26</v>
      </c>
    </row>
    <row r="159" spans="1:3" s="249" customFormat="1" x14ac:dyDescent="0.2">
      <c r="A159" s="262" t="s">
        <v>388</v>
      </c>
      <c r="B159" s="284">
        <v>55</v>
      </c>
      <c r="C159" s="262" t="s">
        <v>26</v>
      </c>
    </row>
    <row r="160" spans="1:3" s="249" customFormat="1" x14ac:dyDescent="0.2">
      <c r="A160" s="262" t="s">
        <v>389</v>
      </c>
      <c r="B160" s="283">
        <v>15</v>
      </c>
      <c r="C160" s="263" t="s">
        <v>224</v>
      </c>
    </row>
    <row r="161" spans="1:3" s="249" customFormat="1" x14ac:dyDescent="0.2">
      <c r="A161" s="262" t="s">
        <v>390</v>
      </c>
      <c r="B161" s="283">
        <v>15</v>
      </c>
      <c r="C161" s="263" t="s">
        <v>224</v>
      </c>
    </row>
    <row r="162" spans="1:3" s="249" customFormat="1" x14ac:dyDescent="0.2">
      <c r="A162" s="262" t="s">
        <v>396</v>
      </c>
      <c r="B162" s="283">
        <v>15</v>
      </c>
      <c r="C162" s="263" t="s">
        <v>224</v>
      </c>
    </row>
    <row r="163" spans="1:3" s="249" customFormat="1" x14ac:dyDescent="0.2">
      <c r="A163" s="249" t="s">
        <v>393</v>
      </c>
      <c r="B163" s="283">
        <v>2</v>
      </c>
      <c r="C163" s="267" t="s">
        <v>395</v>
      </c>
    </row>
    <row r="164" spans="1:3" s="249" customFormat="1" x14ac:dyDescent="0.2">
      <c r="A164" s="249" t="s">
        <v>394</v>
      </c>
      <c r="B164" s="283">
        <v>2</v>
      </c>
      <c r="C164" s="267" t="s">
        <v>395</v>
      </c>
    </row>
    <row r="165" spans="1:3" s="249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249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249" customFormat="1" x14ac:dyDescent="0.2">
      <c r="A167" s="262" t="s">
        <v>397</v>
      </c>
      <c r="B167" s="283">
        <v>2</v>
      </c>
      <c r="C167" s="267" t="s">
        <v>166</v>
      </c>
    </row>
    <row r="168" spans="1:3" s="249" customFormat="1" x14ac:dyDescent="0.2">
      <c r="A168" s="262" t="s">
        <v>398</v>
      </c>
      <c r="B168" s="283">
        <v>2</v>
      </c>
      <c r="C168" s="267" t="s">
        <v>166</v>
      </c>
    </row>
    <row r="169" spans="1:3" s="249" customFormat="1" x14ac:dyDescent="0.2">
      <c r="A169" s="262" t="s">
        <v>103</v>
      </c>
      <c r="B169" s="283">
        <v>0.4</v>
      </c>
      <c r="C169" s="247"/>
    </row>
    <row r="170" spans="1:3" s="249" customFormat="1" x14ac:dyDescent="0.2">
      <c r="A170" s="262" t="s">
        <v>158</v>
      </c>
      <c r="B170" s="283">
        <v>0.4</v>
      </c>
      <c r="C170" s="247"/>
    </row>
    <row r="171" spans="1:3" s="249" customFormat="1" x14ac:dyDescent="0.2">
      <c r="A171" s="262" t="s">
        <v>159</v>
      </c>
      <c r="B171" s="282">
        <f>B3</f>
        <v>0.124</v>
      </c>
      <c r="C171" s="247"/>
    </row>
    <row r="172" spans="1:3" s="249" customFormat="1" x14ac:dyDescent="0.2">
      <c r="A172" s="262" t="s">
        <v>62</v>
      </c>
      <c r="B172" s="282">
        <f>B4</f>
        <v>0.79200000000000004</v>
      </c>
      <c r="C172" s="247"/>
    </row>
    <row r="173" spans="1:3" s="249" customFormat="1" x14ac:dyDescent="0.2">
      <c r="A173" s="262" t="s">
        <v>255</v>
      </c>
      <c r="B173" s="284">
        <v>2</v>
      </c>
      <c r="C173" s="247"/>
    </row>
    <row r="174" spans="1:3" s="249" customFormat="1" x14ac:dyDescent="0.2">
      <c r="A174" s="267" t="s">
        <v>399</v>
      </c>
      <c r="B174" s="283">
        <v>2</v>
      </c>
      <c r="C174" s="247"/>
    </row>
    <row r="175" spans="1:3" s="249" customFormat="1" x14ac:dyDescent="0.2">
      <c r="A175" s="267" t="s">
        <v>400</v>
      </c>
      <c r="B175" s="283">
        <v>2</v>
      </c>
      <c r="C175" s="247"/>
    </row>
    <row r="176" spans="1:3" s="249" customFormat="1" x14ac:dyDescent="0.2">
      <c r="A176" s="267" t="s">
        <v>401</v>
      </c>
      <c r="B176" s="283">
        <v>2</v>
      </c>
      <c r="C176" s="247"/>
    </row>
    <row r="177" spans="1:3" s="249" customFormat="1" x14ac:dyDescent="0.2">
      <c r="A177" s="267" t="s">
        <v>402</v>
      </c>
      <c r="B177" s="283">
        <v>2</v>
      </c>
      <c r="C177" s="247"/>
    </row>
    <row r="178" spans="1:3" s="249" customFormat="1" x14ac:dyDescent="0.2">
      <c r="A178" s="267" t="s">
        <v>403</v>
      </c>
      <c r="B178" s="283">
        <v>2</v>
      </c>
      <c r="C178" s="247"/>
    </row>
    <row r="179" spans="1:3" s="249" customFormat="1" x14ac:dyDescent="0.2">
      <c r="A179" s="267" t="s">
        <v>404</v>
      </c>
      <c r="B179" s="283">
        <v>2</v>
      </c>
      <c r="C179" s="247"/>
    </row>
    <row r="180" spans="1:3" s="249" customFormat="1" x14ac:dyDescent="0.2">
      <c r="A180" s="267" t="s">
        <v>405</v>
      </c>
      <c r="B180" s="284">
        <v>2</v>
      </c>
      <c r="C180" s="247"/>
    </row>
    <row r="181" spans="1:3" s="249" customFormat="1" x14ac:dyDescent="0.2">
      <c r="A181" s="262" t="s">
        <v>41</v>
      </c>
      <c r="B181" s="284">
        <v>3.62</v>
      </c>
      <c r="C181" s="249" t="s">
        <v>42</v>
      </c>
    </row>
    <row r="182" spans="1:3" s="249" customFormat="1" x14ac:dyDescent="0.2">
      <c r="A182" s="262" t="s">
        <v>46</v>
      </c>
      <c r="B182" s="284">
        <v>0.25</v>
      </c>
      <c r="C182" s="249" t="s">
        <v>47</v>
      </c>
    </row>
    <row r="183" spans="1:3" s="249" customFormat="1" x14ac:dyDescent="0.2">
      <c r="A183" s="267" t="s">
        <v>60</v>
      </c>
      <c r="B183" s="284">
        <v>10950</v>
      </c>
      <c r="C183" s="249" t="s">
        <v>61</v>
      </c>
    </row>
    <row r="184" spans="1:3" s="249" customFormat="1" x14ac:dyDescent="0.2">
      <c r="A184" s="267" t="s">
        <v>65</v>
      </c>
      <c r="B184" s="284">
        <v>240</v>
      </c>
      <c r="C184" s="249" t="s">
        <v>66</v>
      </c>
    </row>
    <row r="185" spans="1:3" s="249" customFormat="1" x14ac:dyDescent="0.2">
      <c r="A185" s="267" t="s">
        <v>76</v>
      </c>
      <c r="B185" s="284">
        <v>0.42</v>
      </c>
      <c r="C185" s="249" t="s">
        <v>47</v>
      </c>
    </row>
    <row r="186" spans="1:3" s="249" customFormat="1" x14ac:dyDescent="0.2">
      <c r="A186" s="267" t="s">
        <v>85</v>
      </c>
      <c r="B186" s="284">
        <v>60</v>
      </c>
      <c r="C186" s="262" t="s">
        <v>61</v>
      </c>
    </row>
    <row r="187" spans="1:3" s="249" customFormat="1" x14ac:dyDescent="0.2">
      <c r="A187" s="267" t="s">
        <v>87</v>
      </c>
      <c r="B187" s="284">
        <v>2</v>
      </c>
      <c r="C187" s="262" t="s">
        <v>66</v>
      </c>
    </row>
    <row r="188" spans="1:3" s="249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249" customFormat="1" x14ac:dyDescent="0.2">
      <c r="A189" s="267" t="s">
        <v>91</v>
      </c>
      <c r="B189" s="284">
        <v>1</v>
      </c>
      <c r="C189" s="249" t="s">
        <v>47</v>
      </c>
    </row>
    <row r="190" spans="1:3" s="249" customFormat="1" x14ac:dyDescent="0.2">
      <c r="A190" s="267" t="s">
        <v>92</v>
      </c>
      <c r="B190" s="284">
        <v>14</v>
      </c>
      <c r="C190" s="249" t="s">
        <v>93</v>
      </c>
    </row>
    <row r="191" spans="1:3" s="249" customFormat="1" x14ac:dyDescent="0.2">
      <c r="A191" s="262" t="s">
        <v>29</v>
      </c>
      <c r="B191" s="284">
        <v>92</v>
      </c>
      <c r="C191" s="262" t="s">
        <v>30</v>
      </c>
    </row>
    <row r="192" spans="1:3" s="249" customFormat="1" x14ac:dyDescent="0.2">
      <c r="A192" s="249" t="s">
        <v>287</v>
      </c>
      <c r="B192" s="283">
        <v>1.03</v>
      </c>
      <c r="C192" s="249" t="s">
        <v>288</v>
      </c>
    </row>
    <row r="193" spans="1:3" s="249" customFormat="1" x14ac:dyDescent="0.2">
      <c r="A193" s="262" t="s">
        <v>406</v>
      </c>
      <c r="B193" s="284">
        <v>20.3</v>
      </c>
      <c r="C193" s="249" t="s">
        <v>283</v>
      </c>
    </row>
    <row r="194" spans="1:3" s="249" customFormat="1" x14ac:dyDescent="0.2">
      <c r="A194" s="262" t="s">
        <v>407</v>
      </c>
      <c r="B194" s="284">
        <v>0.4</v>
      </c>
      <c r="C194" s="249" t="s">
        <v>283</v>
      </c>
    </row>
    <row r="195" spans="1:3" s="249" customFormat="1" x14ac:dyDescent="0.2">
      <c r="A195" s="262" t="s">
        <v>408</v>
      </c>
      <c r="B195" s="284">
        <v>1</v>
      </c>
      <c r="C195" s="247"/>
    </row>
    <row r="196" spans="1:3" s="249" customFormat="1" x14ac:dyDescent="0.2">
      <c r="A196" s="262" t="s">
        <v>409</v>
      </c>
      <c r="B196" s="284">
        <v>1</v>
      </c>
      <c r="C196" s="247"/>
    </row>
    <row r="197" spans="1:3" s="249" customFormat="1" x14ac:dyDescent="0.2">
      <c r="A197" s="262" t="s">
        <v>31</v>
      </c>
      <c r="B197" s="284">
        <v>53</v>
      </c>
      <c r="C197" s="262" t="s">
        <v>30</v>
      </c>
    </row>
    <row r="198" spans="1:3" s="249" customFormat="1" x14ac:dyDescent="0.2">
      <c r="A198" s="262" t="s">
        <v>410</v>
      </c>
      <c r="B198" s="284">
        <v>11.77</v>
      </c>
      <c r="C198" s="249" t="s">
        <v>283</v>
      </c>
    </row>
    <row r="199" spans="1:3" s="249" customFormat="1" x14ac:dyDescent="0.2">
      <c r="A199" s="262" t="s">
        <v>411</v>
      </c>
      <c r="B199" s="284">
        <v>0.5</v>
      </c>
      <c r="C199" s="249" t="s">
        <v>283</v>
      </c>
    </row>
    <row r="200" spans="1:3" s="249" customFormat="1" x14ac:dyDescent="0.2">
      <c r="A200" s="262" t="s">
        <v>412</v>
      </c>
      <c r="B200" s="284">
        <v>1</v>
      </c>
      <c r="C200" s="247"/>
    </row>
    <row r="201" spans="1:3" s="249" customFormat="1" x14ac:dyDescent="0.2">
      <c r="A201" s="262" t="s">
        <v>413</v>
      </c>
      <c r="B201" s="284">
        <v>1</v>
      </c>
      <c r="C201" s="247"/>
    </row>
    <row r="202" spans="1:3" s="249" customFormat="1" x14ac:dyDescent="0.2">
      <c r="A202" s="262" t="s">
        <v>173</v>
      </c>
      <c r="B202" s="283">
        <v>0.4</v>
      </c>
      <c r="C202" s="262" t="s">
        <v>30</v>
      </c>
    </row>
    <row r="203" spans="1:3" s="249" customFormat="1" x14ac:dyDescent="0.2">
      <c r="A203" s="262" t="s">
        <v>177</v>
      </c>
      <c r="B203" s="284">
        <v>0.2</v>
      </c>
      <c r="C203" s="249" t="s">
        <v>283</v>
      </c>
    </row>
    <row r="204" spans="1:3" s="249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249" customFormat="1" x14ac:dyDescent="0.2">
      <c r="A205" s="262" t="s">
        <v>178</v>
      </c>
      <c r="B205" s="283">
        <v>1</v>
      </c>
      <c r="C205" s="247"/>
    </row>
    <row r="206" spans="1:3" s="249" customFormat="1" x14ac:dyDescent="0.2">
      <c r="A206" s="262" t="s">
        <v>179</v>
      </c>
      <c r="B206" s="283">
        <v>1</v>
      </c>
      <c r="C206" s="247"/>
    </row>
    <row r="207" spans="1:3" s="249" customFormat="1" x14ac:dyDescent="0.2">
      <c r="A207" s="262" t="s">
        <v>414</v>
      </c>
      <c r="B207" s="283">
        <v>0.4</v>
      </c>
      <c r="C207" s="262" t="s">
        <v>30</v>
      </c>
    </row>
    <row r="208" spans="1:3" s="249" customFormat="1" x14ac:dyDescent="0.2">
      <c r="A208" s="262" t="s">
        <v>415</v>
      </c>
      <c r="B208" s="284">
        <v>0.2</v>
      </c>
      <c r="C208" s="249" t="s">
        <v>283</v>
      </c>
    </row>
    <row r="209" spans="1:3" s="249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249" customFormat="1" x14ac:dyDescent="0.2">
      <c r="A210" s="262" t="s">
        <v>417</v>
      </c>
      <c r="B210" s="284">
        <v>1</v>
      </c>
      <c r="C210" s="247"/>
    </row>
    <row r="211" spans="1:3" s="249" customFormat="1" x14ac:dyDescent="0.2">
      <c r="A211" s="262" t="s">
        <v>418</v>
      </c>
      <c r="B211" s="284">
        <v>1</v>
      </c>
      <c r="C211" s="247"/>
    </row>
    <row r="212" spans="1:3" s="249" customFormat="1" x14ac:dyDescent="0.2">
      <c r="A212" s="262" t="s">
        <v>174</v>
      </c>
      <c r="B212" s="284">
        <v>11.4</v>
      </c>
      <c r="C212" s="262" t="s">
        <v>30</v>
      </c>
    </row>
    <row r="213" spans="1:3" s="249" customFormat="1" x14ac:dyDescent="0.2">
      <c r="A213" s="262" t="s">
        <v>419</v>
      </c>
      <c r="B213" s="284">
        <v>4.7</v>
      </c>
      <c r="C213" s="249" t="s">
        <v>283</v>
      </c>
    </row>
    <row r="214" spans="1:3" s="249" customFormat="1" x14ac:dyDescent="0.2">
      <c r="A214" s="262" t="s">
        <v>420</v>
      </c>
      <c r="B214" s="284">
        <v>0.37</v>
      </c>
      <c r="C214" s="249" t="s">
        <v>283</v>
      </c>
    </row>
    <row r="215" spans="1:3" s="249" customFormat="1" x14ac:dyDescent="0.2">
      <c r="A215" s="262" t="s">
        <v>421</v>
      </c>
      <c r="B215" s="284">
        <v>1</v>
      </c>
      <c r="C215" s="247"/>
    </row>
    <row r="216" spans="1:3" s="249" customFormat="1" x14ac:dyDescent="0.2">
      <c r="A216" s="262" t="s">
        <v>422</v>
      </c>
      <c r="B216" s="284">
        <v>1</v>
      </c>
      <c r="C216" s="247"/>
    </row>
    <row r="217" spans="1:3" s="249" customFormat="1" x14ac:dyDescent="0.2">
      <c r="A217" s="249" t="s">
        <v>83</v>
      </c>
      <c r="B217" s="284">
        <v>0.5</v>
      </c>
    </row>
    <row r="218" spans="1:3" s="249" customFormat="1" x14ac:dyDescent="0.2">
      <c r="A218" s="558" t="s">
        <v>423</v>
      </c>
      <c r="B218" s="558"/>
      <c r="C218" s="558"/>
    </row>
    <row r="219" spans="1:3" s="249" customFormat="1" x14ac:dyDescent="0.2">
      <c r="A219" s="249" t="s">
        <v>424</v>
      </c>
      <c r="B219" s="283">
        <v>55</v>
      </c>
      <c r="C219" s="263" t="s">
        <v>359</v>
      </c>
    </row>
    <row r="220" spans="1:3" s="249" customFormat="1" x14ac:dyDescent="0.2">
      <c r="A220" s="262" t="s">
        <v>425</v>
      </c>
      <c r="B220" s="283">
        <v>55</v>
      </c>
      <c r="C220" s="249" t="s">
        <v>26</v>
      </c>
    </row>
    <row r="221" spans="1:3" s="249" customFormat="1" x14ac:dyDescent="0.2">
      <c r="A221" s="262" t="s">
        <v>75</v>
      </c>
      <c r="B221" s="284">
        <v>5</v>
      </c>
      <c r="C221" s="249" t="s">
        <v>69</v>
      </c>
    </row>
    <row r="222" spans="1:3" s="249" customFormat="1" x14ac:dyDescent="0.2">
      <c r="A222" s="262" t="s">
        <v>426</v>
      </c>
      <c r="B222" s="283">
        <v>55</v>
      </c>
      <c r="C222" s="263" t="s">
        <v>54</v>
      </c>
    </row>
    <row r="223" spans="1:3" s="249" customFormat="1" x14ac:dyDescent="0.2">
      <c r="A223" s="249" t="s">
        <v>353</v>
      </c>
      <c r="B223" s="284">
        <v>1</v>
      </c>
      <c r="C223" s="247"/>
    </row>
    <row r="224" spans="1:3" s="249" customFormat="1" x14ac:dyDescent="0.2">
      <c r="A224" s="262" t="s">
        <v>56</v>
      </c>
      <c r="B224" s="284">
        <v>1</v>
      </c>
      <c r="C224" s="247"/>
    </row>
    <row r="225" spans="1:3" s="249" customFormat="1" x14ac:dyDescent="0.2">
      <c r="A225" s="262" t="s">
        <v>52</v>
      </c>
      <c r="B225" s="284">
        <v>0.4</v>
      </c>
      <c r="C225" s="247"/>
    </row>
    <row r="226" spans="1:3" s="249" customFormat="1" x14ac:dyDescent="0.2">
      <c r="A226" s="262" t="s">
        <v>62</v>
      </c>
      <c r="B226" s="284">
        <v>1</v>
      </c>
      <c r="C226" s="247"/>
    </row>
    <row r="227" spans="1:3" s="249" customFormat="1" x14ac:dyDescent="0.2">
      <c r="A227" s="262" t="s">
        <v>467</v>
      </c>
      <c r="B227" s="283">
        <v>2</v>
      </c>
      <c r="C227" s="249" t="s">
        <v>224</v>
      </c>
    </row>
    <row r="228" spans="1:3" s="249" customFormat="1" x14ac:dyDescent="0.2">
      <c r="A228" s="262" t="s">
        <v>468</v>
      </c>
      <c r="B228" s="283">
        <v>3</v>
      </c>
      <c r="C228" s="249" t="s">
        <v>224</v>
      </c>
    </row>
    <row r="229" spans="1:3" s="249" customFormat="1" x14ac:dyDescent="0.2">
      <c r="A229" s="262" t="s">
        <v>103</v>
      </c>
      <c r="B229" s="283">
        <v>0.4</v>
      </c>
      <c r="C229" s="247"/>
    </row>
    <row r="230" spans="1:3" s="249" customFormat="1" x14ac:dyDescent="0.2">
      <c r="A230" s="558" t="s">
        <v>427</v>
      </c>
      <c r="B230" s="558"/>
      <c r="C230" s="558"/>
    </row>
    <row r="231" spans="1:3" s="249" customFormat="1" x14ac:dyDescent="0.2">
      <c r="A231" s="249" t="s">
        <v>428</v>
      </c>
      <c r="B231" s="283">
        <v>55</v>
      </c>
      <c r="C231" s="263" t="s">
        <v>359</v>
      </c>
    </row>
    <row r="232" spans="1:3" s="249" customFormat="1" x14ac:dyDescent="0.2">
      <c r="A232" s="262" t="s">
        <v>40</v>
      </c>
      <c r="B232" s="283">
        <v>55</v>
      </c>
      <c r="C232" s="249" t="s">
        <v>26</v>
      </c>
    </row>
    <row r="233" spans="1:3" s="249" customFormat="1" x14ac:dyDescent="0.2">
      <c r="A233" s="262" t="s">
        <v>429</v>
      </c>
      <c r="B233" s="284">
        <v>5</v>
      </c>
      <c r="C233" s="249" t="s">
        <v>69</v>
      </c>
    </row>
    <row r="234" spans="1:3" s="249" customFormat="1" x14ac:dyDescent="0.2">
      <c r="A234" s="262" t="s">
        <v>79</v>
      </c>
      <c r="B234" s="283">
        <v>55</v>
      </c>
      <c r="C234" s="263" t="s">
        <v>54</v>
      </c>
    </row>
    <row r="235" spans="1:3" s="249" customFormat="1" x14ac:dyDescent="0.2">
      <c r="A235" s="249" t="s">
        <v>353</v>
      </c>
      <c r="B235" s="284">
        <v>1</v>
      </c>
      <c r="C235" s="247"/>
    </row>
    <row r="236" spans="1:3" s="249" customFormat="1" x14ac:dyDescent="0.2">
      <c r="A236" s="262" t="s">
        <v>56</v>
      </c>
      <c r="B236" s="284">
        <v>1</v>
      </c>
      <c r="C236" s="247"/>
    </row>
    <row r="237" spans="1:3" s="249" customFormat="1" x14ac:dyDescent="0.2">
      <c r="A237" s="262" t="s">
        <v>52</v>
      </c>
      <c r="B237" s="284">
        <v>0.4</v>
      </c>
      <c r="C237" s="247"/>
    </row>
    <row r="238" spans="1:3" s="249" customFormat="1" x14ac:dyDescent="0.2">
      <c r="A238" s="262" t="s">
        <v>62</v>
      </c>
      <c r="B238" s="284">
        <v>1</v>
      </c>
      <c r="C238" s="247"/>
    </row>
    <row r="239" spans="1:3" s="249" customFormat="1" x14ac:dyDescent="0.2">
      <c r="A239" s="262" t="s">
        <v>469</v>
      </c>
      <c r="B239" s="283">
        <v>0</v>
      </c>
      <c r="C239" s="249" t="s">
        <v>224</v>
      </c>
    </row>
    <row r="240" spans="1:3" s="249" customFormat="1" x14ac:dyDescent="0.2">
      <c r="A240" s="262" t="s">
        <v>470</v>
      </c>
      <c r="B240" s="283">
        <v>5</v>
      </c>
      <c r="C240" s="249" t="s">
        <v>224</v>
      </c>
    </row>
    <row r="241" spans="1:3" s="249" customFormat="1" x14ac:dyDescent="0.2">
      <c r="A241" s="262" t="s">
        <v>103</v>
      </c>
      <c r="B241" s="283">
        <v>0.4</v>
      </c>
      <c r="C241" s="247"/>
    </row>
    <row r="242" spans="1:3" s="249" customFormat="1" x14ac:dyDescent="0.2">
      <c r="A242" s="558" t="s">
        <v>430</v>
      </c>
      <c r="B242" s="558"/>
      <c r="C242" s="558"/>
    </row>
    <row r="243" spans="1:3" s="249" customFormat="1" x14ac:dyDescent="0.2">
      <c r="A243" s="249" t="s">
        <v>58</v>
      </c>
      <c r="B243" s="283">
        <v>55</v>
      </c>
      <c r="C243" s="263" t="s">
        <v>359</v>
      </c>
    </row>
    <row r="244" spans="1:3" s="249" customFormat="1" x14ac:dyDescent="0.2">
      <c r="A244" s="262" t="s">
        <v>431</v>
      </c>
      <c r="B244" s="283">
        <v>55</v>
      </c>
      <c r="C244" s="249" t="s">
        <v>26</v>
      </c>
    </row>
    <row r="245" spans="1:3" s="249" customFormat="1" x14ac:dyDescent="0.2">
      <c r="A245" s="262" t="s">
        <v>432</v>
      </c>
      <c r="B245" s="284">
        <v>5</v>
      </c>
      <c r="C245" s="249" t="s">
        <v>69</v>
      </c>
    </row>
    <row r="246" spans="1:3" s="249" customFormat="1" x14ac:dyDescent="0.2">
      <c r="A246" s="262" t="s">
        <v>433</v>
      </c>
      <c r="B246" s="283">
        <v>55</v>
      </c>
      <c r="C246" s="263" t="s">
        <v>54</v>
      </c>
    </row>
    <row r="247" spans="1:3" s="249" customFormat="1" x14ac:dyDescent="0.2">
      <c r="A247" s="249" t="s">
        <v>353</v>
      </c>
      <c r="B247" s="284">
        <v>1</v>
      </c>
      <c r="C247" s="247"/>
    </row>
    <row r="248" spans="1:3" s="249" customFormat="1" x14ac:dyDescent="0.2">
      <c r="A248" s="262" t="s">
        <v>56</v>
      </c>
      <c r="B248" s="284">
        <v>1</v>
      </c>
      <c r="C248" s="247"/>
    </row>
    <row r="249" spans="1:3" s="249" customFormat="1" x14ac:dyDescent="0.2">
      <c r="A249" s="262" t="s">
        <v>52</v>
      </c>
      <c r="B249" s="284">
        <v>0.4</v>
      </c>
      <c r="C249" s="247"/>
    </row>
    <row r="250" spans="1:3" s="249" customFormat="1" x14ac:dyDescent="0.2">
      <c r="A250" s="262" t="s">
        <v>62</v>
      </c>
      <c r="B250" s="284">
        <v>1</v>
      </c>
      <c r="C250" s="247"/>
    </row>
    <row r="251" spans="1:3" s="249" customFormat="1" x14ac:dyDescent="0.2">
      <c r="A251" s="262" t="s">
        <v>466</v>
      </c>
      <c r="B251" s="283">
        <v>5</v>
      </c>
      <c r="C251" s="249" t="s">
        <v>224</v>
      </c>
    </row>
    <row r="252" spans="1:3" s="249" customFormat="1" x14ac:dyDescent="0.2">
      <c r="A252" s="262" t="s">
        <v>465</v>
      </c>
      <c r="B252" s="283">
        <v>0</v>
      </c>
      <c r="C252" s="249" t="s">
        <v>224</v>
      </c>
    </row>
    <row r="253" spans="1:3" s="249" customFormat="1" x14ac:dyDescent="0.2">
      <c r="A253" s="262" t="s">
        <v>103</v>
      </c>
      <c r="B253" s="283">
        <v>0.4</v>
      </c>
      <c r="C253" s="247"/>
    </row>
    <row r="254" spans="1:3" s="249" customFormat="1" x14ac:dyDescent="0.2">
      <c r="A254" s="558" t="s">
        <v>434</v>
      </c>
      <c r="B254" s="558"/>
      <c r="C254" s="558"/>
    </row>
    <row r="255" spans="1:3" s="249" customFormat="1" x14ac:dyDescent="0.2">
      <c r="A255" s="249" t="s">
        <v>435</v>
      </c>
      <c r="B255" s="283">
        <v>55</v>
      </c>
      <c r="C255" s="263" t="s">
        <v>359</v>
      </c>
    </row>
    <row r="256" spans="1:3" s="249" customFormat="1" x14ac:dyDescent="0.2">
      <c r="A256" s="262" t="s">
        <v>221</v>
      </c>
      <c r="B256" s="283">
        <v>55</v>
      </c>
      <c r="C256" s="249" t="s">
        <v>26</v>
      </c>
    </row>
    <row r="257" spans="1:3" s="249" customFormat="1" x14ac:dyDescent="0.2">
      <c r="A257" s="262" t="s">
        <v>186</v>
      </c>
      <c r="B257" s="284">
        <v>5</v>
      </c>
      <c r="C257" s="249" t="s">
        <v>69</v>
      </c>
    </row>
    <row r="258" spans="1:3" s="249" customFormat="1" x14ac:dyDescent="0.2">
      <c r="A258" s="262" t="s">
        <v>436</v>
      </c>
      <c r="B258" s="283">
        <v>55</v>
      </c>
      <c r="C258" s="263" t="s">
        <v>54</v>
      </c>
    </row>
    <row r="259" spans="1:3" s="249" customFormat="1" x14ac:dyDescent="0.2">
      <c r="A259" s="249" t="s">
        <v>353</v>
      </c>
      <c r="B259" s="284">
        <v>1</v>
      </c>
      <c r="C259" s="247"/>
    </row>
    <row r="260" spans="1:3" s="249" customFormat="1" x14ac:dyDescent="0.2">
      <c r="A260" s="262" t="s">
        <v>56</v>
      </c>
      <c r="B260" s="284">
        <v>1</v>
      </c>
      <c r="C260" s="247"/>
    </row>
    <row r="261" spans="1:3" s="249" customFormat="1" x14ac:dyDescent="0.2">
      <c r="A261" s="262" t="s">
        <v>52</v>
      </c>
      <c r="B261" s="284">
        <v>0.4</v>
      </c>
      <c r="C261" s="247"/>
    </row>
    <row r="262" spans="1:3" s="249" customFormat="1" x14ac:dyDescent="0.2">
      <c r="A262" s="262" t="s">
        <v>62</v>
      </c>
      <c r="B262" s="284">
        <v>1</v>
      </c>
      <c r="C262" s="247"/>
    </row>
    <row r="263" spans="1:3" s="249" customFormat="1" x14ac:dyDescent="0.2">
      <c r="A263" s="262" t="s">
        <v>471</v>
      </c>
      <c r="B263" s="283">
        <v>5</v>
      </c>
      <c r="C263" s="249" t="s">
        <v>224</v>
      </c>
    </row>
    <row r="264" spans="1:3" s="249" customFormat="1" x14ac:dyDescent="0.2">
      <c r="A264" s="262" t="s">
        <v>472</v>
      </c>
      <c r="B264" s="283">
        <v>0</v>
      </c>
      <c r="C264" s="249" t="s">
        <v>224</v>
      </c>
    </row>
    <row r="265" spans="1:3" s="249" customFormat="1" x14ac:dyDescent="0.2">
      <c r="A265" s="262" t="s">
        <v>103</v>
      </c>
      <c r="B265" s="283">
        <v>0.4</v>
      </c>
      <c r="C265" s="247"/>
    </row>
    <row r="266" spans="1:3" s="249" customFormat="1" x14ac:dyDescent="0.2">
      <c r="A266" s="262" t="s">
        <v>220</v>
      </c>
      <c r="B266" s="283">
        <v>5</v>
      </c>
      <c r="C266" s="249" t="s">
        <v>129</v>
      </c>
    </row>
    <row r="267" spans="1:3" s="249" customFormat="1" x14ac:dyDescent="0.2">
      <c r="A267" s="262" t="s">
        <v>219</v>
      </c>
      <c r="B267" s="283">
        <v>11</v>
      </c>
      <c r="C267" s="249" t="s">
        <v>130</v>
      </c>
    </row>
    <row r="268" spans="1:3" s="249" customFormat="1" x14ac:dyDescent="0.2">
      <c r="A268" s="558" t="s">
        <v>437</v>
      </c>
      <c r="B268" s="558"/>
      <c r="C268" s="558"/>
    </row>
    <row r="269" spans="1:3" s="249" customFormat="1" x14ac:dyDescent="0.2">
      <c r="A269" s="249" t="s">
        <v>435</v>
      </c>
      <c r="B269" s="283">
        <v>55</v>
      </c>
      <c r="C269" s="263" t="s">
        <v>359</v>
      </c>
    </row>
    <row r="270" spans="1:3" s="249" customFormat="1" x14ac:dyDescent="0.2">
      <c r="A270" s="262" t="s">
        <v>221</v>
      </c>
      <c r="B270" s="283">
        <v>55</v>
      </c>
      <c r="C270" s="249" t="s">
        <v>26</v>
      </c>
    </row>
    <row r="271" spans="1:3" s="249" customFormat="1" x14ac:dyDescent="0.2">
      <c r="A271" s="262" t="s">
        <v>186</v>
      </c>
      <c r="B271" s="284">
        <v>5</v>
      </c>
      <c r="C271" s="249" t="s">
        <v>69</v>
      </c>
    </row>
    <row r="272" spans="1:3" s="249" customFormat="1" x14ac:dyDescent="0.2">
      <c r="A272" s="262" t="s">
        <v>436</v>
      </c>
      <c r="B272" s="283">
        <v>55</v>
      </c>
      <c r="C272" s="263" t="s">
        <v>54</v>
      </c>
    </row>
    <row r="273" spans="1:3" s="249" customFormat="1" x14ac:dyDescent="0.2">
      <c r="A273" s="262" t="s">
        <v>56</v>
      </c>
      <c r="B273" s="284">
        <v>1</v>
      </c>
      <c r="C273" s="247"/>
    </row>
    <row r="274" spans="1:3" s="249" customFormat="1" x14ac:dyDescent="0.2">
      <c r="A274" s="262" t="s">
        <v>52</v>
      </c>
      <c r="B274" s="284">
        <v>0.4</v>
      </c>
      <c r="C274" s="247"/>
    </row>
    <row r="275" spans="1:3" s="249" customFormat="1" x14ac:dyDescent="0.2">
      <c r="A275" s="262" t="s">
        <v>62</v>
      </c>
      <c r="B275" s="284">
        <v>1</v>
      </c>
      <c r="C275" s="247"/>
    </row>
    <row r="276" spans="1:3" s="249" customFormat="1" x14ac:dyDescent="0.2">
      <c r="A276" s="262" t="s">
        <v>471</v>
      </c>
      <c r="B276" s="283">
        <v>5</v>
      </c>
      <c r="C276" s="249" t="s">
        <v>224</v>
      </c>
    </row>
    <row r="277" spans="1:3" s="249" customFormat="1" x14ac:dyDescent="0.2">
      <c r="A277" s="262" t="s">
        <v>472</v>
      </c>
      <c r="B277" s="283">
        <v>0</v>
      </c>
      <c r="C277" s="249" t="s">
        <v>224</v>
      </c>
    </row>
    <row r="278" spans="1:3" s="249" customFormat="1" x14ac:dyDescent="0.2">
      <c r="A278" s="262" t="s">
        <v>103</v>
      </c>
      <c r="B278" s="283">
        <v>0.4</v>
      </c>
      <c r="C278" s="247"/>
    </row>
    <row r="279" spans="1:3" s="249" customFormat="1" x14ac:dyDescent="0.2">
      <c r="A279" s="262" t="s">
        <v>220</v>
      </c>
      <c r="B279" s="283">
        <v>5</v>
      </c>
      <c r="C279" s="249" t="s">
        <v>129</v>
      </c>
    </row>
    <row r="280" spans="1:3" s="249" customFormat="1" x14ac:dyDescent="0.2">
      <c r="A280" s="262" t="s">
        <v>219</v>
      </c>
      <c r="B280" s="283">
        <v>11</v>
      </c>
      <c r="C280" s="249" t="s">
        <v>130</v>
      </c>
    </row>
    <row r="281" spans="1:3" s="249" customFormat="1" x14ac:dyDescent="0.2">
      <c r="A281" s="663" t="s">
        <v>576</v>
      </c>
      <c r="B281" s="663"/>
      <c r="C281" s="663"/>
    </row>
    <row r="282" spans="1:3" s="249" customFormat="1" x14ac:dyDescent="0.2">
      <c r="A282" s="263" t="s">
        <v>577</v>
      </c>
      <c r="B282" s="283">
        <v>2</v>
      </c>
    </row>
    <row r="283" spans="1:3" s="249" customFormat="1" x14ac:dyDescent="0.2">
      <c r="A283" s="249" t="s">
        <v>100</v>
      </c>
      <c r="B283" s="283">
        <v>0.6</v>
      </c>
    </row>
    <row r="284" spans="1:3" s="249" customFormat="1" x14ac:dyDescent="0.2">
      <c r="A284" s="249" t="s">
        <v>107</v>
      </c>
      <c r="B284" s="283">
        <v>20</v>
      </c>
      <c r="C284" s="249" t="s">
        <v>69</v>
      </c>
    </row>
    <row r="285" spans="1:3" s="249" customFormat="1" x14ac:dyDescent="0.2">
      <c r="A285" s="263" t="s">
        <v>39</v>
      </c>
      <c r="B285" s="283">
        <v>50</v>
      </c>
      <c r="C285" s="249" t="s">
        <v>69</v>
      </c>
    </row>
    <row r="286" spans="1:3" s="249" customFormat="1" x14ac:dyDescent="0.2">
      <c r="A286" s="263" t="s">
        <v>83</v>
      </c>
      <c r="B286" s="283">
        <v>2</v>
      </c>
      <c r="C286" s="249" t="s">
        <v>582</v>
      </c>
    </row>
    <row r="287" spans="1:3" s="249" customFormat="1" x14ac:dyDescent="0.2">
      <c r="A287" s="249" t="s">
        <v>109</v>
      </c>
      <c r="B287" s="283">
        <v>2</v>
      </c>
      <c r="C287" s="249" t="s">
        <v>110</v>
      </c>
    </row>
    <row r="288" spans="1:3" s="249" customFormat="1" x14ac:dyDescent="0.2">
      <c r="A288" s="249" t="s">
        <v>114</v>
      </c>
      <c r="B288" s="283">
        <v>0.36</v>
      </c>
      <c r="C288" s="249" t="s">
        <v>582</v>
      </c>
    </row>
    <row r="289" spans="1:3" s="249" customFormat="1" x14ac:dyDescent="0.2">
      <c r="A289" s="249" t="s">
        <v>116</v>
      </c>
      <c r="B289" s="283">
        <v>2</v>
      </c>
      <c r="C289" s="249" t="s">
        <v>113</v>
      </c>
    </row>
    <row r="290" spans="1:3" s="249" customFormat="1" x14ac:dyDescent="0.2">
      <c r="A290" s="249" t="s">
        <v>118</v>
      </c>
      <c r="B290" s="283">
        <v>2</v>
      </c>
      <c r="C290" s="249" t="s">
        <v>113</v>
      </c>
    </row>
    <row r="291" spans="1:3" s="249" customFormat="1" x14ac:dyDescent="0.2">
      <c r="A291" s="249" t="s">
        <v>119</v>
      </c>
      <c r="B291" s="283">
        <v>2</v>
      </c>
      <c r="C291" s="249" t="s">
        <v>113</v>
      </c>
    </row>
    <row r="293" spans="1:3" s="249" customFormat="1" x14ac:dyDescent="0.2">
      <c r="A293" s="95" t="s">
        <v>299</v>
      </c>
      <c r="B293" s="365">
        <v>27.027027027027</v>
      </c>
    </row>
  </sheetData>
  <mergeCells count="335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B18:CD18"/>
    <mergeCell ref="CE18:CG18"/>
    <mergeCell ref="CK18:CM18"/>
    <mergeCell ref="CN18:CP18"/>
    <mergeCell ref="CO19:CO21"/>
    <mergeCell ref="CP19:CP21"/>
    <mergeCell ref="CQ18:CS18"/>
    <mergeCell ref="GY2:GY4"/>
    <mergeCell ref="GZ2:GZ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C2:BC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T2:T4"/>
    <mergeCell ref="U2:U4"/>
    <mergeCell ref="AC2:AC4"/>
    <mergeCell ref="AN2:AN4"/>
    <mergeCell ref="AO2:AO4"/>
    <mergeCell ref="AP2:AP4"/>
    <mergeCell ref="AQ2:AQ4"/>
    <mergeCell ref="AR2:AR4"/>
    <mergeCell ref="AI2:AI4"/>
    <mergeCell ref="AJ2:AJ4"/>
    <mergeCell ref="AK2:AK4"/>
    <mergeCell ref="AL2:AL4"/>
    <mergeCell ref="AM2:AM4"/>
    <mergeCell ref="GU1:GW1"/>
    <mergeCell ref="GX1:GZ1"/>
    <mergeCell ref="HA1:HC1"/>
    <mergeCell ref="HD1:HF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D2:AD4"/>
    <mergeCell ref="AE2:AE4"/>
    <mergeCell ref="AF2:AF4"/>
    <mergeCell ref="AG2:AG4"/>
    <mergeCell ref="AH2:AH4"/>
    <mergeCell ref="R2:R4"/>
    <mergeCell ref="S2:S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3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13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13" style="289" bestFit="1" customWidth="1"/>
    <col min="12" max="12" width="17.140625" style="249" bestFit="1" customWidth="1"/>
    <col min="13" max="13" width="11" style="249" bestFit="1" customWidth="1"/>
    <col min="14" max="14" width="13" style="289" bestFit="1" customWidth="1"/>
    <col min="15" max="15" width="21.28515625" style="249" bestFit="1" customWidth="1"/>
    <col min="16" max="16" width="12.42578125" style="249" bestFit="1" customWidth="1"/>
    <col min="17" max="17" width="13" style="289" bestFit="1" customWidth="1"/>
    <col min="18" max="18" width="18.7109375" style="249" bestFit="1" customWidth="1"/>
    <col min="19" max="19" width="13.5703125" style="249" bestFit="1" customWidth="1"/>
    <col min="20" max="20" width="13" style="289" bestFit="1" customWidth="1"/>
    <col min="21" max="21" width="18.7109375" style="249" bestFit="1" customWidth="1"/>
    <col min="22" max="22" width="10" style="249" bestFit="1" customWidth="1"/>
    <col min="23" max="23" width="13" style="289" bestFit="1" customWidth="1"/>
    <col min="24" max="24" width="17.42578125" style="249" bestFit="1" customWidth="1"/>
    <col min="25" max="25" width="10" style="249" bestFit="1" customWidth="1"/>
    <col min="26" max="26" width="13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13" style="289" bestFit="1" customWidth="1"/>
    <col min="37" max="37" width="17.42578125" style="249" bestFit="1" customWidth="1"/>
    <col min="38" max="38" width="11" style="249" bestFit="1" customWidth="1"/>
    <col min="39" max="39" width="13" style="289" bestFit="1" customWidth="1"/>
    <col min="40" max="40" width="16.42578125" style="249" bestFit="1" customWidth="1"/>
    <col min="41" max="41" width="12.7109375" style="249" bestFit="1" customWidth="1"/>
    <col min="42" max="42" width="13" style="289" bestFit="1" customWidth="1"/>
    <col min="43" max="43" width="16.42578125" style="249" bestFit="1" customWidth="1"/>
    <col min="44" max="44" width="9.5703125" style="249" bestFit="1" customWidth="1"/>
    <col min="45" max="45" width="13" style="289" bestFit="1" customWidth="1"/>
    <col min="46" max="46" width="17.42578125" style="249" bestFit="1" customWidth="1"/>
    <col min="47" max="47" width="11" style="249" bestFit="1" customWidth="1"/>
    <col min="48" max="48" width="13" style="289" bestFit="1" customWidth="1"/>
    <col min="49" max="49" width="16.42578125" style="249" bestFit="1" customWidth="1"/>
    <col min="50" max="50" width="12.7109375" style="249" bestFit="1" customWidth="1"/>
    <col min="51" max="51" width="13" style="289" bestFit="1" customWidth="1"/>
    <col min="52" max="52" width="16.42578125" style="249" bestFit="1" customWidth="1"/>
    <col min="53" max="53" width="9.5703125" style="249" bestFit="1" customWidth="1"/>
    <col min="54" max="54" width="13" style="289" bestFit="1" customWidth="1"/>
    <col min="55" max="55" width="17.42578125" style="249" bestFit="1" customWidth="1"/>
    <col min="56" max="56" width="11" style="249" bestFit="1" customWidth="1"/>
    <col min="57" max="57" width="13" style="289" bestFit="1" customWidth="1"/>
    <col min="58" max="58" width="16.42578125" style="249" bestFit="1" customWidth="1"/>
    <col min="59" max="59" width="12.7109375" style="249" bestFit="1" customWidth="1"/>
    <col min="60" max="60" width="13" style="289" bestFit="1" customWidth="1"/>
    <col min="61" max="61" width="16.42578125" style="249" bestFit="1" customWidth="1"/>
    <col min="62" max="62" width="11" style="249" bestFit="1" customWidth="1"/>
    <col min="63" max="63" width="13" style="289" bestFit="1" customWidth="1"/>
    <col min="64" max="64" width="17.42578125" style="249" bestFit="1" customWidth="1"/>
    <col min="65" max="65" width="12.42578125" style="249" bestFit="1" customWidth="1"/>
    <col min="66" max="66" width="13" style="289" bestFit="1" customWidth="1"/>
    <col min="67" max="67" width="16.42578125" style="249" bestFit="1" customWidth="1"/>
    <col min="68" max="68" width="13.5703125" style="249" bestFit="1" customWidth="1"/>
    <col min="69" max="69" width="13" style="289" bestFit="1" customWidth="1"/>
    <col min="70" max="70" width="16.42578125" style="249" bestFit="1" customWidth="1"/>
    <col min="71" max="71" width="10" style="249" bestFit="1" customWidth="1"/>
    <col min="72" max="72" width="13" style="289" bestFit="1" customWidth="1"/>
    <col min="73" max="73" width="17.42578125" style="249" bestFit="1" customWidth="1"/>
    <col min="74" max="74" width="11.5703125" style="249" bestFit="1" customWidth="1"/>
    <col min="75" max="75" width="13" style="289" bestFit="1" customWidth="1"/>
    <col min="76" max="76" width="11.5703125" style="249" bestFit="1" customWidth="1"/>
    <col min="77" max="77" width="10.7109375" style="249" bestFit="1" customWidth="1"/>
    <col min="78" max="78" width="10.28515625" style="289" bestFit="1" customWidth="1"/>
    <col min="79" max="79" width="15" style="249" bestFit="1" customWidth="1"/>
    <col min="80" max="80" width="11" style="249" bestFit="1" customWidth="1"/>
    <col min="81" max="81" width="13" style="289" bestFit="1" customWidth="1"/>
    <col min="82" max="82" width="17.42578125" style="249" bestFit="1" customWidth="1"/>
    <col min="83" max="83" width="12.42578125" style="249" bestFit="1" customWidth="1"/>
    <col min="84" max="84" width="13" style="289" bestFit="1" customWidth="1"/>
    <col min="85" max="85" width="16.42578125" style="249" bestFit="1" customWidth="1"/>
    <col min="86" max="86" width="13.5703125" style="249" bestFit="1" customWidth="1"/>
    <col min="87" max="87" width="13" style="289" bestFit="1" customWidth="1"/>
    <col min="88" max="88" width="16.42578125" style="249" bestFit="1" customWidth="1"/>
    <col min="89" max="89" width="8.7109375" style="249" bestFit="1" customWidth="1"/>
    <col min="90" max="90" width="13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" style="249" bestFit="1" customWidth="1"/>
    <col min="98" max="98" width="14.5703125" style="249" bestFit="1" customWidth="1"/>
    <col min="99" max="99" width="13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13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9.28515625" style="289" bestFit="1" customWidth="1"/>
    <col min="115" max="115" width="5.5703125" style="249" bestFit="1" customWidth="1"/>
    <col min="116" max="116" width="12.42578125" style="249" bestFit="1" customWidth="1"/>
    <col min="117" max="117" width="9.2851562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13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" style="249" bestFit="1" customWidth="1"/>
    <col min="128" max="128" width="12" style="249" bestFit="1" customWidth="1"/>
    <col min="129" max="129" width="9.28515625" style="289" bestFit="1" customWidth="1"/>
    <col min="130" max="130" width="5.57031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" style="249" bestFit="1" customWidth="1"/>
    <col min="143" max="143" width="12" style="249" bestFit="1" customWidth="1"/>
    <col min="144" max="144" width="9.28515625" style="289" bestFit="1" customWidth="1"/>
    <col min="145" max="145" width="5.5703125" style="249" bestFit="1" customWidth="1"/>
    <col min="146" max="146" width="12" style="249" bestFit="1" customWidth="1"/>
    <col min="147" max="147" width="9.28515625" style="289" bestFit="1" customWidth="1"/>
    <col min="148" max="148" width="5.57031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" style="249" bestFit="1" customWidth="1"/>
    <col min="158" max="158" width="8.5703125" style="249" bestFit="1" customWidth="1"/>
    <col min="159" max="159" width="9.28515625" style="289" bestFit="1" customWidth="1"/>
    <col min="160" max="160" width="5.5703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7.7109375" style="289" bestFit="1" customWidth="1"/>
    <col min="172" max="172" width="5.5703125" style="249" bestFit="1" customWidth="1"/>
    <col min="173" max="173" width="4.85546875" style="249" bestFit="1" customWidth="1"/>
    <col min="174" max="174" width="9.28515625" style="289" bestFit="1" customWidth="1"/>
    <col min="175" max="175" width="5.5703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285156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" style="249" bestFit="1" customWidth="1"/>
    <col min="188" max="188" width="12" style="249" bestFit="1" customWidth="1"/>
    <col min="189" max="189" width="9.28515625" style="289" bestFit="1" customWidth="1"/>
    <col min="190" max="190" width="5.5703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" style="249" bestFit="1" customWidth="1"/>
    <col min="203" max="203" width="12" style="249" bestFit="1" customWidth="1"/>
    <col min="204" max="204" width="9.28515625" style="289" bestFit="1" customWidth="1"/>
    <col min="205" max="205" width="5.57031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customHeight="1" thickTop="1" thickBot="1" x14ac:dyDescent="0.25">
      <c r="A1" s="694" t="s">
        <v>280</v>
      </c>
      <c r="B1" s="695"/>
      <c r="C1" s="696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1/((1/H11)+(1/H12))</f>
        <v>6.1157024614940457E-2</v>
      </c>
      <c r="I2" s="625" t="s">
        <v>304</v>
      </c>
      <c r="J2" s="619" t="s">
        <v>507</v>
      </c>
      <c r="K2" s="623">
        <f>1/((1/K15)+(1/K16))</f>
        <v>45521.525380774881</v>
      </c>
      <c r="L2" s="621" t="s">
        <v>303</v>
      </c>
      <c r="M2" s="617" t="s">
        <v>516</v>
      </c>
      <c r="N2" s="647">
        <f>((N5*N6*N7)/((1-EXP(-N7*N6))*N10*N15*(N9/365)*N13*(((N14/24)*N12)+((N16/24)*N11))))/N17</f>
        <v>35986.366832916072</v>
      </c>
      <c r="O2" s="615" t="s">
        <v>303</v>
      </c>
      <c r="P2" s="639" t="s">
        <v>516</v>
      </c>
      <c r="Q2" s="647">
        <f>((Q5*Q6*Q7)/((1-EXP(-Q7*Q6))*Q10*Q15*(Q9/365)*Q13*(((Q14/24)*Q12)+((Q16/24)*Q11))))/Q17</f>
        <v>26831.645053525212</v>
      </c>
      <c r="R2" s="637" t="s">
        <v>303</v>
      </c>
      <c r="S2" s="641" t="s">
        <v>516</v>
      </c>
      <c r="T2" s="647">
        <f>((T5*T6*T7)/((1-EXP(-T7*T6))*T10*T15*(T9/365)*T13*(((T14/24)*T12)+((T16/24)*T11))))/T17</f>
        <v>6211.9323699676561</v>
      </c>
      <c r="U2" s="643" t="s">
        <v>303</v>
      </c>
      <c r="V2" s="55"/>
      <c r="W2" s="357"/>
      <c r="X2" s="56"/>
      <c r="Y2" s="57"/>
      <c r="Z2" s="357"/>
      <c r="AA2" s="58"/>
      <c r="AB2" s="650"/>
      <c r="AC2" s="660">
        <f>1/((1/AC33)+(1/AC34))</f>
        <v>46033.132797098813</v>
      </c>
      <c r="AD2" s="660">
        <f>1/((1/AD33)+(1/AD34))</f>
        <v>115005.8233494976</v>
      </c>
      <c r="AE2" s="660">
        <f>1/((1/AE33)+(1/AE34))</f>
        <v>46033.132797098813</v>
      </c>
      <c r="AF2" s="660">
        <f>1/((1/AF33)+(1/AF34))</f>
        <v>84996.639837331371</v>
      </c>
      <c r="AG2" s="660">
        <f>1/((1/AG33)+(1/AG34))</f>
        <v>743624.28984085436</v>
      </c>
      <c r="AH2" s="652" t="s">
        <v>303</v>
      </c>
      <c r="AI2" s="381" t="s">
        <v>516</v>
      </c>
      <c r="AJ2" s="387">
        <f>((AJ5*AJ6*AJ7)/((1-EXP(-AJ7*AJ6))*AJ15*(AJ9/365)*AJ10*(AJ16/24)*AJ11*AJ13))/AJ17</f>
        <v>115134.22840881885</v>
      </c>
      <c r="AK2" s="629" t="s">
        <v>303</v>
      </c>
      <c r="AL2" s="383" t="s">
        <v>516</v>
      </c>
      <c r="AM2" s="387">
        <f>((AM5*AM6*AM7)/((1-EXP(-AM7*AM6))*AM15*(AM9/365)*AM10*(AM16/24)*AM11*AM13))/AM17</f>
        <v>546284.78793451353</v>
      </c>
      <c r="AN2" s="629" t="s">
        <v>303</v>
      </c>
      <c r="AO2" s="383" t="s">
        <v>516</v>
      </c>
      <c r="AP2" s="387">
        <f>((AP5*AP6*AP7)/((1-EXP(-AP7*AP6))*AP15*(AP9/365)*AP10*(AP16/24)*AP11*AP13))/AP17</f>
        <v>126473.2054490813</v>
      </c>
      <c r="AQ2" s="635" t="s">
        <v>303</v>
      </c>
      <c r="AR2" s="381" t="s">
        <v>516</v>
      </c>
      <c r="AS2" s="387">
        <f>((AS5*AS6*AS7)/((1-EXP(-AS7*AS6))*AS15*(AS9/365)*AS10*(AS14/24)*AS12*AS13))/AS17</f>
        <v>46053.691363527541</v>
      </c>
      <c r="AT2" s="391" t="s">
        <v>303</v>
      </c>
      <c r="AU2" s="383" t="s">
        <v>516</v>
      </c>
      <c r="AV2" s="387">
        <f>((AV5*AV6*AV7)/((1-EXP(-AV7*AV6))*AV15*(AV9/365)*AV10*(AV14/24)*AV12*AV13))/AV17</f>
        <v>218513.91517380544</v>
      </c>
      <c r="AW2" s="391" t="s">
        <v>303</v>
      </c>
      <c r="AX2" s="383" t="s">
        <v>516</v>
      </c>
      <c r="AY2" s="387">
        <f>((AY5*AY6*AY7)/((1-EXP(-AY7*AY6))*AY15*(AY9/365)*AY10*(AY14/24)*AY12*AY13))/AY17</f>
        <v>50589.282179632522</v>
      </c>
      <c r="AZ2" s="385" t="s">
        <v>303</v>
      </c>
      <c r="BA2" s="381" t="s">
        <v>516</v>
      </c>
      <c r="BB2" s="387">
        <f>((BB5*BB6*BB7)/((1-EXP(-BB7*BB6))*BB15*(BB9/365)*BB10*((BB14+BB16)/24)*BB12*BB13))/BB17</f>
        <v>46053.691363527541</v>
      </c>
      <c r="BC2" s="391" t="s">
        <v>303</v>
      </c>
      <c r="BD2" s="383" t="s">
        <v>516</v>
      </c>
      <c r="BE2" s="387">
        <f>((BE5*BE6*BE7)/((1-EXP(-BE7*BE6))*BE15*(BE9/365)*BE10*((BE14+BE16)/24)*BE12*BE13))/BE17</f>
        <v>218513.91517380544</v>
      </c>
      <c r="BF2" s="391" t="s">
        <v>303</v>
      </c>
      <c r="BG2" s="383" t="s">
        <v>516</v>
      </c>
      <c r="BH2" s="387">
        <f>((BH5*BH6*BH7)/((1-EXP(-BH7*BH6))*BH15*(BH9/365)*BH10*((BH14+BH16)/24)*BH12*BH13))/BH17</f>
        <v>50589.282179632522</v>
      </c>
      <c r="BI2" s="385" t="s">
        <v>303</v>
      </c>
      <c r="BJ2" s="381" t="s">
        <v>558</v>
      </c>
      <c r="BK2" s="389">
        <f>((BK5*BK6*BK7)/((1-EXP(-BK7*BK6))*BK12*BK16*(BK9/365)*BK14*(BK15/24)*BK13))/BK17</f>
        <v>895846.78189245926</v>
      </c>
      <c r="BL2" s="391" t="s">
        <v>303</v>
      </c>
      <c r="BM2" s="383" t="s">
        <v>559</v>
      </c>
      <c r="BN2" s="389">
        <f>((BN5*BN6*BN7)/((1-EXP(-BN7*BN6))*BN12*BN16*(BN9/365)*BN14*(BN15/24)*BN13))/BN17</f>
        <v>9061327.6041387264</v>
      </c>
      <c r="BO2" s="391" t="s">
        <v>303</v>
      </c>
      <c r="BP2" s="383" t="s">
        <v>560</v>
      </c>
      <c r="BQ2" s="389">
        <f>((BQ5*BQ6*BQ7)/((1-EXP(-BQ7*BQ6))*BQ12*BQ16*(BQ9/365)*BQ14*(BQ15/24)*BQ13))/BQ17</f>
        <v>1235741.5575506748</v>
      </c>
      <c r="BR2" s="385" t="s">
        <v>303</v>
      </c>
      <c r="BS2" s="59"/>
      <c r="BT2" s="110"/>
      <c r="BU2" s="250"/>
      <c r="BV2" s="402" t="s">
        <v>563</v>
      </c>
      <c r="BW2" s="400" t="e">
        <f>1/((1/BW10)+(1/BW11))</f>
        <v>#DIV/0!</v>
      </c>
      <c r="BX2" s="404" t="s">
        <v>304</v>
      </c>
      <c r="BY2" s="402" t="s">
        <v>563</v>
      </c>
      <c r="BZ2" s="400" t="e">
        <f>1/((1/BZ13)+(1/BZ14)+(1/BZ15))</f>
        <v>#DIV/0!</v>
      </c>
      <c r="CA2" s="398" t="s">
        <v>303</v>
      </c>
      <c r="CB2" s="410" t="s">
        <v>558</v>
      </c>
      <c r="CC2" s="400">
        <f>((CC5*CC6*CC7)/((1-EXP(-CC7*CC6))*CC10*CC14*(CC9/365)*CC12*(CC13/24)*CC11))/CC15</f>
        <v>3284771.5336056841</v>
      </c>
      <c r="CD2" s="404" t="s">
        <v>303</v>
      </c>
      <c r="CE2" s="402" t="s">
        <v>559</v>
      </c>
      <c r="CF2" s="400">
        <f>((CF5*CF6*CF7)/((1-EXP(-CF7*CF6))*CF10*CF14*(CF9/365)*CF12*(CF13/24)*CF11))/CF15</f>
        <v>33224867.88184201</v>
      </c>
      <c r="CG2" s="404" t="s">
        <v>303</v>
      </c>
      <c r="CH2" s="402" t="s">
        <v>560</v>
      </c>
      <c r="CI2" s="400">
        <f>((CI5*CI6*CI7)/((1-EXP(-CI7*CI6))*CI10*CI14*(CI9/365)*CI12*(CI13/24)*CI11))/CI15</f>
        <v>4531052.3776858076</v>
      </c>
      <c r="CJ2" s="398" t="s">
        <v>303</v>
      </c>
      <c r="CK2" s="410" t="s">
        <v>510</v>
      </c>
      <c r="CL2" s="400" t="e">
        <f>(CL5/(CL6*CL7*CL8*CL9))/CL10</f>
        <v>#DIV/0!</v>
      </c>
      <c r="CM2" s="404" t="s">
        <v>303</v>
      </c>
      <c r="CN2" s="402" t="s">
        <v>7</v>
      </c>
      <c r="CO2" s="400" t="e">
        <f>(CL2/(CO5*((CO10*CO12*CO13*(CO6+CO7))+(CO11*CO12))))*CL13</f>
        <v>#DIV/0!</v>
      </c>
      <c r="CP2" s="412" t="s">
        <v>303</v>
      </c>
      <c r="CQ2" s="402" t="s">
        <v>6</v>
      </c>
      <c r="CR2" s="400" t="e">
        <f>CL2/(CR5*CR6*(1/CR7))</f>
        <v>#DIV/0!</v>
      </c>
      <c r="CS2" s="415" t="s">
        <v>304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 t="e">
        <f>((DD5)/(DD6*(DD7+DD10)*DD20))/DD23</f>
        <v>#DIV/0!</v>
      </c>
      <c r="DE2" s="672" t="s">
        <v>303</v>
      </c>
      <c r="DF2" s="670" t="s">
        <v>510</v>
      </c>
      <c r="DG2" s="668" t="e">
        <f>(DD2/((1/DG24)*(DG5+DG6+DG7)))</f>
        <v>#DIV/0!</v>
      </c>
      <c r="DH2" s="666" t="s">
        <v>304</v>
      </c>
      <c r="DI2" s="680" t="s">
        <v>510</v>
      </c>
      <c r="DJ2" s="668" t="e">
        <f>(DD2/(DJ5+DJ6))*CU11</f>
        <v>#DIV/0!</v>
      </c>
      <c r="DK2" s="666" t="s">
        <v>304</v>
      </c>
      <c r="DL2" s="680" t="s">
        <v>554</v>
      </c>
      <c r="DM2" s="668" t="e">
        <f>(DD2/(DM5+DM6))*((DM9*DD21)/(1-EXP(-DD21*DM9)))</f>
        <v>#DIV/0!</v>
      </c>
      <c r="DN2" s="666" t="s">
        <v>304</v>
      </c>
      <c r="DO2" s="680" t="s">
        <v>553</v>
      </c>
      <c r="DP2" s="668">
        <f>-(DP5+DP6+DP7)/(DP23+DP24)</f>
        <v>-3.186299176558379</v>
      </c>
      <c r="DQ2" s="678" t="s">
        <v>19</v>
      </c>
      <c r="DR2" s="556" t="s">
        <v>510</v>
      </c>
      <c r="DS2" s="460" t="e">
        <f>(DS5/(DS6*DS7*DS16))/DS20</f>
        <v>#DIV/0!</v>
      </c>
      <c r="DT2" s="466" t="s">
        <v>303</v>
      </c>
      <c r="DU2" s="464" t="s">
        <v>510</v>
      </c>
      <c r="DV2" s="462" t="e">
        <f>DS2/(DV5*(1/DV8)*DV6*(1/DV7))</f>
        <v>#DIV/0!</v>
      </c>
      <c r="DW2" s="480" t="s">
        <v>304</v>
      </c>
      <c r="DX2" s="478" t="s">
        <v>510</v>
      </c>
      <c r="DY2" s="462" t="e">
        <f>(DS2/(DY9*(1/DY14)*((DY10*DY12*DY13*(DY5+DY6))+(DY11*DY12))))*CU11</f>
        <v>#DIV/0!</v>
      </c>
      <c r="DZ2" s="480" t="s">
        <v>304</v>
      </c>
      <c r="EA2" s="478" t="s">
        <v>554</v>
      </c>
      <c r="EB2" s="462" t="e">
        <f>(DS2/(EB9*(1/EB14)*((EB10*EB12*EB13*(EB5+EB6))+(EB11*EB12))))*((EB15*DS18)/(1-EXP(-DS18*EB15)))</f>
        <v>#DIV/0!</v>
      </c>
      <c r="EC2" s="480" t="s">
        <v>304</v>
      </c>
      <c r="ED2" s="478" t="s">
        <v>553</v>
      </c>
      <c r="EE2" s="462">
        <f>-EE15/((EE10*EE12*EE13*(EE5+EE6))+(EE11*EE12))</f>
        <v>-16.803652968036527</v>
      </c>
      <c r="EF2" s="476" t="s">
        <v>19</v>
      </c>
      <c r="EG2" s="474" t="s">
        <v>510</v>
      </c>
      <c r="EH2" s="472" t="e">
        <f>(EH5/(EH6*EH7*EH16))/EH20</f>
        <v>#DIV/0!</v>
      </c>
      <c r="EI2" s="470" t="s">
        <v>303</v>
      </c>
      <c r="EJ2" s="468" t="s">
        <v>510</v>
      </c>
      <c r="EK2" s="502" t="e">
        <f>EH2/(EK5*EK6*(1/EK7))</f>
        <v>#DIV/0!</v>
      </c>
      <c r="EL2" s="500" t="s">
        <v>304</v>
      </c>
      <c r="EM2" s="504" t="s">
        <v>510</v>
      </c>
      <c r="EN2" s="502" t="e">
        <f>(EH2/(EN9*((EN10*EN12*EN13*(EN5+EN6))+(EN11*EN12))))*CU11</f>
        <v>#DIV/0!</v>
      </c>
      <c r="EO2" s="500" t="s">
        <v>303</v>
      </c>
      <c r="EP2" s="504" t="s">
        <v>554</v>
      </c>
      <c r="EQ2" s="502" t="e">
        <f>(EH2/(EQ9*((EQ10*EQ12*EQ13*(EQ5+EQ6))+(EQ11*EQ12))))*((EQ14*EH18)/(1-EXP(-EH18*EQ14)))</f>
        <v>#DIV/0!</v>
      </c>
      <c r="ER2" s="500" t="s">
        <v>304</v>
      </c>
      <c r="ES2" s="504" t="s">
        <v>553</v>
      </c>
      <c r="ET2" s="502">
        <f>-ET15/((ET10*ET12*ET13*(ET5+ET6))+(ET11*ET12))</f>
        <v>-15.395787944807553</v>
      </c>
      <c r="EU2" s="514" t="s">
        <v>19</v>
      </c>
      <c r="EV2" s="512" t="s">
        <v>510</v>
      </c>
      <c r="EW2" s="510" t="e">
        <f>(EW5/(EW6*EW7*EW16))/EW20</f>
        <v>#DIV/0!</v>
      </c>
      <c r="EX2" s="508" t="s">
        <v>303</v>
      </c>
      <c r="EY2" s="506" t="s">
        <v>510</v>
      </c>
      <c r="EZ2" s="494" t="e">
        <f>EW2/(EZ5*EZ6*(1/EZ7))</f>
        <v>#DIV/0!</v>
      </c>
      <c r="FA2" s="498" t="s">
        <v>304</v>
      </c>
      <c r="FB2" s="496" t="s">
        <v>510</v>
      </c>
      <c r="FC2" s="494" t="e">
        <f>(EW2/(FC9*((FC10*FC12*FC13*(FC5+FC6))+(FC11*FC12))))*CU11</f>
        <v>#DIV/0!</v>
      </c>
      <c r="FD2" s="498" t="s">
        <v>303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304</v>
      </c>
      <c r="FH2" s="496" t="s">
        <v>553</v>
      </c>
      <c r="FI2" s="494">
        <f>-FI15/((FI10*FI12*FI13*(FI5+FI6))+(FI11*FI12))</f>
        <v>-5.5555555555555554</v>
      </c>
      <c r="FJ2" s="492" t="s">
        <v>19</v>
      </c>
      <c r="FK2" s="490" t="s">
        <v>510</v>
      </c>
      <c r="FL2" s="488" t="e">
        <f>(FL5/(FL6*FL7*FL16))/FL20</f>
        <v>#DIV/0!</v>
      </c>
      <c r="FM2" s="486" t="s">
        <v>303</v>
      </c>
      <c r="FN2" s="484" t="s">
        <v>510</v>
      </c>
      <c r="FO2" s="430" t="e">
        <f>FL2/(FO5*(1/FO6))</f>
        <v>#DIV/0!</v>
      </c>
      <c r="FP2" s="428" t="s">
        <v>304</v>
      </c>
      <c r="FQ2" s="482" t="s">
        <v>510</v>
      </c>
      <c r="FR2" s="430" t="e">
        <f>((FL2*FR6)/FR5)*CU11</f>
        <v>#DIV/0!</v>
      </c>
      <c r="FS2" s="428" t="s">
        <v>303</v>
      </c>
      <c r="FT2" s="426" t="s">
        <v>554</v>
      </c>
      <c r="FU2" s="430" t="e">
        <f>((FL2*FU6)/FU5)*((FU7*FL18)/(1-EXP(-FL18*FU7)))</f>
        <v>#DIV/0!</v>
      </c>
      <c r="FV2" s="428" t="s">
        <v>304</v>
      </c>
      <c r="FW2" s="426" t="s">
        <v>553</v>
      </c>
      <c r="FX2" s="430">
        <f>-FX5/FX6</f>
        <v>0</v>
      </c>
      <c r="FY2" s="438" t="s">
        <v>19</v>
      </c>
      <c r="FZ2" s="436" t="s">
        <v>510</v>
      </c>
      <c r="GA2" s="434" t="e">
        <f>(GA5/(GA6*GA7*GA16))/GA20</f>
        <v>#DIV/0!</v>
      </c>
      <c r="GB2" s="432" t="s">
        <v>303</v>
      </c>
      <c r="GC2" s="458" t="s">
        <v>510</v>
      </c>
      <c r="GD2" s="417" t="e">
        <f>(GA2/(GD5*GD6*(1/GD7)))</f>
        <v>#DIV/0!</v>
      </c>
      <c r="GE2" s="421" t="s">
        <v>304</v>
      </c>
      <c r="GF2" s="419" t="s">
        <v>510</v>
      </c>
      <c r="GG2" s="417" t="e">
        <f>(GA2/((GG9)*((GG10*GG12*GG13*(GG5+GG6))+(GG11*GG12))))*CU11</f>
        <v>#DIV/0!</v>
      </c>
      <c r="GH2" s="421" t="s">
        <v>303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304</v>
      </c>
      <c r="GL2" s="419" t="s">
        <v>553</v>
      </c>
      <c r="GM2" s="417">
        <f>-GM15/((GM10*GM12*GM13*(GM5+GM6))+(GM11*GM12))</f>
        <v>-5.5555555555555554</v>
      </c>
      <c r="GN2" s="456" t="s">
        <v>19</v>
      </c>
      <c r="GO2" s="454" t="s">
        <v>510</v>
      </c>
      <c r="GP2" s="452" t="e">
        <f>(GP5/(GP6*GP7*GP15))/GP19</f>
        <v>#DIV/0!</v>
      </c>
      <c r="GQ2" s="450" t="s">
        <v>303</v>
      </c>
      <c r="GR2" s="448" t="s">
        <v>510</v>
      </c>
      <c r="GS2" s="442" t="e">
        <f>GP2/(GS5*GS6*(1/GS7))</f>
        <v>#DIV/0!</v>
      </c>
      <c r="GT2" s="446" t="s">
        <v>304</v>
      </c>
      <c r="GU2" s="444" t="s">
        <v>510</v>
      </c>
      <c r="GV2" s="442" t="e">
        <f>(GP2/((GV9)*((GV10*GV12*GV13*(GV5+GV6))+(GV11*GV12))))*CU11</f>
        <v>#DIV/0!</v>
      </c>
      <c r="GW2" s="446" t="s">
        <v>303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304</v>
      </c>
      <c r="HA2" s="444" t="s">
        <v>553</v>
      </c>
      <c r="HB2" s="442">
        <f>-HB15/((HB10*HB12*HB13*(HB5+HB6))+(HB11*HB12))</f>
        <v>-7.3786407766990294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362">
        <v>6.8000000000000005E-2</v>
      </c>
      <c r="C3" s="240"/>
      <c r="D3" s="317" t="s">
        <v>15</v>
      </c>
      <c r="E3" s="285">
        <f>1/((1/E20)+(1/E21))</f>
        <v>1.9111521963156575E-2</v>
      </c>
      <c r="F3" s="253" t="s">
        <v>302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121.37563360480863</v>
      </c>
      <c r="X3" s="254" t="s">
        <v>302</v>
      </c>
      <c r="Y3" s="321" t="s">
        <v>16</v>
      </c>
      <c r="Z3" s="358">
        <f>1/((1/Z18)+(1/Z19))</f>
        <v>121.37563360480863</v>
      </c>
      <c r="AA3" s="255" t="s">
        <v>302</v>
      </c>
      <c r="AB3" s="650"/>
      <c r="AC3" s="661"/>
      <c r="AD3" s="661"/>
      <c r="AE3" s="661"/>
      <c r="AF3" s="661"/>
      <c r="AG3" s="661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0.25874060503965812</v>
      </c>
      <c r="BU3" s="250" t="s">
        <v>302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1/((1/CU15)+(1/CU16))</f>
        <v>62981.325010262975</v>
      </c>
      <c r="CV3" s="71" t="s">
        <v>303</v>
      </c>
      <c r="CW3" s="326" t="s">
        <v>15</v>
      </c>
      <c r="CX3" s="117">
        <f>1/((1/CX20)+(1/CX21))</f>
        <v>2.0385510120005588E-2</v>
      </c>
      <c r="CY3" s="256" t="s">
        <v>302</v>
      </c>
      <c r="CZ3" s="338" t="s">
        <v>285</v>
      </c>
      <c r="DA3" s="336">
        <f>1/((1/DA14)+(1/DA15))</f>
        <v>4.0771349743293654E-2</v>
      </c>
      <c r="DB3" s="72" t="s">
        <v>303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0</v>
      </c>
      <c r="HF3" s="252" t="s">
        <v>303</v>
      </c>
    </row>
    <row r="4" spans="1:214" ht="13.5" customHeight="1" thickBot="1" x14ac:dyDescent="0.25">
      <c r="A4" s="279" t="s">
        <v>457</v>
      </c>
      <c r="B4" s="363">
        <v>0.75600000000000001</v>
      </c>
      <c r="C4" s="241"/>
      <c r="D4" s="318" t="s">
        <v>16</v>
      </c>
      <c r="E4" s="286">
        <f>1/((1/E22)+(1/E23))</f>
        <v>25.286590334335131</v>
      </c>
      <c r="F4" s="257" t="s">
        <v>302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0.36694122169260612</v>
      </c>
      <c r="X4" s="258" t="s">
        <v>302</v>
      </c>
      <c r="Y4" s="322" t="s">
        <v>15</v>
      </c>
      <c r="Z4" s="359">
        <f>1/((1/Z16)+(1/Z17))</f>
        <v>0.36694122169260612</v>
      </c>
      <c r="AA4" s="259" t="s">
        <v>302</v>
      </c>
      <c r="AB4" s="651"/>
      <c r="AC4" s="662"/>
      <c r="AD4" s="662"/>
      <c r="AE4" s="662"/>
      <c r="AF4" s="662"/>
      <c r="AG4" s="662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445.0439898842983</v>
      </c>
      <c r="BU4" s="260" t="s">
        <v>302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1/((1/CU15)+(1/CU16))</f>
        <v>62981.325010262975</v>
      </c>
      <c r="CV4" s="73" t="s">
        <v>303</v>
      </c>
      <c r="CW4" s="327" t="s">
        <v>16</v>
      </c>
      <c r="CX4" s="106">
        <f>1/((1/CX22)+(1/CX23))</f>
        <v>40.458319658275229</v>
      </c>
      <c r="CY4" s="261" t="s">
        <v>302</v>
      </c>
      <c r="CZ4" s="339" t="s">
        <v>11</v>
      </c>
      <c r="DA4" s="337">
        <f>1/((1/DA14)+(1/DA15))</f>
        <v>4.0771349743293654E-2</v>
      </c>
      <c r="DB4" s="74" t="s">
        <v>303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2.4275187980624249E-2</v>
      </c>
      <c r="HF4" s="75" t="s">
        <v>303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</v>
      </c>
      <c r="DH5" s="249" t="s">
        <v>19</v>
      </c>
      <c r="DI5" s="262" t="s">
        <v>20</v>
      </c>
      <c r="DJ5" s="305">
        <f>DJ7</f>
        <v>0</v>
      </c>
      <c r="DK5" s="262"/>
      <c r="DL5" s="262" t="s">
        <v>20</v>
      </c>
      <c r="DM5" s="305">
        <f>DM7</f>
        <v>0</v>
      </c>
      <c r="DO5" s="249" t="s">
        <v>18</v>
      </c>
      <c r="DP5" s="118">
        <f>(DP8*DP9*DP10*((1-EXP(-DP11*DP12))))/(DP13*DP11)</f>
        <v>0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0</v>
      </c>
      <c r="DW5" s="262"/>
      <c r="DX5" s="262" t="s">
        <v>21</v>
      </c>
      <c r="DY5" s="305">
        <f>DY7</f>
        <v>0</v>
      </c>
      <c r="DZ5" s="262"/>
      <c r="EA5" s="262" t="s">
        <v>21</v>
      </c>
      <c r="EB5" s="305">
        <f>EB7</f>
        <v>0</v>
      </c>
      <c r="EC5" s="263"/>
      <c r="ED5" s="262" t="s">
        <v>21</v>
      </c>
      <c r="EE5" s="305">
        <f>EE7</f>
        <v>0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0</v>
      </c>
      <c r="EL5" s="262"/>
      <c r="EM5" s="262" t="s">
        <v>21</v>
      </c>
      <c r="EN5" s="305">
        <f>EN7</f>
        <v>0</v>
      </c>
      <c r="EO5" s="262"/>
      <c r="EP5" s="262" t="s">
        <v>21</v>
      </c>
      <c r="EQ5" s="305">
        <f>EQ7</f>
        <v>0</v>
      </c>
      <c r="ER5" s="263"/>
      <c r="ES5" s="262" t="s">
        <v>21</v>
      </c>
      <c r="ET5" s="305">
        <f>ET7</f>
        <v>0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0</v>
      </c>
      <c r="FD5" s="262"/>
      <c r="FE5" s="262" t="s">
        <v>21</v>
      </c>
      <c r="FF5" s="305">
        <f>FF7</f>
        <v>0</v>
      </c>
      <c r="FG5" s="263"/>
      <c r="FH5" s="263" t="s">
        <v>21</v>
      </c>
      <c r="FI5" s="290">
        <f>FI7</f>
        <v>0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0</v>
      </c>
      <c r="FP5" s="263"/>
      <c r="FQ5" s="263" t="s">
        <v>122</v>
      </c>
      <c r="FR5" s="298">
        <f>B36</f>
        <v>0</v>
      </c>
      <c r="FS5" s="263"/>
      <c r="FT5" s="263" t="s">
        <v>122</v>
      </c>
      <c r="FU5" s="298">
        <f>B36</f>
        <v>0</v>
      </c>
      <c r="FV5" s="263"/>
      <c r="FW5" s="262" t="s">
        <v>181</v>
      </c>
      <c r="FX5" s="305">
        <f>B46</f>
        <v>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0</v>
      </c>
      <c r="GH5" s="262"/>
      <c r="GI5" s="262" t="s">
        <v>21</v>
      </c>
      <c r="GJ5" s="305">
        <f>GJ7</f>
        <v>0</v>
      </c>
      <c r="GK5" s="262"/>
      <c r="GL5" s="262" t="s">
        <v>21</v>
      </c>
      <c r="GM5" s="305">
        <f>GM7</f>
        <v>0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0</v>
      </c>
      <c r="GW5" s="262"/>
      <c r="GX5" s="262" t="s">
        <v>21</v>
      </c>
      <c r="GY5" s="305">
        <f>GY7</f>
        <v>0</v>
      </c>
      <c r="GZ5" s="262"/>
      <c r="HA5" s="262" t="s">
        <v>21</v>
      </c>
      <c r="HB5" s="305">
        <f>HB7</f>
        <v>0</v>
      </c>
      <c r="HC5" s="263"/>
      <c r="HD5" s="265" t="s">
        <v>22</v>
      </c>
      <c r="HE5" s="305">
        <f>B47</f>
        <v>0</v>
      </c>
      <c r="HF5" s="262" t="s">
        <v>304</v>
      </c>
    </row>
    <row r="6" spans="1:214" ht="13.5" thickTop="1" x14ac:dyDescent="0.2">
      <c r="A6" s="278" t="s">
        <v>454</v>
      </c>
      <c r="B6" s="362">
        <v>3.7100000000000001E-2</v>
      </c>
      <c r="C6" s="240"/>
      <c r="D6" s="262" t="s">
        <v>23</v>
      </c>
      <c r="E6" s="288">
        <f>0.693/E7</f>
        <v>66.155354824913829</v>
      </c>
      <c r="G6" s="262" t="s">
        <v>439</v>
      </c>
      <c r="H6" s="287">
        <f>B20</f>
        <v>0</v>
      </c>
      <c r="I6" s="262" t="s">
        <v>35</v>
      </c>
      <c r="J6" s="262" t="s">
        <v>316</v>
      </c>
      <c r="K6" s="287">
        <f>B21</f>
        <v>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66.155354824913829</v>
      </c>
      <c r="Y6" s="262" t="s">
        <v>23</v>
      </c>
      <c r="Z6" s="288">
        <f>0.693/Z7</f>
        <v>66.155354824913829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BK12</f>
        <v>5</v>
      </c>
      <c r="BR6" s="249" t="s">
        <v>69</v>
      </c>
      <c r="BS6" s="262" t="s">
        <v>23</v>
      </c>
      <c r="BT6" s="288">
        <f>0.693/BT7</f>
        <v>66.155354824913829</v>
      </c>
      <c r="BV6" s="262" t="s">
        <v>163</v>
      </c>
      <c r="BW6" s="287">
        <f>B20</f>
        <v>0</v>
      </c>
      <c r="BX6" s="262" t="s">
        <v>35</v>
      </c>
      <c r="BY6" s="262" t="s">
        <v>45</v>
      </c>
      <c r="BZ6" s="287">
        <f>B21</f>
        <v>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0</v>
      </c>
      <c r="CM6" s="266" t="s">
        <v>13</v>
      </c>
      <c r="CN6" s="263" t="s">
        <v>21</v>
      </c>
      <c r="CO6" s="290">
        <f>CO8</f>
        <v>0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0</v>
      </c>
      <c r="CV6" s="262" t="s">
        <v>35</v>
      </c>
      <c r="CW6" s="262" t="s">
        <v>23</v>
      </c>
      <c r="CX6" s="288">
        <f>0.693/CX7</f>
        <v>66.155354824913829</v>
      </c>
      <c r="CZ6" s="262" t="s">
        <v>163</v>
      </c>
      <c r="DA6" s="287">
        <f>B20</f>
        <v>0</v>
      </c>
      <c r="DB6" s="262" t="s">
        <v>35</v>
      </c>
      <c r="DC6" s="262" t="s">
        <v>438</v>
      </c>
      <c r="DD6" s="287">
        <f>B30</f>
        <v>0</v>
      </c>
      <c r="DE6" s="267" t="s">
        <v>35</v>
      </c>
      <c r="DF6" s="249" t="s">
        <v>27</v>
      </c>
      <c r="DG6" s="118">
        <f>(DG8*DG9*DG14*((1-EXP(-DG11*DG12))))/(DG13*DG11)</f>
        <v>5.4035127681958941E-3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5.4035127681958941E-3</v>
      </c>
      <c r="DQ6" s="249" t="s">
        <v>19</v>
      </c>
      <c r="DR6" s="262" t="s">
        <v>438</v>
      </c>
      <c r="DS6" s="287">
        <f>B30</f>
        <v>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0</v>
      </c>
      <c r="FS6" s="249" t="s">
        <v>19</v>
      </c>
      <c r="FT6" s="262" t="s">
        <v>181</v>
      </c>
      <c r="FU6" s="305">
        <f>B46</f>
        <v>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6.1157024614940457E-2</v>
      </c>
      <c r="HF6" s="262" t="s">
        <v>304</v>
      </c>
    </row>
    <row r="7" spans="1:214" x14ac:dyDescent="0.2">
      <c r="A7" s="279" t="s">
        <v>455</v>
      </c>
      <c r="B7" s="363">
        <v>0.65</v>
      </c>
      <c r="C7" s="241"/>
      <c r="D7" s="266" t="s">
        <v>270</v>
      </c>
      <c r="E7" s="287">
        <f>B31</f>
        <v>1.04753425E-2</v>
      </c>
      <c r="F7" s="249" t="s">
        <v>69</v>
      </c>
      <c r="G7" s="262" t="s">
        <v>43</v>
      </c>
      <c r="H7" s="290">
        <f>B19</f>
        <v>3.1999999999999999E-11</v>
      </c>
      <c r="I7" s="263" t="s">
        <v>35</v>
      </c>
      <c r="J7" s="262" t="s">
        <v>43</v>
      </c>
      <c r="K7" s="290">
        <f>B19</f>
        <v>3.1999999999999999E-11</v>
      </c>
      <c r="L7" s="263" t="s">
        <v>35</v>
      </c>
      <c r="M7" s="262" t="s">
        <v>23</v>
      </c>
      <c r="N7" s="288">
        <f>0.693/N8</f>
        <v>66.155354824913829</v>
      </c>
      <c r="P7" s="262" t="s">
        <v>23</v>
      </c>
      <c r="Q7" s="288">
        <f>0.693/Q8</f>
        <v>66.155354824913829</v>
      </c>
      <c r="S7" s="262" t="s">
        <v>23</v>
      </c>
      <c r="T7" s="288">
        <f>0.693/T8</f>
        <v>66.155354824913829</v>
      </c>
      <c r="V7" s="266" t="s">
        <v>270</v>
      </c>
      <c r="W7" s="287">
        <f>B31</f>
        <v>1.04753425E-2</v>
      </c>
      <c r="X7" s="249" t="s">
        <v>69</v>
      </c>
      <c r="Y7" s="266" t="s">
        <v>270</v>
      </c>
      <c r="Z7" s="287">
        <f>B31</f>
        <v>1.04753425E-2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66.155354824913829</v>
      </c>
      <c r="AL7" s="262" t="s">
        <v>23</v>
      </c>
      <c r="AM7" s="288">
        <f>0.693/AM8</f>
        <v>66.155354824913829</v>
      </c>
      <c r="AO7" s="262" t="s">
        <v>23</v>
      </c>
      <c r="AP7" s="288">
        <f>0.693/AP8</f>
        <v>66.155354824913829</v>
      </c>
      <c r="AR7" s="262" t="s">
        <v>23</v>
      </c>
      <c r="AS7" s="288">
        <f>0.693/AS8</f>
        <v>66.155354824913829</v>
      </c>
      <c r="AU7" s="262" t="s">
        <v>23</v>
      </c>
      <c r="AV7" s="288">
        <f>0.693/AV8</f>
        <v>66.155354824913829</v>
      </c>
      <c r="AX7" s="262" t="s">
        <v>23</v>
      </c>
      <c r="AY7" s="288">
        <f>0.693/AY8</f>
        <v>66.155354824913829</v>
      </c>
      <c r="BA7" s="262" t="s">
        <v>23</v>
      </c>
      <c r="BB7" s="288">
        <f>0.693/BB8</f>
        <v>66.155354824913829</v>
      </c>
      <c r="BD7" s="262" t="s">
        <v>23</v>
      </c>
      <c r="BE7" s="288">
        <f>0.693/BE8</f>
        <v>66.155354824913829</v>
      </c>
      <c r="BG7" s="262" t="s">
        <v>23</v>
      </c>
      <c r="BH7" s="288">
        <f>0.693/BH8</f>
        <v>66.155354824913829</v>
      </c>
      <c r="BJ7" s="262" t="s">
        <v>23</v>
      </c>
      <c r="BK7" s="288">
        <f>0.693/BK8</f>
        <v>66.155354824913829</v>
      </c>
      <c r="BM7" s="262" t="s">
        <v>23</v>
      </c>
      <c r="BN7" s="288">
        <f>0.693/BN8</f>
        <v>66.155354824913829</v>
      </c>
      <c r="BP7" s="262" t="s">
        <v>23</v>
      </c>
      <c r="BQ7" s="288">
        <f>0.693/BQ8</f>
        <v>66.155354824913829</v>
      </c>
      <c r="BS7" s="266" t="s">
        <v>270</v>
      </c>
      <c r="BT7" s="287">
        <f>B31</f>
        <v>1.04753425E-2</v>
      </c>
      <c r="BU7" s="249" t="s">
        <v>69</v>
      </c>
      <c r="BV7" s="262" t="s">
        <v>43</v>
      </c>
      <c r="BW7" s="290">
        <f>E10</f>
        <v>3.1999999999999999E-11</v>
      </c>
      <c r="BX7" s="263" t="s">
        <v>35</v>
      </c>
      <c r="BY7" s="262" t="s">
        <v>43</v>
      </c>
      <c r="BZ7" s="290">
        <f>B19</f>
        <v>3.1999999999999999E-11</v>
      </c>
      <c r="CA7" s="263" t="s">
        <v>35</v>
      </c>
      <c r="CB7" s="262" t="s">
        <v>23</v>
      </c>
      <c r="CC7" s="288">
        <f>0.693/CC8</f>
        <v>66.155354824913829</v>
      </c>
      <c r="CE7" s="262" t="s">
        <v>23</v>
      </c>
      <c r="CF7" s="288">
        <f>0.693/CF8</f>
        <v>66.155354824913829</v>
      </c>
      <c r="CH7" s="262" t="s">
        <v>23</v>
      </c>
      <c r="CI7" s="288">
        <f>0.693/CI8</f>
        <v>66.155354824913829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3.1999999999999999E-11</v>
      </c>
      <c r="CV7" s="263" t="s">
        <v>35</v>
      </c>
      <c r="CW7" s="266" t="s">
        <v>270</v>
      </c>
      <c r="CX7" s="287">
        <f>B31</f>
        <v>1.04753425E-2</v>
      </c>
      <c r="CY7" s="249" t="s">
        <v>69</v>
      </c>
      <c r="CZ7" s="263" t="s">
        <v>43</v>
      </c>
      <c r="DA7" s="290">
        <f>B19</f>
        <v>3.1999999999999999E-11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0.82303427313698274</v>
      </c>
      <c r="DH7" s="249" t="s">
        <v>19</v>
      </c>
      <c r="DI7" s="262" t="s">
        <v>37</v>
      </c>
      <c r="DJ7" s="287">
        <f>B44</f>
        <v>0</v>
      </c>
      <c r="DL7" s="262" t="s">
        <v>37</v>
      </c>
      <c r="DM7" s="287">
        <f>B44</f>
        <v>0</v>
      </c>
      <c r="DO7" s="249" t="s">
        <v>36</v>
      </c>
      <c r="DP7" s="118">
        <f>(DP8*DP9*DP15*DP21*((1-EXP(-DP16*DP17))))/(DP18*DP16)</f>
        <v>0.82303427313698274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0</v>
      </c>
      <c r="EA7" s="262" t="s">
        <v>38</v>
      </c>
      <c r="EB7" s="287">
        <f>B45</f>
        <v>0</v>
      </c>
      <c r="EC7" s="263"/>
      <c r="ED7" s="262" t="s">
        <v>38</v>
      </c>
      <c r="EE7" s="287">
        <f>B45</f>
        <v>0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0</v>
      </c>
      <c r="EP7" s="262" t="s">
        <v>38</v>
      </c>
      <c r="EQ7" s="287">
        <f>B45</f>
        <v>0</v>
      </c>
      <c r="ER7" s="263"/>
      <c r="ES7" s="262" t="s">
        <v>38</v>
      </c>
      <c r="ET7" s="287">
        <f>B45</f>
        <v>0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0</v>
      </c>
      <c r="FD7" s="262"/>
      <c r="FE7" s="262" t="s">
        <v>38</v>
      </c>
      <c r="FF7" s="305">
        <f>B45</f>
        <v>0</v>
      </c>
      <c r="FG7" s="263"/>
      <c r="FH7" s="263" t="s">
        <v>38</v>
      </c>
      <c r="FI7" s="290">
        <f>B45</f>
        <v>0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0</v>
      </c>
      <c r="GH7" s="262"/>
      <c r="GI7" s="262" t="s">
        <v>38</v>
      </c>
      <c r="GJ7" s="305">
        <f>B45</f>
        <v>0</v>
      </c>
      <c r="GK7" s="262"/>
      <c r="GL7" s="262" t="s">
        <v>38</v>
      </c>
      <c r="GM7" s="305">
        <f>B45</f>
        <v>0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0</v>
      </c>
      <c r="GW7" s="262"/>
      <c r="GX7" s="262" t="s">
        <v>38</v>
      </c>
      <c r="GY7" s="305">
        <f>B45</f>
        <v>0</v>
      </c>
      <c r="GZ7" s="262"/>
      <c r="HA7" s="262" t="s">
        <v>38</v>
      </c>
      <c r="HB7" s="305">
        <f>B45</f>
        <v>0</v>
      </c>
      <c r="HC7" s="263"/>
      <c r="HD7" s="262" t="s">
        <v>23</v>
      </c>
      <c r="HE7" s="288">
        <f>0.693/HE8</f>
        <v>66.155354824913829</v>
      </c>
    </row>
    <row r="8" spans="1:214" x14ac:dyDescent="0.2">
      <c r="A8" s="279" t="s">
        <v>458</v>
      </c>
      <c r="B8" s="363">
        <v>4.2700000000000002E-2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3.5145699120000001E-15</v>
      </c>
      <c r="I8" s="263" t="s">
        <v>35</v>
      </c>
      <c r="J8" s="262" t="s">
        <v>71</v>
      </c>
      <c r="K8" s="287">
        <f>B23</f>
        <v>1.6930652399999999E-9</v>
      </c>
      <c r="L8" s="262" t="s">
        <v>445</v>
      </c>
      <c r="M8" s="266" t="s">
        <v>270</v>
      </c>
      <c r="N8" s="287">
        <f>B31</f>
        <v>1.04753425E-2</v>
      </c>
      <c r="O8" s="249" t="s">
        <v>69</v>
      </c>
      <c r="P8" s="266" t="s">
        <v>270</v>
      </c>
      <c r="Q8" s="287">
        <f>B31</f>
        <v>1.04753425E-2</v>
      </c>
      <c r="R8" s="249" t="s">
        <v>69</v>
      </c>
      <c r="S8" s="266" t="s">
        <v>270</v>
      </c>
      <c r="T8" s="287">
        <f>B31</f>
        <v>1.04753425E-2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1.04753425E-2</v>
      </c>
      <c r="AK8" s="249" t="s">
        <v>69</v>
      </c>
      <c r="AL8" s="266" t="s">
        <v>270</v>
      </c>
      <c r="AM8" s="287">
        <f>B31</f>
        <v>1.04753425E-2</v>
      </c>
      <c r="AN8" s="249" t="s">
        <v>69</v>
      </c>
      <c r="AO8" s="266" t="s">
        <v>270</v>
      </c>
      <c r="AP8" s="287">
        <f>B31</f>
        <v>1.04753425E-2</v>
      </c>
      <c r="AQ8" s="249" t="s">
        <v>69</v>
      </c>
      <c r="AR8" s="266" t="s">
        <v>270</v>
      </c>
      <c r="AS8" s="287">
        <f>B31</f>
        <v>1.04753425E-2</v>
      </c>
      <c r="AT8" s="249" t="s">
        <v>69</v>
      </c>
      <c r="AU8" s="266" t="s">
        <v>270</v>
      </c>
      <c r="AV8" s="287">
        <f>B31</f>
        <v>1.04753425E-2</v>
      </c>
      <c r="AW8" s="249" t="s">
        <v>69</v>
      </c>
      <c r="AX8" s="266" t="s">
        <v>270</v>
      </c>
      <c r="AY8" s="287">
        <f>B31</f>
        <v>1.04753425E-2</v>
      </c>
      <c r="AZ8" s="249" t="s">
        <v>69</v>
      </c>
      <c r="BA8" s="266" t="s">
        <v>270</v>
      </c>
      <c r="BB8" s="287">
        <f>B31</f>
        <v>1.04753425E-2</v>
      </c>
      <c r="BC8" s="249" t="s">
        <v>69</v>
      </c>
      <c r="BD8" s="266" t="s">
        <v>270</v>
      </c>
      <c r="BE8" s="287">
        <f>B31</f>
        <v>1.04753425E-2</v>
      </c>
      <c r="BF8" s="249" t="s">
        <v>69</v>
      </c>
      <c r="BG8" s="266" t="s">
        <v>270</v>
      </c>
      <c r="BH8" s="287">
        <f>B31</f>
        <v>1.04753425E-2</v>
      </c>
      <c r="BI8" s="249" t="s">
        <v>69</v>
      </c>
      <c r="BJ8" s="266" t="s">
        <v>270</v>
      </c>
      <c r="BK8" s="287">
        <f>B31</f>
        <v>1.04753425E-2</v>
      </c>
      <c r="BL8" s="249" t="s">
        <v>69</v>
      </c>
      <c r="BM8" s="266" t="s">
        <v>270</v>
      </c>
      <c r="BN8" s="287">
        <f>B31</f>
        <v>1.04753425E-2</v>
      </c>
      <c r="BO8" s="249" t="s">
        <v>69</v>
      </c>
      <c r="BP8" s="266" t="s">
        <v>270</v>
      </c>
      <c r="BQ8" s="287">
        <f>B31</f>
        <v>1.04753425E-2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3.5145699120000001E-15</v>
      </c>
      <c r="BX8" s="263" t="s">
        <v>35</v>
      </c>
      <c r="BY8" s="262" t="s">
        <v>71</v>
      </c>
      <c r="BZ8" s="287">
        <f>B23</f>
        <v>1.6930652399999999E-9</v>
      </c>
      <c r="CA8" s="262" t="s">
        <v>95</v>
      </c>
      <c r="CB8" s="266" t="s">
        <v>270</v>
      </c>
      <c r="CC8" s="287">
        <f>B31</f>
        <v>1.04753425E-2</v>
      </c>
      <c r="CD8" s="249" t="s">
        <v>69</v>
      </c>
      <c r="CE8" s="266" t="s">
        <v>270</v>
      </c>
      <c r="CF8" s="287">
        <f>B31</f>
        <v>1.04753425E-2</v>
      </c>
      <c r="CG8" s="249" t="s">
        <v>69</v>
      </c>
      <c r="CH8" s="266" t="s">
        <v>270</v>
      </c>
      <c r="CI8" s="287">
        <f>B31</f>
        <v>1.04753425E-2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0</v>
      </c>
      <c r="CT8" s="262" t="s">
        <v>71</v>
      </c>
      <c r="CU8" s="287">
        <f>B23</f>
        <v>1.6930652399999999E-9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3.5145699120000001E-15</v>
      </c>
      <c r="DB8" s="262" t="s">
        <v>35</v>
      </c>
      <c r="DC8" s="262" t="s">
        <v>380</v>
      </c>
      <c r="DD8" s="311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1.04753425E-2</v>
      </c>
      <c r="HF8" s="249" t="s">
        <v>69</v>
      </c>
    </row>
    <row r="9" spans="1:214" x14ac:dyDescent="0.2">
      <c r="A9" s="279" t="s">
        <v>459</v>
      </c>
      <c r="B9" s="363">
        <v>0.72299999999999998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0</v>
      </c>
      <c r="I9" s="267" t="s">
        <v>35</v>
      </c>
      <c r="J9" s="262" t="s">
        <v>438</v>
      </c>
      <c r="K9" s="287">
        <f>B30</f>
        <v>0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0</v>
      </c>
      <c r="AD9" s="287">
        <f>B22</f>
        <v>0</v>
      </c>
      <c r="AE9" s="287">
        <f>B22</f>
        <v>0</v>
      </c>
      <c r="AF9" s="287">
        <f>B22</f>
        <v>0</v>
      </c>
      <c r="AG9" s="287">
        <f>B22</f>
        <v>0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0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0</v>
      </c>
      <c r="DB9" s="263" t="s">
        <v>35</v>
      </c>
      <c r="DC9" s="262" t="s">
        <v>381</v>
      </c>
      <c r="DD9" s="311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0</v>
      </c>
      <c r="EA9" s="262" t="s">
        <v>278</v>
      </c>
      <c r="EB9" s="287">
        <f>B37</f>
        <v>0</v>
      </c>
      <c r="EC9" s="263"/>
      <c r="ED9" s="262" t="s">
        <v>278</v>
      </c>
      <c r="EE9" s="287">
        <f>B37</f>
        <v>0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0</v>
      </c>
      <c r="EP9" s="262" t="s">
        <v>275</v>
      </c>
      <c r="EQ9" s="310">
        <f>B38</f>
        <v>0</v>
      </c>
      <c r="ER9" s="263"/>
      <c r="ES9" s="262" t="s">
        <v>275</v>
      </c>
      <c r="ET9" s="310">
        <f>B38</f>
        <v>0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5.8400000000000001E-2</v>
      </c>
      <c r="C10" s="241"/>
      <c r="D10" s="88" t="s">
        <v>43</v>
      </c>
      <c r="E10" s="187">
        <f>B19</f>
        <v>3.1999999999999999E-11</v>
      </c>
      <c r="F10" s="188" t="s">
        <v>35</v>
      </c>
      <c r="G10" s="266" t="s">
        <v>80</v>
      </c>
      <c r="H10" s="294" t="e">
        <f>(H5/(H6*H15))/H68</f>
        <v>#DIV/0!</v>
      </c>
      <c r="I10" s="271" t="s">
        <v>304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3.1999999999999999E-11</v>
      </c>
      <c r="X10" s="263" t="s">
        <v>44</v>
      </c>
      <c r="Y10" s="249" t="s">
        <v>43</v>
      </c>
      <c r="Z10" s="290">
        <f>B19</f>
        <v>3.1999999999999999E-11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3.1999999999999999E-11</v>
      </c>
      <c r="BU10" s="263" t="s">
        <v>35</v>
      </c>
      <c r="BV10" s="266" t="s">
        <v>80</v>
      </c>
      <c r="BW10" s="294" t="e">
        <f>(BW5/(BW6*BW12))/BW32</f>
        <v>#DIV/0!</v>
      </c>
      <c r="BX10" s="271" t="s">
        <v>304</v>
      </c>
      <c r="BY10" s="188" t="s">
        <v>16</v>
      </c>
      <c r="BZ10" s="191">
        <f>(BZ33*BZ11)/(1-EXP(-BZ11*BZ33))</f>
        <v>1720.0392254477595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299</v>
      </c>
      <c r="CL10" s="289">
        <f>B293</f>
        <v>27.027027027027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3.1999999999999999E-11</v>
      </c>
      <c r="CY10" s="263" t="s">
        <v>35</v>
      </c>
      <c r="CZ10" s="263" t="s">
        <v>16</v>
      </c>
      <c r="DA10" s="288">
        <f>(DA38*DA11)/(1-EXP(-DA11*DA38))</f>
        <v>1984.6606447474148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0</v>
      </c>
      <c r="DL10" s="267"/>
      <c r="DO10" s="267" t="s">
        <v>37</v>
      </c>
      <c r="DP10" s="287">
        <f>B44</f>
        <v>0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0.70099999999999996</v>
      </c>
      <c r="C11" s="241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(H5/(H7*H16*H28))/H68</f>
        <v>6.1157024793388484E-2</v>
      </c>
      <c r="I11" s="271" t="s">
        <v>304</v>
      </c>
      <c r="J11" s="188" t="s">
        <v>16</v>
      </c>
      <c r="K11" s="109">
        <f>(K46*K12)/(1-EXP(-K12*K46))</f>
        <v>1323.1070964982766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(BW5/(BW8*(1/BW31)*BW15))/BW32</f>
        <v>47293236.09351629</v>
      </c>
      <c r="BX11" s="271" t="s">
        <v>304</v>
      </c>
      <c r="BY11" s="266" t="s">
        <v>23</v>
      </c>
      <c r="BZ11" s="109">
        <f>0.693/BZ12</f>
        <v>66.155354824913829</v>
      </c>
      <c r="CA11" s="88"/>
      <c r="CB11" s="249" t="s">
        <v>456</v>
      </c>
      <c r="CC11" s="287">
        <f>B3</f>
        <v>6.8000000000000005E-2</v>
      </c>
      <c r="CE11" s="249" t="s">
        <v>454</v>
      </c>
      <c r="CF11" s="287">
        <f>B6</f>
        <v>3.7100000000000001E-2</v>
      </c>
      <c r="CH11" s="249" t="s">
        <v>460</v>
      </c>
      <c r="CI11" s="287">
        <f>B10</f>
        <v>5.8400000000000001E-2</v>
      </c>
      <c r="CK11" s="266" t="s">
        <v>270</v>
      </c>
      <c r="CL11" s="287">
        <f>B31</f>
        <v>1.04753425E-2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1984.6606447474148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66.155354824913829</v>
      </c>
      <c r="DC11" s="262" t="s">
        <v>382</v>
      </c>
      <c r="DD11" s="311">
        <f>B141</f>
        <v>55</v>
      </c>
      <c r="DE11" s="267" t="s">
        <v>254</v>
      </c>
      <c r="DF11" s="267" t="s">
        <v>55</v>
      </c>
      <c r="DG11" s="288">
        <f>DG19+DG20</f>
        <v>0.18144061256544503</v>
      </c>
      <c r="DL11" s="267"/>
      <c r="DO11" s="267" t="s">
        <v>55</v>
      </c>
      <c r="DP11" s="288">
        <f>DP19+DP20</f>
        <v>0.18144061256544503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2.2499999999999999E-2</v>
      </c>
      <c r="C12" s="241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(H5/(H8*(1/H45)*H21))/H68</f>
        <v>20959502.359626539</v>
      </c>
      <c r="I12" s="271" t="s">
        <v>304</v>
      </c>
      <c r="J12" s="266" t="s">
        <v>23</v>
      </c>
      <c r="K12" s="109">
        <f>0.693/K13</f>
        <v>66.155354824913829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1.04753425E-2</v>
      </c>
      <c r="CA12" s="88" t="s">
        <v>69</v>
      </c>
      <c r="CB12" s="249" t="s">
        <v>457</v>
      </c>
      <c r="CC12" s="287">
        <f>B4</f>
        <v>0.75600000000000001</v>
      </c>
      <c r="CE12" s="249" t="s">
        <v>455</v>
      </c>
      <c r="CF12" s="287">
        <f>B7</f>
        <v>0.65</v>
      </c>
      <c r="CH12" s="249" t="s">
        <v>461</v>
      </c>
      <c r="CI12" s="287">
        <f>B11</f>
        <v>0.70099999999999996</v>
      </c>
      <c r="CK12" s="249" t="s">
        <v>23</v>
      </c>
      <c r="CL12" s="288">
        <f>693/CL11</f>
        <v>66155.35482491384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66.155354824913829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1.04753425E-2</v>
      </c>
      <c r="DB12" s="249" t="s">
        <v>69</v>
      </c>
      <c r="DC12" s="262" t="s">
        <v>383</v>
      </c>
      <c r="DD12" s="311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0.46300000000000002</v>
      </c>
      <c r="C13" s="242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 t="e">
        <f>(H14/((1/H42)*(H50+H51+H52)))/H68</f>
        <v>#DIV/0!</v>
      </c>
      <c r="I13" s="271" t="s">
        <v>304</v>
      </c>
      <c r="J13" s="266" t="s">
        <v>270</v>
      </c>
      <c r="K13" s="189">
        <f>B31</f>
        <v>1.04753425E-2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6.8000000000000005E-2</v>
      </c>
      <c r="BM13" s="249" t="s">
        <v>454</v>
      </c>
      <c r="BN13" s="287">
        <f>B6</f>
        <v>3.7100000000000001E-2</v>
      </c>
      <c r="BP13" s="249" t="s">
        <v>460</v>
      </c>
      <c r="BQ13" s="287">
        <f>B10</f>
        <v>5.8400000000000001E-2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 t="e">
        <f>((BZ5/(BZ6*BZ16*(1/BZ36)))*BZ10)/BZ37</f>
        <v>#DIV/0!</v>
      </c>
      <c r="CA13" s="271" t="s">
        <v>303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1720039.22544776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1.04753425E-2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 t="e">
        <f>(DA5/(DA6*DA23))/DA50</f>
        <v>#DIV/0!</v>
      </c>
      <c r="DB13" s="266" t="s">
        <v>304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 t="e">
        <f>(H5/(H9*(H22+H25)*H43))/H68</f>
        <v>#DIV/0!</v>
      </c>
      <c r="I14" s="271" t="s">
        <v>303</v>
      </c>
      <c r="J14" s="266" t="s">
        <v>80</v>
      </c>
      <c r="K14" s="294" t="e">
        <f>((K5/(K6*K19*(1/K49)))*K11)/K54</f>
        <v>#DIV/0!</v>
      </c>
      <c r="L14" s="271" t="s">
        <v>303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1.6230073680000001E-12</v>
      </c>
      <c r="X14" s="262" t="s">
        <v>64</v>
      </c>
      <c r="Y14" s="262" t="s">
        <v>63</v>
      </c>
      <c r="Z14" s="287">
        <f>B28</f>
        <v>1.6230073680000001E-12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0.75600000000000001</v>
      </c>
      <c r="BM14" s="249" t="s">
        <v>455</v>
      </c>
      <c r="BN14" s="287">
        <f>B7</f>
        <v>0.65</v>
      </c>
      <c r="BP14" s="249" t="s">
        <v>461</v>
      </c>
      <c r="BQ14" s="287">
        <f>B11</f>
        <v>0.70099999999999996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((BZ5/(BZ7*BZ17*(1/BZ9)*BZ35))*BZ10)/BZ37</f>
        <v>604969616.58644092</v>
      </c>
      <c r="CA14" s="271" t="s">
        <v>303</v>
      </c>
      <c r="CB14" s="249" t="s">
        <v>71</v>
      </c>
      <c r="CC14" s="290">
        <f>B23</f>
        <v>1.6930652399999999E-9</v>
      </c>
      <c r="CD14" s="263" t="s">
        <v>72</v>
      </c>
      <c r="CE14" s="249" t="s">
        <v>71</v>
      </c>
      <c r="CF14" s="290">
        <f>B25</f>
        <v>3.5682809472000002E-10</v>
      </c>
      <c r="CG14" s="263" t="s">
        <v>72</v>
      </c>
      <c r="CH14" s="249" t="s">
        <v>71</v>
      </c>
      <c r="CI14" s="290">
        <f>B27</f>
        <v>1.5412731840000001E-9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 t="e">
        <f>((CU5/(CU6*CU24*(1/CU47)))*CU11)/CU48</f>
        <v>#DIV/0!</v>
      </c>
      <c r="CV14" s="271" t="s">
        <v>303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(DA5/(DA7*DA24*DA46))/DA50</f>
        <v>4.0771349862258999E-2</v>
      </c>
      <c r="DB14" s="266" t="s">
        <v>304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((K5/(K7*K20*(1/K10)*K48))*K11)/K54</f>
        <v>54997237.871494636</v>
      </c>
      <c r="L15" s="271" t="s">
        <v>303</v>
      </c>
      <c r="M15" s="249" t="s">
        <v>448</v>
      </c>
      <c r="N15" s="290">
        <f>B23</f>
        <v>1.6930652399999999E-9</v>
      </c>
      <c r="O15" s="263" t="s">
        <v>446</v>
      </c>
      <c r="P15" s="249" t="s">
        <v>449</v>
      </c>
      <c r="Q15" s="290">
        <f>B25</f>
        <v>3.5682809472000002E-10</v>
      </c>
      <c r="R15" s="263" t="s">
        <v>446</v>
      </c>
      <c r="S15" s="249" t="s">
        <v>453</v>
      </c>
      <c r="T15" s="290">
        <f>B27</f>
        <v>1.5412731840000001E-9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1.6930652399999999E-9</v>
      </c>
      <c r="AK15" s="263" t="s">
        <v>72</v>
      </c>
      <c r="AL15" s="262" t="s">
        <v>449</v>
      </c>
      <c r="AM15" s="290">
        <f>B25</f>
        <v>3.5682809472000002E-10</v>
      </c>
      <c r="AN15" s="263" t="s">
        <v>72</v>
      </c>
      <c r="AO15" s="262" t="s">
        <v>452</v>
      </c>
      <c r="AP15" s="290">
        <f>B27</f>
        <v>1.5412731840000001E-9</v>
      </c>
      <c r="AQ15" s="263" t="s">
        <v>72</v>
      </c>
      <c r="AR15" s="249" t="s">
        <v>448</v>
      </c>
      <c r="AS15" s="290">
        <f>B23</f>
        <v>1.6930652399999999E-9</v>
      </c>
      <c r="AT15" s="263" t="s">
        <v>72</v>
      </c>
      <c r="AU15" s="262" t="s">
        <v>449</v>
      </c>
      <c r="AV15" s="290">
        <f>B25</f>
        <v>3.5682809472000002E-10</v>
      </c>
      <c r="AW15" s="263" t="s">
        <v>72</v>
      </c>
      <c r="AX15" s="262" t="s">
        <v>452</v>
      </c>
      <c r="AY15" s="290">
        <f>B27</f>
        <v>1.5412731840000001E-9</v>
      </c>
      <c r="AZ15" s="263" t="s">
        <v>72</v>
      </c>
      <c r="BA15" s="249" t="s">
        <v>448</v>
      </c>
      <c r="BB15" s="290">
        <f>B23</f>
        <v>1.6930652399999999E-9</v>
      </c>
      <c r="BC15" s="263" t="s">
        <v>72</v>
      </c>
      <c r="BD15" s="262" t="s">
        <v>449</v>
      </c>
      <c r="BE15" s="290">
        <f>B25</f>
        <v>3.5682809472000002E-10</v>
      </c>
      <c r="BF15" s="263" t="s">
        <v>72</v>
      </c>
      <c r="BG15" s="262" t="s">
        <v>452</v>
      </c>
      <c r="BH15" s="290">
        <f>B27</f>
        <v>1.5412731840000001E-9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(((BZ5)/(BZ8*BZ22*(1/BZ34)*BZ25*BZ28*(1/24)*BZ31*BZ32))*BZ10)/BZ37</f>
        <v>3284771.5336056841</v>
      </c>
      <c r="CA15" s="271" t="s">
        <v>303</v>
      </c>
      <c r="CB15" s="95" t="s">
        <v>299</v>
      </c>
      <c r="CC15" s="289">
        <f>B293</f>
        <v>27.027027027027</v>
      </c>
      <c r="CE15" s="95" t="s">
        <v>299</v>
      </c>
      <c r="CF15" s="289">
        <f>B293</f>
        <v>27.027027027027</v>
      </c>
      <c r="CH15" s="95" t="s">
        <v>299</v>
      </c>
      <c r="CI15" s="289">
        <f>B293</f>
        <v>27.027027027027</v>
      </c>
      <c r="CT15" s="266" t="s">
        <v>74</v>
      </c>
      <c r="CU15" s="295">
        <f>((CU5/(CU7*CU25*(1/CU10)*CU46))*CU11)/CU48</f>
        <v>54997237.871494636</v>
      </c>
      <c r="CV15" s="271" t="s">
        <v>303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(DA5/(DA8*DA25*(DA47/DA48)))/DA50</f>
        <v>13973001.573084358</v>
      </c>
      <c r="DB15" s="266" t="s">
        <v>304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263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x14ac:dyDescent="0.2">
      <c r="A16" s="585"/>
      <c r="B16" s="586"/>
      <c r="C16" s="6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((K5/(K8*K45*((K40*K44*(1/24))+(K41*K43*(1/24)))*K32*(1/K47)*K34))*K11)/K54</f>
        <v>45559.235017721265</v>
      </c>
      <c r="L16" s="271" t="s">
        <v>303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((W5)/((W11/W12)*W8*W9*W10*W13))/W20</f>
        <v>0.36694214876033093</v>
      </c>
      <c r="X16" s="88" t="s">
        <v>15</v>
      </c>
      <c r="Y16" s="88" t="s">
        <v>74</v>
      </c>
      <c r="Z16" s="294">
        <f>((Z5)/((Z11/Z12)*Z8*Z9*Z10*Z13))/Z20</f>
        <v>0.36694214876033093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6.8000000000000005E-2</v>
      </c>
      <c r="AG16" s="305">
        <f>B3</f>
        <v>6.8000000000000005E-2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1.6930652399999999E-9</v>
      </c>
      <c r="BL16" s="263" t="s">
        <v>72</v>
      </c>
      <c r="BM16" s="262" t="s">
        <v>449</v>
      </c>
      <c r="BN16" s="290">
        <f>B25</f>
        <v>3.5682809472000002E-10</v>
      </c>
      <c r="BO16" s="263" t="s">
        <v>72</v>
      </c>
      <c r="BP16" s="262" t="s">
        <v>452</v>
      </c>
      <c r="BQ16" s="290">
        <f>B27</f>
        <v>1.5412731840000001E-9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B16" s="262"/>
      <c r="CC16" s="293"/>
      <c r="CD16" s="262"/>
      <c r="CE16" s="262"/>
      <c r="CF16" s="293"/>
      <c r="CG16" s="262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((CU5*CU44*CU12)/((1-EXP(-CU12*CU44))*CU8*CU31*(1/365)*CU32*((CU38*(1/24)*CU42)+(CU39*(1/24)*CU41))*CU43))/CU48</f>
        <v>63053.532182060997</v>
      </c>
      <c r="CV16" s="271" t="s">
        <v>303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 t="e">
        <f>DG2</f>
        <v>#DIV/0!</v>
      </c>
      <c r="DB16" s="266" t="s">
        <v>304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0.23091361256544501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0.23091361256544501</v>
      </c>
      <c r="DQ16" s="262" t="s">
        <v>82</v>
      </c>
      <c r="DR16" s="267" t="s">
        <v>400</v>
      </c>
      <c r="DS16" s="297">
        <f>B175</f>
        <v>2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0.23091361256544501</v>
      </c>
      <c r="EF16" s="262" t="s">
        <v>82</v>
      </c>
      <c r="EG16" s="267" t="s">
        <v>401</v>
      </c>
      <c r="EH16" s="297">
        <f>B176</f>
        <v>2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0.23091361256544501</v>
      </c>
      <c r="EU16" s="262" t="s">
        <v>82</v>
      </c>
      <c r="EV16" s="267" t="s">
        <v>402</v>
      </c>
      <c r="EW16" s="297">
        <f>B177</f>
        <v>2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0.23091361256544501</v>
      </c>
      <c r="FJ16" s="262" t="s">
        <v>82</v>
      </c>
      <c r="FK16" s="267" t="s">
        <v>403</v>
      </c>
      <c r="FL16" s="297">
        <f>B178</f>
        <v>2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2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0.23091361256544501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0.23091361256544501</v>
      </c>
      <c r="HC16" s="262" t="s">
        <v>82</v>
      </c>
      <c r="HD16" s="262"/>
      <c r="HE16" s="293"/>
      <c r="HF16" s="262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 t="e">
        <f>(K18/(K50+K51))*K11</f>
        <v>#DIV/0!</v>
      </c>
      <c r="L17" s="271" t="s">
        <v>303</v>
      </c>
      <c r="M17" s="95" t="s">
        <v>299</v>
      </c>
      <c r="N17" s="293">
        <f>B293</f>
        <v>27.027027027027</v>
      </c>
      <c r="O17" s="262"/>
      <c r="P17" s="95" t="s">
        <v>299</v>
      </c>
      <c r="Q17" s="293">
        <f>B293</f>
        <v>27.027027027027</v>
      </c>
      <c r="R17" s="262"/>
      <c r="S17" s="95" t="s">
        <v>299</v>
      </c>
      <c r="T17" s="293">
        <f>B293</f>
        <v>27.027027027027</v>
      </c>
      <c r="U17" s="262"/>
      <c r="V17" s="88" t="s">
        <v>78</v>
      </c>
      <c r="W17" s="296">
        <f>((W5)/((W11/W12)*W8*W9*W14*(1/365)))/W20</f>
        <v>145238.79620713869</v>
      </c>
      <c r="X17" s="88" t="s">
        <v>15</v>
      </c>
      <c r="Y17" s="88" t="s">
        <v>78</v>
      </c>
      <c r="Z17" s="296">
        <f>((Z5)/((Z11/Z12)*Z8*Z9*Z14*(1/365)))/Z20</f>
        <v>145238.79620713869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95" t="s">
        <v>299</v>
      </c>
      <c r="AJ17" s="293">
        <f>B293</f>
        <v>27.027027027027</v>
      </c>
      <c r="AK17" s="262"/>
      <c r="AL17" s="95" t="s">
        <v>299</v>
      </c>
      <c r="AM17" s="293">
        <f>B293</f>
        <v>27.027027027027</v>
      </c>
      <c r="AN17" s="262"/>
      <c r="AO17" s="95" t="s">
        <v>299</v>
      </c>
      <c r="AP17" s="293">
        <f>B293</f>
        <v>27.027027027027</v>
      </c>
      <c r="AQ17" s="262"/>
      <c r="AR17" s="95" t="s">
        <v>299</v>
      </c>
      <c r="AS17" s="293">
        <f>B293</f>
        <v>27.027027027027</v>
      </c>
      <c r="AT17" s="262"/>
      <c r="AU17" s="95" t="s">
        <v>299</v>
      </c>
      <c r="AV17" s="293">
        <f>B293</f>
        <v>27.027027027027</v>
      </c>
      <c r="AW17" s="262"/>
      <c r="AX17" s="95" t="s">
        <v>299</v>
      </c>
      <c r="AY17" s="293">
        <f>B293</f>
        <v>27.027027027027</v>
      </c>
      <c r="AZ17" s="262"/>
      <c r="BA17" s="95" t="s">
        <v>299</v>
      </c>
      <c r="BB17" s="293">
        <f>B293</f>
        <v>27.027027027027</v>
      </c>
      <c r="BC17" s="262"/>
      <c r="BD17" s="95" t="s">
        <v>299</v>
      </c>
      <c r="BE17" s="293">
        <f>B293</f>
        <v>27.027027027027</v>
      </c>
      <c r="BF17" s="262"/>
      <c r="BG17" s="95" t="s">
        <v>299</v>
      </c>
      <c r="BH17" s="293">
        <f>B293</f>
        <v>27.027027027027</v>
      </c>
      <c r="BI17" s="262"/>
      <c r="BJ17" s="95" t="s">
        <v>299</v>
      </c>
      <c r="BK17" s="293">
        <f>B293</f>
        <v>27.027027027027</v>
      </c>
      <c r="BL17" s="262"/>
      <c r="BM17" s="95" t="s">
        <v>299</v>
      </c>
      <c r="BN17" s="293">
        <f>B293</f>
        <v>27.027027027027</v>
      </c>
      <c r="BO17" s="262"/>
      <c r="BP17" s="95" t="s">
        <v>299</v>
      </c>
      <c r="BQ17" s="293">
        <f>B293</f>
        <v>27.027027027027</v>
      </c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 t="e">
        <f>DJ2</f>
        <v>#DIV/0!</v>
      </c>
      <c r="CV17" s="271" t="s">
        <v>303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66.155354824913829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1.6230073680000001E-12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 t="e">
        <f>(K5/(K9*(K25+K28)*K39))/K54</f>
        <v>#DIV/0!</v>
      </c>
      <c r="L18" s="271" t="s">
        <v>303</v>
      </c>
      <c r="V18" s="88" t="s">
        <v>74</v>
      </c>
      <c r="W18" s="294">
        <f>((W5*W6*W9)/((W11/W12)*(1-EXP(-W6*W9))*W10*W13*W8*W9))/W20</f>
        <v>121.37594025728004</v>
      </c>
      <c r="X18" s="88" t="s">
        <v>16</v>
      </c>
      <c r="Y18" s="88" t="s">
        <v>74</v>
      </c>
      <c r="Z18" s="294">
        <f>((Z5*Z6*Z9)/((Z11/Z12)*(1-EXP(-Z6*Z9))*Z10*Z13*Z8*Z9))/Z20</f>
        <v>121.37594025728004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303</v>
      </c>
      <c r="CW18" s="266" t="s">
        <v>63</v>
      </c>
      <c r="CX18" s="189">
        <f>B28</f>
        <v>1.6230073680000001E-12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66.155354824913829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66.155354824913829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66.155354824913829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66.155354824913829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66.155354824913829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1.04753425E-2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3.1999999999999999E-11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((W5*W6*W9)/((W11/W12)*(1-EXP(-W6*W9))*W14*W8*W9*(1/365)))/W20</f>
        <v>48041620.487133048</v>
      </c>
      <c r="X19" s="88" t="s">
        <v>16</v>
      </c>
      <c r="Y19" s="88" t="s">
        <v>78</v>
      </c>
      <c r="Z19" s="296">
        <f>((Z5*Z6*Z9)/((Z11/Z12)*(1-EXP(-Z6*Z9))*Z14*Z8*Z9*(1/365)))/Z20</f>
        <v>48041620.487133048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0.75600000000000001</v>
      </c>
      <c r="AG19" s="305">
        <f>B4</f>
        <v>0.75600000000000001</v>
      </c>
      <c r="AH19" s="267"/>
      <c r="BS19" s="262" t="s">
        <v>63</v>
      </c>
      <c r="BT19" s="287">
        <f>E18</f>
        <v>1.6230073680000001E-12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((CC22*CC23*CC24)/((1-EXP(-CC24*CC23))*CC27*CC31*(CC26/365)*CC29*(CC30/24)*CC28))/CC32</f>
        <v>78346412.526812747</v>
      </c>
      <c r="CD19" s="404" t="s">
        <v>307</v>
      </c>
      <c r="CE19" s="402" t="s">
        <v>562</v>
      </c>
      <c r="CF19" s="400">
        <f>((CF22*CF23*CF24)/((1-EXP(-CF24*CF23))*CF27*CF31*(CF26/365)*CF29*(CF30/24)*CF28))/CF32</f>
        <v>9196635.1755811926</v>
      </c>
      <c r="CG19" s="398" t="s">
        <v>303</v>
      </c>
      <c r="CK19" s="410" t="s">
        <v>510</v>
      </c>
      <c r="CL19" s="400" t="e">
        <f>(CL22/(CL23*CL24*CL25*CL26))/CL27</f>
        <v>#DIV/0!</v>
      </c>
      <c r="CM19" s="404" t="s">
        <v>303</v>
      </c>
      <c r="CN19" s="402" t="s">
        <v>7</v>
      </c>
      <c r="CO19" s="400" t="e">
        <f>(CL19/(CO22*((CO27*CO29*CO30*(CO23+CO24))+(CO28*CO29))))*CL30</f>
        <v>#DIV/0!</v>
      </c>
      <c r="CP19" s="412" t="s">
        <v>303</v>
      </c>
      <c r="CQ19" s="402" t="s">
        <v>6</v>
      </c>
      <c r="CR19" s="400" t="e">
        <f>CL19/(CR22*CR23*(1/CR24))</f>
        <v>#DIV/0!</v>
      </c>
      <c r="CS19" s="415" t="s">
        <v>304</v>
      </c>
      <c r="CT19" s="266" t="s">
        <v>258</v>
      </c>
      <c r="CU19" s="295" t="e">
        <f>GV2</f>
        <v>#DIV/0!</v>
      </c>
      <c r="CV19" s="271" t="s">
        <v>303</v>
      </c>
      <c r="CW19" s="266" t="s">
        <v>255</v>
      </c>
      <c r="CX19" s="304">
        <f>B173</f>
        <v>2</v>
      </c>
      <c r="CY19" s="88"/>
      <c r="CZ19" s="266" t="s">
        <v>184</v>
      </c>
      <c r="DA19" s="295" t="e">
        <f>EK2</f>
        <v>#DIV/0!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1.04753425E-2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1.04753425E-2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1.04753425E-2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1.04753425E-2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1.04753425E-2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299</v>
      </c>
      <c r="GP19" s="344">
        <f>B293</f>
        <v>27.027027027027</v>
      </c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0</v>
      </c>
      <c r="C20" s="263" t="s">
        <v>35</v>
      </c>
      <c r="D20" s="88" t="s">
        <v>74</v>
      </c>
      <c r="E20" s="294">
        <f>((E5)/(E10*E11))/E26</f>
        <v>1.9111570247933907E-2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299</v>
      </c>
      <c r="W20" s="289">
        <f>B293</f>
        <v>27.027027027027</v>
      </c>
      <c r="Y20" s="95" t="s">
        <v>299</v>
      </c>
      <c r="Z20" s="289">
        <f>B293</f>
        <v>27.027027027027</v>
      </c>
      <c r="AB20" s="262" t="s">
        <v>71</v>
      </c>
      <c r="AC20" s="287">
        <f>B23</f>
        <v>1.6930652399999999E-9</v>
      </c>
      <c r="AD20" s="287">
        <f>B23</f>
        <v>1.6930652399999999E-9</v>
      </c>
      <c r="AE20" s="287">
        <f>B23</f>
        <v>1.6930652399999999E-9</v>
      </c>
      <c r="AF20" s="287">
        <f>B23</f>
        <v>1.6930652399999999E-9</v>
      </c>
      <c r="AG20" s="287">
        <f>B23</f>
        <v>1.6930652399999999E-9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 t="e">
        <f>EN2</f>
        <v>#DIV/0!</v>
      </c>
      <c r="CV20" s="271" t="s">
        <v>303</v>
      </c>
      <c r="CW20" s="88" t="s">
        <v>74</v>
      </c>
      <c r="CX20" s="294">
        <f>((CX5)/((CX14/CX15)*CX10*CX11))/CX26</f>
        <v>2.0385674931129499E-2</v>
      </c>
      <c r="CY20" s="88" t="s">
        <v>15</v>
      </c>
      <c r="CZ20" s="266" t="s">
        <v>493</v>
      </c>
      <c r="DA20" s="295" t="e">
        <f>DV2</f>
        <v>#DIV/0!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0.18141361256544503</v>
      </c>
      <c r="DH20" s="249" t="s">
        <v>82</v>
      </c>
      <c r="DL20" s="267"/>
      <c r="DO20" s="267" t="s">
        <v>90</v>
      </c>
      <c r="DP20" s="288">
        <f>0.693/B35</f>
        <v>0.18141361256544503</v>
      </c>
      <c r="DQ20" s="249" t="s">
        <v>82</v>
      </c>
      <c r="DR20" s="95" t="s">
        <v>299</v>
      </c>
      <c r="DS20" s="289">
        <f>B293</f>
        <v>27.027027027027</v>
      </c>
      <c r="DU20" s="267"/>
      <c r="EA20" s="267"/>
      <c r="EB20" s="307"/>
      <c r="EC20" s="263"/>
      <c r="ED20" s="267" t="s">
        <v>90</v>
      </c>
      <c r="EE20" s="299">
        <f>0.693/B35</f>
        <v>0.18141361256544503</v>
      </c>
      <c r="EF20" s="263" t="s">
        <v>82</v>
      </c>
      <c r="EG20" s="95" t="s">
        <v>299</v>
      </c>
      <c r="EH20" s="345">
        <f>B293</f>
        <v>27.027027027027</v>
      </c>
      <c r="EJ20" s="267"/>
      <c r="EP20" s="267"/>
      <c r="EQ20" s="307"/>
      <c r="ER20" s="263"/>
      <c r="ES20" s="267" t="s">
        <v>90</v>
      </c>
      <c r="ET20" s="299">
        <f>0.693/B35</f>
        <v>0.18141361256544503</v>
      </c>
      <c r="EU20" s="263" t="s">
        <v>82</v>
      </c>
      <c r="EV20" s="95" t="s">
        <v>299</v>
      </c>
      <c r="EW20" s="345">
        <f>B293</f>
        <v>27.027027027027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0.18141361256544503</v>
      </c>
      <c r="FJ20" s="263" t="s">
        <v>82</v>
      </c>
      <c r="FK20" s="95" t="s">
        <v>299</v>
      </c>
      <c r="FL20" s="345">
        <f>B293</f>
        <v>27.027027027027</v>
      </c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299</v>
      </c>
      <c r="GA20" s="344">
        <f>B293</f>
        <v>27.027027027027</v>
      </c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0.18141361256544503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0.18141361256544503</v>
      </c>
      <c r="HC20" s="263" t="s">
        <v>82</v>
      </c>
    </row>
    <row r="21" spans="1:214" ht="15" thickTop="1" thickBot="1" x14ac:dyDescent="0.25">
      <c r="A21" s="262" t="s">
        <v>316</v>
      </c>
      <c r="B21" s="315">
        <v>0</v>
      </c>
      <c r="C21" s="262" t="s">
        <v>35</v>
      </c>
      <c r="D21" s="88" t="s">
        <v>78</v>
      </c>
      <c r="E21" s="295">
        <f>((E5)/((E14/E15)*E8*E9*E18*(1/365)*E19))/E26</f>
        <v>7564.5206357884745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((N24*N25*N26)/((1-EXP(-N26*N25))*N29*N34*(N28/365)*N32*(((N33/24)*N31)+((N35/24)*N30))))/N36</f>
        <v>173934.10635909435</v>
      </c>
      <c r="O21" s="637" t="s">
        <v>307</v>
      </c>
      <c r="P21" s="639" t="s">
        <v>516</v>
      </c>
      <c r="Q21" s="647">
        <f>((Q24*Q25*Q26)/((1-EXP(-Q26*Q25))*Q29*Q34*(Q28/365)*Q32*(((Q33/24)*Q31)+((Q35/24)*Q30))))/Q36</f>
        <v>60505.834772412214</v>
      </c>
      <c r="R21" s="643" t="s">
        <v>303</v>
      </c>
      <c r="AB21" s="262" t="s">
        <v>43</v>
      </c>
      <c r="AC21" s="290">
        <f>B19</f>
        <v>3.1999999999999999E-11</v>
      </c>
      <c r="AD21" s="290">
        <f>B19</f>
        <v>3.1999999999999999E-11</v>
      </c>
      <c r="AE21" s="290">
        <f>B19</f>
        <v>3.1999999999999999E-11</v>
      </c>
      <c r="AF21" s="290">
        <f>B19</f>
        <v>3.1999999999999999E-11</v>
      </c>
      <c r="AG21" s="290">
        <f>B19</f>
        <v>3.1999999999999999E-11</v>
      </c>
      <c r="AH21" s="263" t="s">
        <v>35</v>
      </c>
      <c r="AI21" s="381" t="s">
        <v>516</v>
      </c>
      <c r="AJ21" s="387">
        <f>((AJ24*AJ25*AJ26)/((1-EXP(-AJ26*AJ25))*AJ34*(AJ28/365)*AJ29*(AJ35/24)*AJ30*AJ32))/AJ36</f>
        <v>556482.10397595784</v>
      </c>
      <c r="AK21" s="629" t="s">
        <v>307</v>
      </c>
      <c r="AL21" s="383" t="s">
        <v>516</v>
      </c>
      <c r="AM21" s="387">
        <f>((AM24*AM25*AM26)/((1-EXP(-AM26*AM25))*AM34*(AM28/365)*AM29*(AM35/24)*AM30*AM32))/AM36</f>
        <v>193581.43691185914</v>
      </c>
      <c r="AN21" s="635" t="s">
        <v>303</v>
      </c>
      <c r="AR21" s="381" t="s">
        <v>516</v>
      </c>
      <c r="AS21" s="387">
        <f>((AS24*AS25*AS26)/((1-EXP(-AS26*AS25))*AS34*(AS28/365)*AS29*(AS33/24)*AS31*AS32))/AS36</f>
        <v>222592.84159038312</v>
      </c>
      <c r="AT21" s="391" t="s">
        <v>307</v>
      </c>
      <c r="AU21" s="383" t="s">
        <v>516</v>
      </c>
      <c r="AV21" s="387">
        <f>((AV24*AV25*AV26)/((1-EXP(-AV26*AV25))*AV34*(AV28/365)*AV29*(AV33/24)*AV31*AV32))/AV36</f>
        <v>77432.574764743666</v>
      </c>
      <c r="AW21" s="385" t="s">
        <v>303</v>
      </c>
      <c r="BA21" s="381" t="s">
        <v>516</v>
      </c>
      <c r="BB21" s="387">
        <f>((BB24*BB25*BB26)/((1-EXP(-BB26*BB25))*BB34*(BB28/365)*BB29*((BB33+BB35)/24)*BB31*BB32))/BB36</f>
        <v>222592.84159038312</v>
      </c>
      <c r="BC21" s="391" t="s">
        <v>307</v>
      </c>
      <c r="BD21" s="383" t="s">
        <v>516</v>
      </c>
      <c r="BE21" s="387">
        <f>((BE24*BE25*BE26)/((1-EXP(-BE26*BE25))*BE34*(BE28/365)*BE29*((BE33+BE35)/24)*BE31*BE32))/BE36</f>
        <v>77432.574764743666</v>
      </c>
      <c r="BF21" s="385" t="s">
        <v>303</v>
      </c>
      <c r="BJ21" s="381" t="s">
        <v>561</v>
      </c>
      <c r="BK21" s="389">
        <f>((BK24*BK25*BK26)/((1-EXP(-BK26*BK25))*BK31*BK35*(BK28/365)*BK33*(BK34/24)*BK32))/BK36</f>
        <v>21367203.416403465</v>
      </c>
      <c r="BL21" s="391" t="s">
        <v>307</v>
      </c>
      <c r="BM21" s="383" t="s">
        <v>562</v>
      </c>
      <c r="BN21" s="389">
        <f>((BN24*BN25*BN26)/((1-EXP(-BN26*BN25))*BN31*BN35*(BN28/365)*BN33*(BN34/24)*BN32))/BN36</f>
        <v>2508173.2297039605</v>
      </c>
      <c r="BO21" s="385" t="s">
        <v>303</v>
      </c>
      <c r="BS21" s="88" t="s">
        <v>74</v>
      </c>
      <c r="BT21" s="294">
        <f>((BT5)/(BT10*BT11))/BT29</f>
        <v>0.25874125874125897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 t="e">
        <f>DY2</f>
        <v>#DIV/0!</v>
      </c>
      <c r="CV21" s="271" t="s">
        <v>303</v>
      </c>
      <c r="CW21" s="88" t="s">
        <v>78</v>
      </c>
      <c r="CX21" s="296">
        <f>((CX5)/((CX14/CX15)*CX8*CX9*CX18*(1/365)*CX19))/CX26</f>
        <v>2521.5068785961585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66.155354824913829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0</v>
      </c>
      <c r="C22" s="262" t="s">
        <v>35</v>
      </c>
      <c r="D22" s="88" t="s">
        <v>74</v>
      </c>
      <c r="E22" s="295">
        <f>((E5*E9*E6)/((1-EXP(-E6*E9))*E10*E11))/E26</f>
        <v>25.286654220266673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((BT5)/((BT14/24)*(BT8/365)*BT9*BT19*BT20))/BT29</f>
        <v>102411.97168452089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0</v>
      </c>
      <c r="CQ22" s="262" t="s">
        <v>265</v>
      </c>
      <c r="CR22" s="287">
        <f>CO22</f>
        <v>0</v>
      </c>
      <c r="CT22" s="266" t="s">
        <v>492</v>
      </c>
      <c r="CU22" s="295" t="e">
        <f>GG2</f>
        <v>#DIV/0!</v>
      </c>
      <c r="CV22" s="271" t="s">
        <v>303</v>
      </c>
      <c r="CW22" s="88" t="s">
        <v>74</v>
      </c>
      <c r="CX22" s="294">
        <f>((CX5*CX9*CX6)/((CX14/CX15)*(1-EXP(-CX6*CX9))*CX10*CX11))/CX26</f>
        <v>40.458646752426674</v>
      </c>
      <c r="CY22" s="88" t="s">
        <v>16</v>
      </c>
      <c r="CZ22" s="266" t="s">
        <v>183</v>
      </c>
      <c r="DA22" s="296" t="e">
        <f>FO2</f>
        <v>#DIV/0!</v>
      </c>
      <c r="DB22" s="88"/>
      <c r="DC22" s="266" t="s">
        <v>270</v>
      </c>
      <c r="DD22" s="287">
        <f>B31</f>
        <v>1.04753425E-2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1.6930652399999999E-9</v>
      </c>
      <c r="C23" s="262" t="s">
        <v>95</v>
      </c>
      <c r="D23" s="88" t="s">
        <v>78</v>
      </c>
      <c r="E23" s="296">
        <f>((E5*E9*E6)/((E14/E15)*E8*E9*(1-EXP(-E6*E9))*E18*(1/365)*E19))/E26</f>
        <v>10008670.934819384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((BT5*BT28*BT6)/((1-EXP(-BT6*BT28))*BT10*BT11))/BT29</f>
        <v>445.04511427669348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0</v>
      </c>
      <c r="CM23" s="266" t="s">
        <v>13</v>
      </c>
      <c r="CN23" s="249" t="s">
        <v>21</v>
      </c>
      <c r="CO23" s="290">
        <f>CO25</f>
        <v>0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 t="e">
        <f>FR2</f>
        <v>#DIV/0!</v>
      </c>
      <c r="CV23" s="271" t="s">
        <v>303</v>
      </c>
      <c r="CW23" s="88" t="s">
        <v>78</v>
      </c>
      <c r="CX23" s="296">
        <f>((CX5*CX9*CX6)/((CX14/CX15)*CX8*CX9*(1-EXP(-CX6*CX9))*CX18*(1/365)*CX19))/CX26</f>
        <v>5004335.4674096936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C23" s="95" t="s">
        <v>299</v>
      </c>
      <c r="DD23" s="345">
        <f>B293</f>
        <v>27.027027027027</v>
      </c>
      <c r="DF23" s="262" t="s">
        <v>17</v>
      </c>
      <c r="DG23" s="287">
        <f>B35</f>
        <v>3.82</v>
      </c>
      <c r="DH23" s="249" t="s">
        <v>257</v>
      </c>
      <c r="DO23" s="262" t="s">
        <v>20</v>
      </c>
      <c r="DP23" s="305">
        <f>DP25</f>
        <v>0</v>
      </c>
      <c r="EA23" s="262"/>
      <c r="EB23" s="293"/>
      <c r="EC23" s="263"/>
      <c r="ED23" s="262" t="s">
        <v>20</v>
      </c>
      <c r="EE23" s="305">
        <f>EE25</f>
        <v>0</v>
      </c>
      <c r="EF23" s="263"/>
      <c r="EP23" s="262"/>
      <c r="EQ23" s="293"/>
      <c r="ER23" s="263"/>
      <c r="ES23" s="262" t="s">
        <v>20</v>
      </c>
      <c r="ET23" s="305">
        <f>ET25</f>
        <v>0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0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0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0</v>
      </c>
      <c r="HC23" s="263"/>
      <c r="HD23" s="219" t="s">
        <v>574</v>
      </c>
      <c r="HE23" s="348">
        <f>(HE25*HE33*HE38*HE32*10^-3*HE31*HE27)/(HE30*HE41*(1-EXP(-HE27*HE31)))</f>
        <v>0</v>
      </c>
      <c r="HF23" s="252" t="s">
        <v>303</v>
      </c>
    </row>
    <row r="24" spans="1:214" ht="14.25" thickTop="1" thickBot="1" x14ac:dyDescent="0.25">
      <c r="A24" s="262" t="s">
        <v>450</v>
      </c>
      <c r="B24" s="315">
        <v>3.5028935999999998E-10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((BT5*BT28*BT6)/((BT14/24)*(BT8/365)*BT9*(1-EXP(-BT6*BT28))*BT19*BT20))/BT29</f>
        <v>176152608.45282117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66.155354824913829</v>
      </c>
      <c r="CE24" s="262" t="s">
        <v>23</v>
      </c>
      <c r="CF24" s="288">
        <f>0.693/CF25</f>
        <v>66.155354824913829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1.1405246653516132</v>
      </c>
      <c r="HF24" s="75" t="s">
        <v>303</v>
      </c>
    </row>
    <row r="25" spans="1:214" ht="13.5" thickTop="1" x14ac:dyDescent="0.2">
      <c r="A25" s="262" t="s">
        <v>449</v>
      </c>
      <c r="B25" s="315">
        <v>3.5682809472000002E-10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121.37563360480863</v>
      </c>
      <c r="X25" s="254" t="s">
        <v>302</v>
      </c>
      <c r="Y25" s="321" t="s">
        <v>16</v>
      </c>
      <c r="Z25" s="358">
        <f>1/((1/Z38)+(1/Z39))</f>
        <v>24.275126720961719</v>
      </c>
      <c r="AA25" s="255" t="s">
        <v>302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1.04753425E-2</v>
      </c>
      <c r="CD25" s="249" t="s">
        <v>69</v>
      </c>
      <c r="CE25" s="266" t="s">
        <v>270</v>
      </c>
      <c r="CF25" s="287">
        <f>B31</f>
        <v>1.04753425E-2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0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0</v>
      </c>
      <c r="EA25" s="262"/>
      <c r="EC25" s="263"/>
      <c r="ED25" s="262" t="s">
        <v>38</v>
      </c>
      <c r="EE25" s="287">
        <f>B45</f>
        <v>0</v>
      </c>
      <c r="EF25" s="263"/>
      <c r="EP25" s="262"/>
      <c r="ER25" s="263"/>
      <c r="ES25" s="263" t="s">
        <v>37</v>
      </c>
      <c r="ET25" s="287">
        <f>B45</f>
        <v>0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0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0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0</v>
      </c>
      <c r="HC25" s="263"/>
      <c r="HD25" s="265" t="s">
        <v>22</v>
      </c>
      <c r="HE25" s="305">
        <f>B47</f>
        <v>0</v>
      </c>
      <c r="HF25" s="262" t="s">
        <v>304</v>
      </c>
    </row>
    <row r="26" spans="1:214" ht="13.5" thickBot="1" x14ac:dyDescent="0.25">
      <c r="A26" s="262" t="s">
        <v>451</v>
      </c>
      <c r="B26" s="315">
        <v>1.00696514688E-9</v>
      </c>
      <c r="C26" s="262" t="s">
        <v>95</v>
      </c>
      <c r="D26" s="95" t="s">
        <v>299</v>
      </c>
      <c r="E26" s="289">
        <f>B293</f>
        <v>27.027027027027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66.155354824913829</v>
      </c>
      <c r="P26" s="262" t="s">
        <v>23</v>
      </c>
      <c r="Q26" s="288">
        <f>0.693/Q27</f>
        <v>66.155354824913829</v>
      </c>
      <c r="V26" s="320" t="s">
        <v>15</v>
      </c>
      <c r="W26" s="359">
        <f>1/((1/W38)+(1/W39))</f>
        <v>0.36694122169260612</v>
      </c>
      <c r="X26" s="258" t="s">
        <v>302</v>
      </c>
      <c r="Y26" s="322" t="s">
        <v>15</v>
      </c>
      <c r="Z26" s="360">
        <f>1/((1/Z40)+(1/Z41))</f>
        <v>0.36694122169260618</v>
      </c>
      <c r="AA26" s="259" t="s">
        <v>302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66.155354824913829</v>
      </c>
      <c r="AL26" s="262" t="s">
        <v>23</v>
      </c>
      <c r="AM26" s="288">
        <f>0.693/AM27</f>
        <v>66.155354824913829</v>
      </c>
      <c r="AR26" s="262" t="s">
        <v>23</v>
      </c>
      <c r="AS26" s="288">
        <f>0.693/AS27</f>
        <v>66.155354824913829</v>
      </c>
      <c r="AU26" s="262" t="s">
        <v>23</v>
      </c>
      <c r="AV26" s="288">
        <f>0.693/AV27</f>
        <v>66.155354824913829</v>
      </c>
      <c r="BA26" s="262" t="s">
        <v>23</v>
      </c>
      <c r="BB26" s="288">
        <f>0.693/BB27</f>
        <v>66.155354824913829</v>
      </c>
      <c r="BD26" s="262" t="s">
        <v>23</v>
      </c>
      <c r="BE26" s="288">
        <f>0.693/BE27</f>
        <v>66.155354824913829</v>
      </c>
      <c r="BJ26" s="262" t="s">
        <v>23</v>
      </c>
      <c r="BK26" s="288">
        <f>0.693/BK27</f>
        <v>66.155354824913829</v>
      </c>
      <c r="BM26" s="262" t="s">
        <v>23</v>
      </c>
      <c r="BN26" s="288">
        <f>0.693/BN27</f>
        <v>66.155354824913829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95" t="s">
        <v>299</v>
      </c>
      <c r="CX26" s="346">
        <f>B293</f>
        <v>27.027027027027</v>
      </c>
      <c r="CY26" s="88"/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0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6.1157024614940457E-2</v>
      </c>
      <c r="HF26" s="262" t="s">
        <v>304</v>
      </c>
    </row>
    <row r="27" spans="1:214" ht="15" thickTop="1" x14ac:dyDescent="0.2">
      <c r="A27" s="262" t="s">
        <v>452</v>
      </c>
      <c r="B27" s="315">
        <v>1.5412731840000001E-9</v>
      </c>
      <c r="C27" s="262" t="s">
        <v>95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1.04753425E-2</v>
      </c>
      <c r="O27" s="249" t="s">
        <v>69</v>
      </c>
      <c r="P27" s="266" t="s">
        <v>270</v>
      </c>
      <c r="Q27" s="287">
        <f>B31</f>
        <v>1.04753425E-2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66.155354824913829</v>
      </c>
      <c r="AD27" s="288">
        <f>0.693/AD28</f>
        <v>66.155354824913829</v>
      </c>
      <c r="AE27" s="288">
        <f>0.693/AE28</f>
        <v>66.155354824913829</v>
      </c>
      <c r="AF27" s="288">
        <f>0.693/AF28</f>
        <v>66.155354824913829</v>
      </c>
      <c r="AG27" s="288">
        <f>0.693/AG28</f>
        <v>66.155354824913829</v>
      </c>
      <c r="AI27" s="266" t="s">
        <v>270</v>
      </c>
      <c r="AJ27" s="287">
        <f>B31</f>
        <v>1.04753425E-2</v>
      </c>
      <c r="AK27" s="249" t="s">
        <v>69</v>
      </c>
      <c r="AL27" s="266" t="s">
        <v>270</v>
      </c>
      <c r="AM27" s="287">
        <f>B31</f>
        <v>1.04753425E-2</v>
      </c>
      <c r="AN27" s="249" t="s">
        <v>69</v>
      </c>
      <c r="AR27" s="266" t="s">
        <v>270</v>
      </c>
      <c r="AS27" s="287">
        <f>B31</f>
        <v>1.04753425E-2</v>
      </c>
      <c r="AT27" s="249" t="s">
        <v>69</v>
      </c>
      <c r="AU27" s="266" t="s">
        <v>270</v>
      </c>
      <c r="AV27" s="287">
        <f>B31</f>
        <v>1.04753425E-2</v>
      </c>
      <c r="AW27" s="249" t="s">
        <v>69</v>
      </c>
      <c r="BA27" s="266" t="s">
        <v>270</v>
      </c>
      <c r="BB27" s="287">
        <f>B31</f>
        <v>1.04753425E-2</v>
      </c>
      <c r="BC27" s="249" t="s">
        <v>69</v>
      </c>
      <c r="BD27" s="266" t="s">
        <v>270</v>
      </c>
      <c r="BE27" s="287">
        <f>B31</f>
        <v>1.04753425E-2</v>
      </c>
      <c r="BF27" s="249" t="s">
        <v>69</v>
      </c>
      <c r="BJ27" s="266" t="s">
        <v>270</v>
      </c>
      <c r="BK27" s="287">
        <f>B31</f>
        <v>1.04753425E-2</v>
      </c>
      <c r="BL27" s="249" t="s">
        <v>69</v>
      </c>
      <c r="BM27" s="266" t="s">
        <v>270</v>
      </c>
      <c r="BN27" s="287">
        <f>B31</f>
        <v>1.04753425E-2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299</v>
      </c>
      <c r="CL27" s="289">
        <f>B293</f>
        <v>27.027027027027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0</v>
      </c>
      <c r="EP27" s="262"/>
      <c r="EQ27" s="310"/>
      <c r="ES27" s="262" t="s">
        <v>275</v>
      </c>
      <c r="ET27" s="310">
        <f>B38</f>
        <v>0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66.155354824913829</v>
      </c>
    </row>
    <row r="28" spans="1:214" ht="15.75" thickBot="1" x14ac:dyDescent="0.25">
      <c r="A28" s="262" t="s">
        <v>63</v>
      </c>
      <c r="B28" s="315">
        <v>1.6230073680000001E-12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66.155354824913829</v>
      </c>
      <c r="Y28" s="262" t="s">
        <v>23</v>
      </c>
      <c r="Z28" s="288">
        <f>0.693/Z29</f>
        <v>66.155354824913829</v>
      </c>
      <c r="AB28" s="266" t="s">
        <v>270</v>
      </c>
      <c r="AC28" s="287">
        <f>B31</f>
        <v>1.04753425E-2</v>
      </c>
      <c r="AD28" s="287">
        <f>B31</f>
        <v>1.04753425E-2</v>
      </c>
      <c r="AE28" s="287">
        <f>B31</f>
        <v>1.04753425E-2</v>
      </c>
      <c r="AF28" s="287">
        <f>B31</f>
        <v>1.04753425E-2</v>
      </c>
      <c r="AG28" s="287">
        <f>B31</f>
        <v>1.04753425E-2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2.2499999999999999E-2</v>
      </c>
      <c r="CE28" s="249" t="s">
        <v>458</v>
      </c>
      <c r="CF28" s="287">
        <f>B8</f>
        <v>4.2700000000000002E-2</v>
      </c>
      <c r="CK28" s="266" t="s">
        <v>270</v>
      </c>
      <c r="CL28" s="287">
        <f>B31</f>
        <v>1.04753425E-2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1.04753425E-2</v>
      </c>
      <c r="HF28" s="249" t="s">
        <v>69</v>
      </c>
    </row>
    <row r="29" spans="1:214" ht="18.75" thickTop="1" x14ac:dyDescent="0.2">
      <c r="A29" s="266" t="s">
        <v>161</v>
      </c>
      <c r="B29" s="315">
        <v>3.5145699120000001E-15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1.04753425E-2</v>
      </c>
      <c r="X29" s="249" t="s">
        <v>69</v>
      </c>
      <c r="Y29" s="266" t="s">
        <v>270</v>
      </c>
      <c r="Z29" s="287">
        <f>B31</f>
        <v>1.04753425E-2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95" t="s">
        <v>299</v>
      </c>
      <c r="BT29" s="313">
        <f>B293</f>
        <v>27.027027027027</v>
      </c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0.46300000000000002</v>
      </c>
      <c r="CE29" s="249" t="s">
        <v>459</v>
      </c>
      <c r="CF29" s="287">
        <f>B9</f>
        <v>0.72299999999999998</v>
      </c>
      <c r="CK29" s="249" t="s">
        <v>23</v>
      </c>
      <c r="CL29" s="288">
        <f>693/CL28</f>
        <v>66155.35482491384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0</v>
      </c>
      <c r="C30" s="267" t="s">
        <v>35</v>
      </c>
      <c r="D30" s="203" t="s">
        <v>510</v>
      </c>
      <c r="E30" s="204" t="e">
        <f>E37</f>
        <v>#DIV/0!</v>
      </c>
      <c r="F30" s="184" t="s">
        <v>303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354">
        <f>(AC26*AC27)/(1-EXP(-AC27*AC26))</f>
        <v>330.77677412456916</v>
      </c>
      <c r="AD30" s="354">
        <f>(AD26*AD27)/(1-EXP(-AD27*AD26))</f>
        <v>330.77677412456916</v>
      </c>
      <c r="AE30" s="354">
        <f>(AE26*AE27)/(1-EXP(-AE27*AE26))</f>
        <v>330.77677412456916</v>
      </c>
      <c r="AF30" s="354">
        <f>(AF26*AF27)/(1-EXP(-AF27*AF26))</f>
        <v>330.77677412456916</v>
      </c>
      <c r="AG30" s="354">
        <f>(AG26*AG27)/(1-EXP(-AG27*AG26))</f>
        <v>330.77677412456916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1720039.22544776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315">
        <v>1.04753425E-2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6.8000000000000005E-2</v>
      </c>
      <c r="CB31" s="249" t="s">
        <v>71</v>
      </c>
      <c r="CC31" s="290">
        <f>B24</f>
        <v>3.5028935999999998E-10</v>
      </c>
      <c r="CD31" s="262" t="s">
        <v>282</v>
      </c>
      <c r="CE31" s="249" t="s">
        <v>71</v>
      </c>
      <c r="CF31" s="290">
        <f>B26</f>
        <v>1.00696514688E-9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3.1999999999999999E-11</v>
      </c>
      <c r="X32" s="263" t="s">
        <v>44</v>
      </c>
      <c r="Y32" s="249" t="s">
        <v>43</v>
      </c>
      <c r="Z32" s="290">
        <f>B19</f>
        <v>3.1999999999999999E-11</v>
      </c>
      <c r="AA32" s="263" t="s">
        <v>44</v>
      </c>
      <c r="AB32" s="266" t="s">
        <v>80</v>
      </c>
      <c r="AC32" s="294" t="e">
        <f>((AC5/(AC9*AC14*AC8*AC11*(1/AC6)))*AC30)/AC38</f>
        <v>#DIV/0!</v>
      </c>
      <c r="AD32" s="294" t="e">
        <f>((AD5/(AD9*AD14*AD8*AD11*(1/AD6)))*AD30)/AD38</f>
        <v>#DIV/0!</v>
      </c>
      <c r="AE32" s="294" t="e">
        <f>((AE5/(AE9*AE14*AE8*AE11*(1/AE6)))*AE30)/AE38</f>
        <v>#DIV/0!</v>
      </c>
      <c r="AF32" s="294" t="e">
        <f>((AF5/(AF9*AF14*AF8*AF11*(1/AF6)))*AF30)/AF38</f>
        <v>#DIV/0!</v>
      </c>
      <c r="AG32" s="294" t="e">
        <f>((AG5/(AG9*AG14*AG8*AG11*(1/AG6)))*AG30)/AG38</f>
        <v>#DIV/0!</v>
      </c>
      <c r="AH32" s="266" t="s">
        <v>303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2.2499999999999999E-2</v>
      </c>
      <c r="BM32" s="249" t="s">
        <v>458</v>
      </c>
      <c r="BN32" s="287">
        <f>B8</f>
        <v>4.2700000000000002E-2</v>
      </c>
      <c r="BV32" s="95" t="s">
        <v>299</v>
      </c>
      <c r="BW32" s="289">
        <f>B293</f>
        <v>27.027027027027</v>
      </c>
      <c r="BY32" s="262" t="s">
        <v>62</v>
      </c>
      <c r="BZ32" s="305">
        <f>B4</f>
        <v>0.75600000000000001</v>
      </c>
      <c r="CB32" s="95" t="s">
        <v>299</v>
      </c>
      <c r="CC32" s="289">
        <f>B293</f>
        <v>27.027027027027</v>
      </c>
      <c r="CE32" s="95" t="s">
        <v>299</v>
      </c>
      <c r="CF32" s="289">
        <f>B293</f>
        <v>27.027027027027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((AC5/(AC21*AC17*AC8*AC11*(1/AC35)*((8/1)/(24/1))*AC31))*AC30)/AC38</f>
        <v>103119821.00905246</v>
      </c>
      <c r="AD33" s="295">
        <f>((AD5/(AD21*AD17*AD8*((8/1)/(24/1))*AD11*(1/AD35)*AD31))*AD30)/AD38</f>
        <v>103119821.00905243</v>
      </c>
      <c r="AE33" s="295">
        <f>((AE5/(AE21*AE17*AE8*((8/1)/(24/1))*AE11*(1/AE35)*AE31))*AE30)/AE38</f>
        <v>103119821.00905243</v>
      </c>
      <c r="AF33" s="295">
        <f>((AF5/(AF21*AF17*AF8*AF11*(1/AF36)*(AF23/24)*AF31))*AF30)/AF38</f>
        <v>93906.336474155614</v>
      </c>
      <c r="AG33" s="295">
        <f>((AG5/(AG21*AG17*AG8*AG11*(1/AG37)*(AG23/24)*AG31))*AG30)/AG38</f>
        <v>4376314.0256904699</v>
      </c>
      <c r="AH33" s="88" t="s">
        <v>303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0.46300000000000002</v>
      </c>
      <c r="BM33" s="249" t="s">
        <v>459</v>
      </c>
      <c r="BN33" s="287">
        <f>B9</f>
        <v>0.72299999999999998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0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3.5028935999999998E-10</v>
      </c>
      <c r="O34" s="263" t="s">
        <v>447</v>
      </c>
      <c r="P34" s="249" t="s">
        <v>451</v>
      </c>
      <c r="Q34" s="290">
        <f>B26</f>
        <v>1.00696514688E-9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((AC5/(AC20*(AC8/365)*AC11*((AC23+AC24)/24)*AC16*AC19))*AC30)/AC38</f>
        <v>46053.691363527549</v>
      </c>
      <c r="AD34" s="296">
        <f>((AD5/(AD20*(AD8/365)*AD11*(AD24/24)*AD18*AD19))*AD30)/AD38</f>
        <v>115134.22840881886</v>
      </c>
      <c r="AE34" s="296">
        <f>((AE5/(AE20*(AE8/365)*AE11*(AE23/24)*AE16*AE19))*AE30)/AE38</f>
        <v>46053.691363527549</v>
      </c>
      <c r="AF34" s="296">
        <f>((AF5/(AF20*(AF8/365)*AF11*(AF23/24)*AF16*AF19))*AF30)/AF38</f>
        <v>895846.78189245926</v>
      </c>
      <c r="AG34" s="296">
        <f>((AG5/(AG20*(AG8/365)*AG11*(AG23/24)*AG16*AG19))*AG30)/AG38</f>
        <v>895846.78189245926</v>
      </c>
      <c r="AH34" s="266" t="s">
        <v>303</v>
      </c>
      <c r="AI34" s="262" t="s">
        <v>450</v>
      </c>
      <c r="AJ34" s="290">
        <f>B24</f>
        <v>3.5028935999999998E-10</v>
      </c>
      <c r="AK34" s="262" t="s">
        <v>282</v>
      </c>
      <c r="AL34" s="262" t="s">
        <v>451</v>
      </c>
      <c r="AM34" s="290">
        <f>B26</f>
        <v>1.00696514688E-9</v>
      </c>
      <c r="AN34" s="263" t="s">
        <v>72</v>
      </c>
      <c r="AR34" s="262" t="s">
        <v>450</v>
      </c>
      <c r="AS34" s="290">
        <f>B24</f>
        <v>3.5028935999999998E-10</v>
      </c>
      <c r="AT34" s="262" t="s">
        <v>282</v>
      </c>
      <c r="AU34" s="262" t="s">
        <v>451</v>
      </c>
      <c r="AV34" s="290">
        <f>B26</f>
        <v>1.00696514688E-9</v>
      </c>
      <c r="AW34" s="263" t="s">
        <v>72</v>
      </c>
      <c r="BA34" s="262" t="s">
        <v>450</v>
      </c>
      <c r="BB34" s="290">
        <f>B24</f>
        <v>3.5028935999999998E-10</v>
      </c>
      <c r="BC34" s="262" t="s">
        <v>282</v>
      </c>
      <c r="BD34" s="262" t="s">
        <v>451</v>
      </c>
      <c r="BE34" s="290">
        <f>B26</f>
        <v>1.00696514688E-9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0</v>
      </c>
      <c r="HF34" s="249" t="s">
        <v>19</v>
      </c>
    </row>
    <row r="35" spans="1:214" ht="12.75" customHeight="1" x14ac:dyDescent="0.2">
      <c r="A35" s="266" t="s">
        <v>270</v>
      </c>
      <c r="B35" s="315">
        <v>3.82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3.5028935999999998E-10</v>
      </c>
      <c r="BL35" s="262" t="s">
        <v>282</v>
      </c>
      <c r="BM35" s="262" t="s">
        <v>451</v>
      </c>
      <c r="BN35" s="290">
        <f>B26</f>
        <v>1.00696514688E-9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x14ac:dyDescent="0.2">
      <c r="A36" s="262" t="s">
        <v>122</v>
      </c>
      <c r="B36" s="314">
        <v>0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95" t="s">
        <v>299</v>
      </c>
      <c r="N36" s="361">
        <f>B293</f>
        <v>27.027027027027</v>
      </c>
      <c r="O36" s="281"/>
      <c r="P36" s="95" t="s">
        <v>299</v>
      </c>
      <c r="Q36" s="361">
        <f>B293</f>
        <v>27.027027027027</v>
      </c>
      <c r="R36" s="281"/>
      <c r="V36" s="262" t="s">
        <v>63</v>
      </c>
      <c r="W36" s="287">
        <f>B28</f>
        <v>1.6230073680000001E-12</v>
      </c>
      <c r="X36" s="262" t="s">
        <v>64</v>
      </c>
      <c r="Y36" s="262" t="s">
        <v>63</v>
      </c>
      <c r="Z36" s="287">
        <f>B28</f>
        <v>1.6230073680000001E-12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299</v>
      </c>
      <c r="AJ36" s="289">
        <f>B293</f>
        <v>27.027027027027</v>
      </c>
      <c r="AL36" s="95" t="s">
        <v>299</v>
      </c>
      <c r="AM36" s="289">
        <f>B293</f>
        <v>27.027027027027</v>
      </c>
      <c r="AR36" s="95" t="s">
        <v>299</v>
      </c>
      <c r="AS36" s="289">
        <f>B293</f>
        <v>27.027027027027</v>
      </c>
      <c r="AU36" s="95" t="s">
        <v>299</v>
      </c>
      <c r="AV36" s="289">
        <f>B293</f>
        <v>27.027027027027</v>
      </c>
      <c r="BA36" s="95" t="s">
        <v>299</v>
      </c>
      <c r="BB36" s="289">
        <f>B293</f>
        <v>27.027027027027</v>
      </c>
      <c r="BD36" s="95" t="s">
        <v>299</v>
      </c>
      <c r="BE36" s="289">
        <f>B293</f>
        <v>27.027027027027</v>
      </c>
      <c r="BJ36" s="95" t="s">
        <v>299</v>
      </c>
      <c r="BK36" s="289">
        <f>B293</f>
        <v>27.027027027027</v>
      </c>
      <c r="BM36" s="95" t="s">
        <v>299</v>
      </c>
      <c r="BN36" s="289">
        <f>B293</f>
        <v>27.027027027027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ht="12.75" customHeight="1" x14ac:dyDescent="0.2">
      <c r="A37" s="262" t="s">
        <v>278</v>
      </c>
      <c r="B37" s="315">
        <v>0</v>
      </c>
      <c r="C37" s="263" t="s">
        <v>298</v>
      </c>
      <c r="D37" s="262" t="s">
        <v>80</v>
      </c>
      <c r="E37" s="300" t="e">
        <f>(E32/(E34*E33*E35*E36))/E38</f>
        <v>#DIV/0!</v>
      </c>
      <c r="F37" s="263" t="s">
        <v>303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BY37" s="95" t="s">
        <v>299</v>
      </c>
      <c r="BZ37" s="345">
        <f>B293</f>
        <v>27.027027027027</v>
      </c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0</v>
      </c>
      <c r="C38" s="263" t="s">
        <v>298</v>
      </c>
      <c r="D38" s="95" t="s">
        <v>299</v>
      </c>
      <c r="E38" s="289">
        <f>B293</f>
        <v>27.027027027027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((W27)/((W33/W34)*W30*W31*W32*W35))/W42</f>
        <v>0.36694214876033093</v>
      </c>
      <c r="X38" s="88" t="s">
        <v>15</v>
      </c>
      <c r="Y38" s="88" t="s">
        <v>74</v>
      </c>
      <c r="Z38" s="294">
        <f>((Z27*Z31*Z28)/((1-EXP(-Z28))*Z31*Z32*Z30*Z44*(Z33/Z34)*Z35))/Z46</f>
        <v>24.275188051456002</v>
      </c>
      <c r="AA38" s="88" t="s">
        <v>16</v>
      </c>
      <c r="AB38" s="95" t="s">
        <v>299</v>
      </c>
      <c r="AC38" s="345">
        <f>B293</f>
        <v>27.027027027027</v>
      </c>
      <c r="AD38" s="345">
        <f>B293</f>
        <v>27.027027027027</v>
      </c>
      <c r="AE38" s="345">
        <f>B293</f>
        <v>27.027027027027</v>
      </c>
      <c r="AF38" s="345">
        <f>B293</f>
        <v>27.027027027027</v>
      </c>
      <c r="AG38" s="345">
        <f>B293</f>
        <v>27.027027027027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x14ac:dyDescent="0.2">
      <c r="A39" s="262" t="s">
        <v>276</v>
      </c>
      <c r="B39" s="315">
        <v>0</v>
      </c>
      <c r="C39" s="263" t="s">
        <v>298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((W27)/((W33/W34)*W30*W31*W36*(1/365)))/W42</f>
        <v>145238.79620713869</v>
      </c>
      <c r="X39" s="88" t="s">
        <v>15</v>
      </c>
      <c r="Y39" s="88" t="s">
        <v>78</v>
      </c>
      <c r="Z39" s="296">
        <f>((Z27*Z31*Z28)/((1-EXP(-Z28*Z31))*Z36*Z30*Z44*(Z33/Z34)*Z37*(Z44/Z45)))/Z46</f>
        <v>9608324.0974266082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((W27*W28*W31)/((W33/W34)*(1-EXP(-W28*W31))*W32*W35*W30*W31))/W42</f>
        <v>121.37594025728004</v>
      </c>
      <c r="X40" s="88" t="s">
        <v>16</v>
      </c>
      <c r="Y40" s="88" t="s">
        <v>74</v>
      </c>
      <c r="Z40" s="294">
        <f>(Z27/((Z32*Z30*Z44*(Z33/Z34)*Z35)))/Z46</f>
        <v>0.36694214876033099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((W27*W28*W31)/((W33/W34)*(1-EXP(-W28*W31))*W36*W30*W31*(1/365)))/W42</f>
        <v>48041620.487133048</v>
      </c>
      <c r="X41" s="88" t="s">
        <v>16</v>
      </c>
      <c r="Y41" s="88" t="s">
        <v>78</v>
      </c>
      <c r="Z41" s="296">
        <f>(Z27/(Z36*Z30*(1/Z45)*Z44*(Z33/Z34)*Z37))/Z46</f>
        <v>145238.79620713869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0</v>
      </c>
      <c r="C42" s="263" t="s">
        <v>298</v>
      </c>
      <c r="D42" s="203" t="s">
        <v>510</v>
      </c>
      <c r="E42" s="204" t="e">
        <f>E52</f>
        <v>#DIV/0!</v>
      </c>
      <c r="F42" s="184" t="s">
        <v>304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299</v>
      </c>
      <c r="W42" s="289">
        <f>B293</f>
        <v>27.027027027027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6.8000000000000005E-2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0.75600000000000001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0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6.8000000000000005E-2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0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0.75600000000000001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0</v>
      </c>
      <c r="C46" s="249" t="s">
        <v>19</v>
      </c>
      <c r="D46" s="262" t="s">
        <v>438</v>
      </c>
      <c r="E46" s="287">
        <f>B30</f>
        <v>0</v>
      </c>
      <c r="F46" s="262" t="s">
        <v>289</v>
      </c>
      <c r="G46" s="249" t="s">
        <v>20</v>
      </c>
      <c r="H46" s="287">
        <f>H48</f>
        <v>0</v>
      </c>
      <c r="I46" s="263"/>
      <c r="J46" s="269" t="s">
        <v>107</v>
      </c>
      <c r="K46" s="292">
        <f>K34</f>
        <v>20</v>
      </c>
      <c r="L46" s="269" t="s">
        <v>69</v>
      </c>
      <c r="Y46" s="95" t="s">
        <v>299</v>
      </c>
      <c r="Z46" s="289">
        <f>B293</f>
        <v>27.027027027027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0</v>
      </c>
      <c r="C47" s="262" t="s">
        <v>581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0</v>
      </c>
      <c r="K48" s="289">
        <v>1000</v>
      </c>
      <c r="L48" s="249" t="s">
        <v>115</v>
      </c>
      <c r="CT48" s="95" t="s">
        <v>299</v>
      </c>
      <c r="CU48" s="289">
        <f>B293</f>
        <v>27.027027027027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249" customFormat="1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262"/>
      <c r="BZ49" s="293"/>
      <c r="CC49" s="289"/>
      <c r="CF49" s="289"/>
      <c r="CI49" s="289"/>
      <c r="CL49" s="289"/>
      <c r="CO49" s="289"/>
      <c r="CR49" s="289"/>
      <c r="CU49" s="289"/>
      <c r="CX49" s="289"/>
      <c r="DA49" s="292">
        <v>1000</v>
      </c>
      <c r="DB49" s="267" t="s">
        <v>115</v>
      </c>
      <c r="DD49" s="289"/>
      <c r="DG49" s="289"/>
      <c r="DJ49" s="289"/>
      <c r="DM49" s="289"/>
      <c r="DP49" s="289"/>
      <c r="DS49" s="289"/>
      <c r="DV49" s="289"/>
      <c r="DW49" s="264"/>
      <c r="DX49" s="264"/>
      <c r="DY49" s="328"/>
      <c r="DZ49" s="264"/>
    </row>
    <row r="50" spans="1:130" s="249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0</v>
      </c>
      <c r="F50" s="263" t="s">
        <v>19</v>
      </c>
      <c r="G50" s="249" t="s">
        <v>18</v>
      </c>
      <c r="H50" s="288">
        <f>(H53*H54*H48*((1-EXP(-H55*H56))))/(H57*H55)</f>
        <v>0</v>
      </c>
      <c r="I50" s="249" t="s">
        <v>19</v>
      </c>
      <c r="J50" s="249" t="s">
        <v>20</v>
      </c>
      <c r="K50" s="287">
        <f>K52</f>
        <v>0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263"/>
      <c r="BZ50" s="307"/>
      <c r="CC50" s="289"/>
      <c r="CF50" s="289"/>
      <c r="CI50" s="289"/>
      <c r="CL50" s="289"/>
      <c r="CO50" s="289"/>
      <c r="CR50" s="289"/>
      <c r="CT50" s="263"/>
      <c r="CU50" s="307"/>
      <c r="CX50" s="289"/>
      <c r="CZ50" s="95" t="s">
        <v>299</v>
      </c>
      <c r="DA50" s="289">
        <f>B293</f>
        <v>27.027027027027</v>
      </c>
      <c r="DD50" s="289"/>
      <c r="DG50" s="289"/>
      <c r="DJ50" s="289"/>
      <c r="DM50" s="289"/>
      <c r="DP50" s="289"/>
      <c r="DS50" s="289"/>
      <c r="DV50" s="289"/>
      <c r="DW50" s="264"/>
      <c r="DX50" s="264"/>
      <c r="DY50" s="328"/>
      <c r="DZ50" s="264"/>
    </row>
    <row r="51" spans="1:130" s="249" customFormat="1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5.4035127681958941E-3</v>
      </c>
      <c r="I51" s="249" t="s">
        <v>19</v>
      </c>
      <c r="J51" s="262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262"/>
      <c r="BZ51" s="293"/>
      <c r="CC51" s="289"/>
      <c r="CF51" s="289"/>
      <c r="CI51" s="289"/>
      <c r="CL51" s="289"/>
      <c r="CO51" s="289"/>
      <c r="CR51" s="289"/>
      <c r="CT51" s="262"/>
      <c r="CU51" s="293"/>
      <c r="CX51" s="289"/>
      <c r="CZ51" s="267"/>
      <c r="DA51" s="289"/>
      <c r="DD51" s="289"/>
      <c r="DG51" s="289"/>
      <c r="DJ51" s="289"/>
      <c r="DM51" s="289"/>
      <c r="DP51" s="289"/>
      <c r="DS51" s="289"/>
      <c r="DV51" s="289"/>
      <c r="DW51" s="264"/>
      <c r="DX51" s="264"/>
      <c r="DY51" s="328"/>
      <c r="DZ51" s="264"/>
    </row>
    <row r="52" spans="1:130" s="249" customFormat="1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 t="e">
        <f>(E44/(E46*E45*E47*E48*E50*E51*(1/E49)))/E53</f>
        <v>#DIV/0!</v>
      </c>
      <c r="F52" s="249" t="s">
        <v>304</v>
      </c>
      <c r="G52" s="249" t="s">
        <v>36</v>
      </c>
      <c r="H52" s="288">
        <f>(H53*H54*H58*H64*((1-EXP(-H59*H60))))/(H61*H59)</f>
        <v>0.82303427313698274</v>
      </c>
      <c r="I52" s="249" t="s">
        <v>19</v>
      </c>
      <c r="J52" s="263" t="s">
        <v>37</v>
      </c>
      <c r="K52" s="290">
        <f>B44</f>
        <v>0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267"/>
      <c r="DA52" s="289"/>
      <c r="DD52" s="289"/>
      <c r="DG52" s="289"/>
      <c r="DJ52" s="289"/>
      <c r="DM52" s="289"/>
      <c r="DP52" s="289"/>
      <c r="DS52" s="289"/>
      <c r="DV52" s="289"/>
      <c r="DW52" s="264"/>
      <c r="DX52" s="264"/>
      <c r="DY52" s="328"/>
      <c r="DZ52" s="264"/>
    </row>
    <row r="53" spans="1:130" s="249" customFormat="1" x14ac:dyDescent="0.2">
      <c r="A53" s="262" t="s">
        <v>320</v>
      </c>
      <c r="B53" s="283">
        <v>55</v>
      </c>
      <c r="C53" s="263" t="s">
        <v>54</v>
      </c>
      <c r="D53" s="95" t="s">
        <v>299</v>
      </c>
      <c r="E53" s="289">
        <f>B293</f>
        <v>27.027027027027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262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267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249" customFormat="1" x14ac:dyDescent="0.2">
      <c r="A54" s="262" t="s">
        <v>321</v>
      </c>
      <c r="B54" s="283">
        <v>55</v>
      </c>
      <c r="C54" s="263" t="s">
        <v>54</v>
      </c>
      <c r="E54" s="289"/>
      <c r="G54" s="262" t="s">
        <v>46</v>
      </c>
      <c r="H54" s="287">
        <f>B86</f>
        <v>0.25</v>
      </c>
      <c r="I54" s="249" t="s">
        <v>47</v>
      </c>
      <c r="J54" s="95" t="s">
        <v>299</v>
      </c>
      <c r="K54" s="289">
        <f>B293</f>
        <v>27.027027027027</v>
      </c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262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267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249" customFormat="1" x14ac:dyDescent="0.2">
      <c r="A55" s="262" t="s">
        <v>322</v>
      </c>
      <c r="B55" s="283">
        <v>5</v>
      </c>
      <c r="C55" s="262" t="s">
        <v>30</v>
      </c>
      <c r="E55" s="289"/>
      <c r="G55" s="267" t="s">
        <v>55</v>
      </c>
      <c r="H55" s="303">
        <f>H62+H63</f>
        <v>0.18144061256544503</v>
      </c>
      <c r="K55" s="289"/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267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267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249" customFormat="1" x14ac:dyDescent="0.2">
      <c r="A56" s="262" t="s">
        <v>323</v>
      </c>
      <c r="B56" s="283">
        <v>5</v>
      </c>
      <c r="C56" s="262" t="s">
        <v>30</v>
      </c>
      <c r="E56" s="289"/>
      <c r="G56" s="267" t="s">
        <v>60</v>
      </c>
      <c r="H56" s="289">
        <f>B87</f>
        <v>10950</v>
      </c>
      <c r="I56" s="249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267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267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249" customFormat="1" x14ac:dyDescent="0.2">
      <c r="A57" s="262" t="s">
        <v>337</v>
      </c>
      <c r="B57" s="283">
        <v>55</v>
      </c>
      <c r="C57" s="249" t="s">
        <v>54</v>
      </c>
      <c r="E57" s="289"/>
      <c r="G57" s="267" t="s">
        <v>65</v>
      </c>
      <c r="H57" s="289">
        <f>B88</f>
        <v>240</v>
      </c>
      <c r="I57" s="249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267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267"/>
      <c r="DA57" s="293"/>
      <c r="DB57" s="262"/>
      <c r="DD57" s="289"/>
      <c r="DG57" s="289"/>
      <c r="DJ57" s="289"/>
      <c r="DM57" s="289"/>
      <c r="DP57" s="289"/>
      <c r="DS57" s="289"/>
      <c r="DV57" s="289"/>
      <c r="DY57" s="289"/>
    </row>
    <row r="58" spans="1:130" s="249" customFormat="1" x14ac:dyDescent="0.2">
      <c r="A58" s="249" t="s">
        <v>357</v>
      </c>
      <c r="B58" s="283">
        <v>55</v>
      </c>
      <c r="C58" s="249" t="s">
        <v>54</v>
      </c>
      <c r="E58" s="289"/>
      <c r="G58" s="267" t="s">
        <v>76</v>
      </c>
      <c r="H58" s="289">
        <f>B89</f>
        <v>0.42</v>
      </c>
      <c r="I58" s="249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267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267"/>
      <c r="DA58" s="293"/>
      <c r="DB58" s="262"/>
      <c r="DD58" s="289"/>
      <c r="DG58" s="289"/>
      <c r="DJ58" s="289"/>
      <c r="DM58" s="289"/>
      <c r="DP58" s="289"/>
      <c r="DS58" s="289"/>
      <c r="DV58" s="289"/>
      <c r="DY58" s="289"/>
    </row>
    <row r="59" spans="1:130" s="249" customFormat="1" x14ac:dyDescent="0.2">
      <c r="A59" s="249" t="s">
        <v>336</v>
      </c>
      <c r="B59" s="283">
        <v>55</v>
      </c>
      <c r="C59" s="249" t="s">
        <v>54</v>
      </c>
      <c r="E59" s="289"/>
      <c r="G59" s="267" t="s">
        <v>81</v>
      </c>
      <c r="H59" s="299">
        <f>H63+(0.693/H65)</f>
        <v>0.23091361256544501</v>
      </c>
      <c r="I59" s="262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267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267"/>
      <c r="DA59" s="293"/>
      <c r="DB59" s="262"/>
      <c r="DD59" s="289"/>
      <c r="DG59" s="289"/>
      <c r="DJ59" s="289"/>
      <c r="DM59" s="289"/>
      <c r="DP59" s="289"/>
      <c r="DS59" s="289"/>
      <c r="DV59" s="289"/>
      <c r="DY59" s="289"/>
    </row>
    <row r="60" spans="1:130" s="249" customFormat="1" x14ac:dyDescent="0.2">
      <c r="A60" s="262" t="s">
        <v>332</v>
      </c>
      <c r="B60" s="283">
        <v>55</v>
      </c>
      <c r="C60" s="267" t="s">
        <v>254</v>
      </c>
      <c r="E60" s="289"/>
      <c r="G60" s="267" t="s">
        <v>85</v>
      </c>
      <c r="H60" s="293">
        <f>B90</f>
        <v>60</v>
      </c>
      <c r="I60" s="262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267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267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249" customFormat="1" x14ac:dyDescent="0.2">
      <c r="A61" s="262" t="s">
        <v>333</v>
      </c>
      <c r="B61" s="283">
        <v>55</v>
      </c>
      <c r="C61" s="267" t="s">
        <v>254</v>
      </c>
      <c r="E61" s="289"/>
      <c r="G61" s="267" t="s">
        <v>87</v>
      </c>
      <c r="H61" s="293">
        <f>B91</f>
        <v>2</v>
      </c>
      <c r="I61" s="262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267"/>
      <c r="BW61" s="293"/>
      <c r="BX61" s="262"/>
      <c r="BZ61" s="289"/>
      <c r="CC61" s="289"/>
      <c r="CF61" s="289"/>
      <c r="CI61" s="289"/>
      <c r="CL61" s="289"/>
      <c r="CO61" s="289"/>
      <c r="CR61" s="289"/>
      <c r="CU61" s="289"/>
      <c r="CX61" s="289"/>
      <c r="CZ61" s="267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249" customFormat="1" x14ac:dyDescent="0.2">
      <c r="A62" s="262" t="s">
        <v>334</v>
      </c>
      <c r="B62" s="283">
        <v>55</v>
      </c>
      <c r="C62" s="267" t="s">
        <v>254</v>
      </c>
      <c r="E62" s="289"/>
      <c r="G62" s="267" t="s">
        <v>89</v>
      </c>
      <c r="H62" s="289">
        <f>B92</f>
        <v>2.6999999999999999E-5</v>
      </c>
      <c r="I62" s="249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267"/>
      <c r="BW62" s="293"/>
      <c r="BX62" s="262"/>
      <c r="BZ62" s="289"/>
      <c r="CC62" s="289"/>
      <c r="CF62" s="289"/>
      <c r="CI62" s="289"/>
      <c r="CL62" s="289"/>
      <c r="CO62" s="289"/>
      <c r="CR62" s="289"/>
      <c r="CU62" s="289"/>
      <c r="CX62" s="289"/>
      <c r="CZ62" s="267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249" customFormat="1" x14ac:dyDescent="0.2">
      <c r="A63" s="262" t="s">
        <v>335</v>
      </c>
      <c r="B63" s="283">
        <v>55</v>
      </c>
      <c r="C63" s="267" t="s">
        <v>254</v>
      </c>
      <c r="E63" s="289"/>
      <c r="G63" s="267" t="s">
        <v>90</v>
      </c>
      <c r="H63" s="288">
        <f>0.693/H67</f>
        <v>0.18141361256544503</v>
      </c>
      <c r="I63" s="249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267"/>
      <c r="BW63" s="293"/>
      <c r="BX63" s="262"/>
      <c r="BZ63" s="289"/>
      <c r="CC63" s="289"/>
      <c r="CF63" s="289"/>
      <c r="CI63" s="289"/>
      <c r="CL63" s="289"/>
      <c r="CO63" s="289"/>
      <c r="CR63" s="289"/>
      <c r="CU63" s="289"/>
      <c r="CX63" s="289"/>
      <c r="CZ63" s="267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249" customFormat="1" x14ac:dyDescent="0.2">
      <c r="A64" s="262" t="s">
        <v>343</v>
      </c>
      <c r="B64" s="283">
        <v>5</v>
      </c>
      <c r="C64" s="264" t="s">
        <v>69</v>
      </c>
      <c r="E64" s="289"/>
      <c r="G64" s="267" t="s">
        <v>91</v>
      </c>
      <c r="H64" s="289">
        <f>B93</f>
        <v>1</v>
      </c>
      <c r="I64" s="249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275"/>
      <c r="AJ64" s="353"/>
      <c r="AK64" s="275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267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249" customFormat="1" x14ac:dyDescent="0.2">
      <c r="A65" s="262" t="s">
        <v>342</v>
      </c>
      <c r="B65" s="283">
        <v>15</v>
      </c>
      <c r="C65" s="264" t="s">
        <v>69</v>
      </c>
      <c r="E65" s="289"/>
      <c r="G65" s="267" t="s">
        <v>92</v>
      </c>
      <c r="H65" s="289">
        <f>B94</f>
        <v>14</v>
      </c>
      <c r="I65" s="249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275"/>
      <c r="AJ65" s="353"/>
      <c r="AK65" s="275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267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249" customFormat="1" x14ac:dyDescent="0.2">
      <c r="A66" s="262" t="s">
        <v>341</v>
      </c>
      <c r="B66" s="283">
        <v>20</v>
      </c>
      <c r="C66" s="264" t="s">
        <v>69</v>
      </c>
      <c r="E66" s="289"/>
      <c r="G66" s="249" t="s">
        <v>38</v>
      </c>
      <c r="H66" s="287">
        <f>B45</f>
        <v>0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275"/>
      <c r="AJ66" s="353"/>
      <c r="AK66" s="275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267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262"/>
      <c r="DA66" s="287"/>
    </row>
    <row r="67" spans="1:105" s="249" customFormat="1" x14ac:dyDescent="0.2">
      <c r="A67" s="262" t="s">
        <v>340</v>
      </c>
      <c r="B67" s="283">
        <v>55</v>
      </c>
      <c r="C67" s="264" t="s">
        <v>26</v>
      </c>
      <c r="E67" s="289"/>
      <c r="G67" s="262" t="s">
        <v>273</v>
      </c>
      <c r="H67" s="287">
        <f>B35</f>
        <v>3.82</v>
      </c>
      <c r="I67" s="249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275"/>
      <c r="AJ67" s="353"/>
      <c r="AK67" s="275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267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249" customFormat="1" x14ac:dyDescent="0.2">
      <c r="A68" s="262" t="s">
        <v>339</v>
      </c>
      <c r="B68" s="283">
        <v>55</v>
      </c>
      <c r="C68" s="264" t="s">
        <v>26</v>
      </c>
      <c r="E68" s="289"/>
      <c r="G68" s="95" t="s">
        <v>299</v>
      </c>
      <c r="H68" s="345">
        <f>B293</f>
        <v>27.027027027027</v>
      </c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275"/>
      <c r="AJ68" s="353"/>
      <c r="AK68" s="275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249" customFormat="1" x14ac:dyDescent="0.2">
      <c r="A69" s="262" t="s">
        <v>338</v>
      </c>
      <c r="B69" s="283">
        <v>55</v>
      </c>
      <c r="C69" s="264" t="s">
        <v>26</v>
      </c>
      <c r="E69" s="289"/>
      <c r="H69" s="289"/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275"/>
      <c r="AJ69" s="353"/>
      <c r="AK69" s="275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262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249" customFormat="1" x14ac:dyDescent="0.2">
      <c r="A70" s="249" t="s">
        <v>344</v>
      </c>
      <c r="B70" s="284">
        <v>2</v>
      </c>
      <c r="C70" s="92" t="s">
        <v>104</v>
      </c>
      <c r="E70" s="289"/>
      <c r="H70" s="289"/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275"/>
      <c r="AJ70" s="353"/>
      <c r="AK70" s="275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262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249" customFormat="1" x14ac:dyDescent="0.2">
      <c r="A71" s="249" t="s">
        <v>345</v>
      </c>
      <c r="B71" s="284">
        <v>2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275"/>
      <c r="AJ71" s="353"/>
      <c r="AK71" s="275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262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249" customFormat="1" x14ac:dyDescent="0.2">
      <c r="A72" s="262" t="s">
        <v>347</v>
      </c>
      <c r="B72" s="283">
        <v>15</v>
      </c>
      <c r="C72" s="264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275"/>
      <c r="AI72" s="275"/>
      <c r="AJ72" s="353"/>
      <c r="AK72" s="275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249" customFormat="1" x14ac:dyDescent="0.2">
      <c r="A73" s="262" t="s">
        <v>348</v>
      </c>
      <c r="B73" s="283">
        <v>15</v>
      </c>
      <c r="C73" s="264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275"/>
      <c r="AI73" s="275"/>
      <c r="AJ73" s="353"/>
      <c r="AK73" s="275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249" customFormat="1" x14ac:dyDescent="0.2">
      <c r="A74" s="262" t="s">
        <v>346</v>
      </c>
      <c r="B74" s="283">
        <v>15</v>
      </c>
      <c r="C74" s="264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275"/>
      <c r="AI74" s="275"/>
      <c r="AJ74" s="353"/>
      <c r="AK74" s="275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249" customFormat="1" x14ac:dyDescent="0.2">
      <c r="A75" s="249" t="s">
        <v>349</v>
      </c>
      <c r="B75" s="284">
        <v>2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275"/>
      <c r="AI75" s="275"/>
      <c r="AJ75" s="353"/>
      <c r="AK75" s="275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249" customFormat="1" x14ac:dyDescent="0.2">
      <c r="A76" s="249" t="s">
        <v>350</v>
      </c>
      <c r="B76" s="284">
        <v>2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275"/>
      <c r="AI76" s="275"/>
      <c r="AJ76" s="353"/>
      <c r="AK76" s="275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249" customFormat="1" x14ac:dyDescent="0.2">
      <c r="A77" s="262" t="s">
        <v>103</v>
      </c>
      <c r="B77" s="283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275"/>
      <c r="AI77" s="275"/>
      <c r="AJ77" s="353"/>
      <c r="AK77" s="275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249" customFormat="1" x14ac:dyDescent="0.2">
      <c r="A78" s="249" t="s">
        <v>353</v>
      </c>
      <c r="B78" s="284">
        <v>1</v>
      </c>
      <c r="C78" s="247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249" customFormat="1" x14ac:dyDescent="0.2">
      <c r="A79" s="249" t="s">
        <v>158</v>
      </c>
      <c r="B79" s="284">
        <v>0.4</v>
      </c>
      <c r="C79" s="247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275"/>
      <c r="AI79" s="275"/>
      <c r="AJ79" s="353"/>
      <c r="AK79" s="275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249" customFormat="1" x14ac:dyDescent="0.2">
      <c r="A80" s="249" t="s">
        <v>159</v>
      </c>
      <c r="B80" s="282">
        <f>B3</f>
        <v>6.8000000000000005E-2</v>
      </c>
      <c r="C80" s="247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275"/>
      <c r="AI80" s="275"/>
      <c r="AJ80" s="353"/>
      <c r="AK80" s="275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249" customFormat="1" x14ac:dyDescent="0.2">
      <c r="A81" s="249" t="s">
        <v>62</v>
      </c>
      <c r="B81" s="282">
        <f>B4</f>
        <v>0.75600000000000001</v>
      </c>
      <c r="C81" s="247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249" customFormat="1" x14ac:dyDescent="0.2">
      <c r="A82" s="262" t="s">
        <v>124</v>
      </c>
      <c r="B82" s="284">
        <v>1</v>
      </c>
      <c r="C82" s="263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249" customFormat="1" x14ac:dyDescent="0.2">
      <c r="A83" s="249" t="s">
        <v>83</v>
      </c>
      <c r="B83" s="284">
        <v>0.5</v>
      </c>
      <c r="C83" s="249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249" customFormat="1" x14ac:dyDescent="0.2">
      <c r="A84" s="249" t="s">
        <v>355</v>
      </c>
      <c r="B84" s="284">
        <v>0.25</v>
      </c>
      <c r="C84" s="24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249" customFormat="1" x14ac:dyDescent="0.2">
      <c r="A85" s="262" t="s">
        <v>41</v>
      </c>
      <c r="B85" s="284">
        <v>3.62</v>
      </c>
      <c r="C85" s="249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249" customFormat="1" x14ac:dyDescent="0.2">
      <c r="A86" s="262" t="s">
        <v>46</v>
      </c>
      <c r="B86" s="284">
        <v>0.25</v>
      </c>
      <c r="C86" s="249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249" customFormat="1" x14ac:dyDescent="0.2">
      <c r="A87" s="267" t="s">
        <v>60</v>
      </c>
      <c r="B87" s="284">
        <v>10950</v>
      </c>
      <c r="C87" s="249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249" customFormat="1" x14ac:dyDescent="0.2">
      <c r="A88" s="267" t="s">
        <v>65</v>
      </c>
      <c r="B88" s="284">
        <v>240</v>
      </c>
      <c r="C88" s="249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249" customFormat="1" x14ac:dyDescent="0.2">
      <c r="A89" s="267" t="s">
        <v>76</v>
      </c>
      <c r="B89" s="284">
        <v>0.42</v>
      </c>
      <c r="C89" s="24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249" customFormat="1" x14ac:dyDescent="0.2">
      <c r="A90" s="267" t="s">
        <v>85</v>
      </c>
      <c r="B90" s="284">
        <v>60</v>
      </c>
      <c r="C90" s="262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249" customFormat="1" x14ac:dyDescent="0.2">
      <c r="A91" s="267" t="s">
        <v>87</v>
      </c>
      <c r="B91" s="284">
        <v>2</v>
      </c>
      <c r="C91" s="262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249" customFormat="1" x14ac:dyDescent="0.2">
      <c r="A92" s="267" t="s">
        <v>89</v>
      </c>
      <c r="B92" s="284">
        <v>2.6999999999999999E-5</v>
      </c>
      <c r="C92" s="249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249" customFormat="1" x14ac:dyDescent="0.2">
      <c r="A93" s="267" t="s">
        <v>91</v>
      </c>
      <c r="B93" s="284">
        <v>1</v>
      </c>
      <c r="C93" s="249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249" customFormat="1" x14ac:dyDescent="0.2">
      <c r="A94" s="267" t="s">
        <v>92</v>
      </c>
      <c r="B94" s="284">
        <v>14</v>
      </c>
      <c r="C94" s="249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249" customFormat="1" x14ac:dyDescent="0.2">
      <c r="A95" s="262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249" customFormat="1" x14ac:dyDescent="0.2">
      <c r="A96" s="262" t="s">
        <v>351</v>
      </c>
      <c r="B96" s="283">
        <v>1.752</v>
      </c>
      <c r="C96" s="264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249" customFormat="1" x14ac:dyDescent="0.2">
      <c r="A97" s="262" t="s">
        <v>352</v>
      </c>
      <c r="B97" s="283">
        <v>16.416</v>
      </c>
      <c r="C97" s="264" t="s">
        <v>224</v>
      </c>
    </row>
    <row r="98" spans="1:3" s="249" customFormat="1" ht="15" x14ac:dyDescent="0.2">
      <c r="A98" s="517" t="s">
        <v>5</v>
      </c>
      <c r="B98" s="517"/>
      <c r="C98" s="517"/>
    </row>
    <row r="99" spans="1:3" s="249" customFormat="1" x14ac:dyDescent="0.2">
      <c r="A99" s="262" t="s">
        <v>358</v>
      </c>
      <c r="B99" s="284">
        <v>55</v>
      </c>
      <c r="C99" s="267" t="s">
        <v>359</v>
      </c>
    </row>
    <row r="100" spans="1:3" s="249" customFormat="1" x14ac:dyDescent="0.2">
      <c r="A100" s="262" t="s">
        <v>360</v>
      </c>
      <c r="B100" s="284">
        <v>55</v>
      </c>
      <c r="C100" s="267" t="s">
        <v>359</v>
      </c>
    </row>
    <row r="101" spans="1:3" s="249" customFormat="1" x14ac:dyDescent="0.2">
      <c r="A101" s="262" t="s">
        <v>305</v>
      </c>
      <c r="B101" s="283">
        <v>5</v>
      </c>
      <c r="C101" s="262" t="s">
        <v>361</v>
      </c>
    </row>
    <row r="102" spans="1:3" s="249" customFormat="1" x14ac:dyDescent="0.2">
      <c r="A102" s="262" t="s">
        <v>306</v>
      </c>
      <c r="B102" s="283">
        <v>5</v>
      </c>
      <c r="C102" s="262" t="s">
        <v>361</v>
      </c>
    </row>
    <row r="103" spans="1:3" s="249" customFormat="1" x14ac:dyDescent="0.2">
      <c r="A103" s="262" t="s">
        <v>362</v>
      </c>
      <c r="B103" s="284">
        <v>55</v>
      </c>
      <c r="C103" s="263" t="s">
        <v>54</v>
      </c>
    </row>
    <row r="104" spans="1:3" s="249" customFormat="1" x14ac:dyDescent="0.2">
      <c r="A104" s="262" t="s">
        <v>363</v>
      </c>
      <c r="B104" s="284">
        <v>55</v>
      </c>
      <c r="C104" s="263" t="s">
        <v>54</v>
      </c>
    </row>
    <row r="105" spans="1:3" s="249" customFormat="1" x14ac:dyDescent="0.2">
      <c r="A105" s="249" t="s">
        <v>187</v>
      </c>
      <c r="B105" s="284">
        <v>1</v>
      </c>
      <c r="C105" s="249" t="s">
        <v>254</v>
      </c>
    </row>
    <row r="106" spans="1:3" s="249" customFormat="1" x14ac:dyDescent="0.2">
      <c r="A106" s="249" t="s">
        <v>188</v>
      </c>
      <c r="B106" s="284">
        <v>1</v>
      </c>
      <c r="C106" s="249" t="s">
        <v>254</v>
      </c>
    </row>
    <row r="107" spans="1:3" s="249" customFormat="1" x14ac:dyDescent="0.2">
      <c r="A107" s="94" t="s">
        <v>373</v>
      </c>
      <c r="B107" s="283">
        <v>6</v>
      </c>
      <c r="C107" s="270" t="s">
        <v>69</v>
      </c>
    </row>
    <row r="108" spans="1:3" s="249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249" customFormat="1" x14ac:dyDescent="0.2">
      <c r="A109" s="94" t="s">
        <v>59</v>
      </c>
      <c r="B109" s="283">
        <v>26</v>
      </c>
      <c r="C109" s="270" t="s">
        <v>69</v>
      </c>
    </row>
    <row r="110" spans="1:3" s="249" customFormat="1" x14ac:dyDescent="0.2">
      <c r="A110" s="94" t="s">
        <v>371</v>
      </c>
      <c r="B110" s="107">
        <v>75</v>
      </c>
      <c r="C110" s="94" t="s">
        <v>26</v>
      </c>
    </row>
    <row r="111" spans="1:3" s="249" customFormat="1" x14ac:dyDescent="0.2">
      <c r="A111" s="94" t="s">
        <v>370</v>
      </c>
      <c r="B111" s="283">
        <v>75</v>
      </c>
      <c r="C111" s="94" t="s">
        <v>26</v>
      </c>
    </row>
    <row r="112" spans="1:3" s="249" customFormat="1" x14ac:dyDescent="0.2">
      <c r="A112" s="94" t="s">
        <v>157</v>
      </c>
      <c r="B112" s="283">
        <v>75</v>
      </c>
      <c r="C112" s="94" t="s">
        <v>26</v>
      </c>
    </row>
    <row r="113" spans="1:3" s="249" customFormat="1" x14ac:dyDescent="0.2">
      <c r="A113" s="94" t="s">
        <v>105</v>
      </c>
      <c r="B113" s="283">
        <v>1</v>
      </c>
      <c r="C113" s="92" t="s">
        <v>224</v>
      </c>
    </row>
    <row r="114" spans="1:3" s="249" customFormat="1" x14ac:dyDescent="0.2">
      <c r="A114" s="92" t="s">
        <v>368</v>
      </c>
      <c r="B114" s="284">
        <v>1</v>
      </c>
      <c r="C114" s="92" t="s">
        <v>224</v>
      </c>
    </row>
    <row r="115" spans="1:3" s="249" customFormat="1" x14ac:dyDescent="0.2">
      <c r="A115" s="92" t="s">
        <v>369</v>
      </c>
      <c r="B115" s="284">
        <v>1</v>
      </c>
      <c r="C115" s="92" t="s">
        <v>224</v>
      </c>
    </row>
    <row r="116" spans="1:3" s="249" customFormat="1" x14ac:dyDescent="0.2">
      <c r="A116" s="249" t="s">
        <v>366</v>
      </c>
      <c r="B116" s="284">
        <v>1</v>
      </c>
      <c r="C116" s="249" t="s">
        <v>104</v>
      </c>
    </row>
    <row r="117" spans="1:3" s="249" customFormat="1" x14ac:dyDescent="0.2">
      <c r="A117" s="249" t="s">
        <v>367</v>
      </c>
      <c r="B117" s="284">
        <v>1</v>
      </c>
      <c r="C117" s="249" t="s">
        <v>104</v>
      </c>
    </row>
    <row r="118" spans="1:3" s="249" customFormat="1" x14ac:dyDescent="0.2">
      <c r="A118" s="94" t="s">
        <v>364</v>
      </c>
      <c r="B118" s="284">
        <v>1</v>
      </c>
      <c r="C118" s="92" t="s">
        <v>98</v>
      </c>
    </row>
    <row r="119" spans="1:3" s="249" customFormat="1" x14ac:dyDescent="0.2">
      <c r="A119" s="94" t="s">
        <v>365</v>
      </c>
      <c r="B119" s="284">
        <v>1</v>
      </c>
      <c r="C119" s="92" t="s">
        <v>98</v>
      </c>
    </row>
    <row r="120" spans="1:3" s="249" customFormat="1" x14ac:dyDescent="0.2">
      <c r="A120" s="263" t="s">
        <v>192</v>
      </c>
      <c r="B120" s="283">
        <v>1</v>
      </c>
      <c r="C120" s="249" t="s">
        <v>283</v>
      </c>
    </row>
    <row r="121" spans="1:3" s="249" customFormat="1" x14ac:dyDescent="0.2">
      <c r="A121" s="263" t="s">
        <v>189</v>
      </c>
      <c r="B121" s="283">
        <v>1</v>
      </c>
      <c r="C121" s="249" t="s">
        <v>283</v>
      </c>
    </row>
    <row r="122" spans="1:3" s="249" customFormat="1" x14ac:dyDescent="0.2">
      <c r="A122" s="263" t="s">
        <v>190</v>
      </c>
      <c r="B122" s="283">
        <v>1</v>
      </c>
      <c r="C122" s="249" t="s">
        <v>47</v>
      </c>
    </row>
    <row r="123" spans="1:3" s="249" customFormat="1" x14ac:dyDescent="0.2">
      <c r="A123" s="263" t="s">
        <v>191</v>
      </c>
      <c r="B123" s="283">
        <v>1</v>
      </c>
      <c r="C123" s="249" t="s">
        <v>47</v>
      </c>
    </row>
    <row r="124" spans="1:3" s="249" customFormat="1" x14ac:dyDescent="0.2">
      <c r="A124" s="263" t="s">
        <v>199</v>
      </c>
      <c r="B124" s="283">
        <v>1</v>
      </c>
      <c r="C124" s="249" t="s">
        <v>30</v>
      </c>
    </row>
    <row r="125" spans="1:3" s="249" customFormat="1" x14ac:dyDescent="0.2">
      <c r="A125" s="249" t="s">
        <v>193</v>
      </c>
      <c r="B125" s="283">
        <v>1</v>
      </c>
      <c r="C125" s="249" t="s">
        <v>283</v>
      </c>
    </row>
    <row r="126" spans="1:3" s="249" customFormat="1" x14ac:dyDescent="0.2">
      <c r="A126" s="249" t="s">
        <v>196</v>
      </c>
      <c r="B126" s="283">
        <v>1</v>
      </c>
      <c r="C126" s="249" t="s">
        <v>283</v>
      </c>
    </row>
    <row r="127" spans="1:3" s="249" customFormat="1" x14ac:dyDescent="0.2">
      <c r="A127" s="268" t="s">
        <v>197</v>
      </c>
      <c r="B127" s="283">
        <v>1</v>
      </c>
      <c r="C127" s="249" t="s">
        <v>47</v>
      </c>
    </row>
    <row r="128" spans="1:3" s="249" customFormat="1" x14ac:dyDescent="0.2">
      <c r="A128" s="262" t="s">
        <v>198</v>
      </c>
      <c r="B128" s="283">
        <v>1</v>
      </c>
      <c r="C128" s="249" t="s">
        <v>47</v>
      </c>
    </row>
    <row r="129" spans="1:3" s="249" customFormat="1" x14ac:dyDescent="0.2">
      <c r="A129" s="263" t="s">
        <v>200</v>
      </c>
      <c r="B129" s="283">
        <v>1</v>
      </c>
      <c r="C129" s="249" t="s">
        <v>30</v>
      </c>
    </row>
    <row r="130" spans="1:3" s="249" customFormat="1" x14ac:dyDescent="0.2">
      <c r="A130" s="262" t="s">
        <v>255</v>
      </c>
      <c r="B130" s="284">
        <v>1</v>
      </c>
    </row>
    <row r="131" spans="1:3" s="249" customFormat="1" x14ac:dyDescent="0.2">
      <c r="A131" s="249" t="s">
        <v>83</v>
      </c>
      <c r="B131" s="284">
        <v>0.5</v>
      </c>
    </row>
    <row r="132" spans="1:3" s="249" customFormat="1" ht="15" x14ac:dyDescent="0.2">
      <c r="A132" s="518" t="s">
        <v>180</v>
      </c>
      <c r="B132" s="518"/>
      <c r="C132" s="518"/>
    </row>
    <row r="133" spans="1:3" s="249" customFormat="1" x14ac:dyDescent="0.2">
      <c r="A133" s="262" t="s">
        <v>374</v>
      </c>
      <c r="B133" s="283">
        <v>55</v>
      </c>
      <c r="C133" s="263" t="s">
        <v>54</v>
      </c>
    </row>
    <row r="134" spans="1:3" s="249" customFormat="1" x14ac:dyDescent="0.2">
      <c r="A134" s="262" t="s">
        <v>375</v>
      </c>
      <c r="B134" s="283">
        <v>55</v>
      </c>
      <c r="C134" s="263" t="s">
        <v>54</v>
      </c>
    </row>
    <row r="135" spans="1:3" s="249" customFormat="1" x14ac:dyDescent="0.2">
      <c r="A135" s="262" t="s">
        <v>376</v>
      </c>
      <c r="B135" s="283">
        <v>55</v>
      </c>
      <c r="C135" s="267" t="s">
        <v>359</v>
      </c>
    </row>
    <row r="136" spans="1:3" s="249" customFormat="1" x14ac:dyDescent="0.2">
      <c r="A136" s="262" t="s">
        <v>377</v>
      </c>
      <c r="B136" s="283">
        <v>55</v>
      </c>
      <c r="C136" s="267" t="s">
        <v>359</v>
      </c>
    </row>
    <row r="137" spans="1:3" s="249" customFormat="1" x14ac:dyDescent="0.2">
      <c r="A137" s="267" t="s">
        <v>378</v>
      </c>
      <c r="B137" s="284">
        <v>5</v>
      </c>
      <c r="C137" s="262" t="s">
        <v>30</v>
      </c>
    </row>
    <row r="138" spans="1:3" s="249" customFormat="1" x14ac:dyDescent="0.2">
      <c r="A138" s="267" t="s">
        <v>379</v>
      </c>
      <c r="B138" s="284">
        <v>5</v>
      </c>
      <c r="C138" s="262" t="s">
        <v>30</v>
      </c>
    </row>
    <row r="139" spans="1:3" s="249" customFormat="1" x14ac:dyDescent="0.2">
      <c r="A139" s="262" t="s">
        <v>380</v>
      </c>
      <c r="B139" s="283">
        <v>55</v>
      </c>
      <c r="C139" s="267" t="s">
        <v>254</v>
      </c>
    </row>
    <row r="140" spans="1:3" s="249" customFormat="1" x14ac:dyDescent="0.2">
      <c r="A140" s="262" t="s">
        <v>381</v>
      </c>
      <c r="B140" s="283">
        <v>55</v>
      </c>
      <c r="C140" s="267" t="s">
        <v>254</v>
      </c>
    </row>
    <row r="141" spans="1:3" s="249" customFormat="1" x14ac:dyDescent="0.2">
      <c r="A141" s="262" t="s">
        <v>382</v>
      </c>
      <c r="B141" s="283">
        <v>55</v>
      </c>
      <c r="C141" s="267" t="s">
        <v>254</v>
      </c>
    </row>
    <row r="142" spans="1:3" s="249" customFormat="1" x14ac:dyDescent="0.2">
      <c r="A142" s="262" t="s">
        <v>383</v>
      </c>
      <c r="B142" s="283">
        <v>55</v>
      </c>
      <c r="C142" s="267" t="s">
        <v>254</v>
      </c>
    </row>
    <row r="143" spans="1:3" s="249" customFormat="1" x14ac:dyDescent="0.2">
      <c r="A143" s="262" t="s">
        <v>479</v>
      </c>
      <c r="B143" s="283">
        <v>55</v>
      </c>
      <c r="C143" s="267" t="s">
        <v>254</v>
      </c>
    </row>
    <row r="144" spans="1:3" s="249" customFormat="1" x14ac:dyDescent="0.2">
      <c r="A144" s="262" t="s">
        <v>480</v>
      </c>
      <c r="B144" s="283">
        <v>55</v>
      </c>
      <c r="C144" s="267" t="s">
        <v>254</v>
      </c>
    </row>
    <row r="145" spans="1:3" s="249" customFormat="1" x14ac:dyDescent="0.2">
      <c r="A145" s="262" t="s">
        <v>481</v>
      </c>
      <c r="B145" s="283">
        <v>55</v>
      </c>
      <c r="C145" s="267" t="s">
        <v>254</v>
      </c>
    </row>
    <row r="146" spans="1:3" s="249" customFormat="1" x14ac:dyDescent="0.2">
      <c r="A146" s="262" t="s">
        <v>482</v>
      </c>
      <c r="B146" s="283">
        <v>55</v>
      </c>
      <c r="C146" s="267" t="s">
        <v>254</v>
      </c>
    </row>
    <row r="147" spans="1:3" s="249" customFormat="1" x14ac:dyDescent="0.2">
      <c r="A147" s="262" t="s">
        <v>326</v>
      </c>
      <c r="B147" s="283">
        <v>55</v>
      </c>
      <c r="C147" s="262" t="s">
        <v>254</v>
      </c>
    </row>
    <row r="148" spans="1:3" s="249" customFormat="1" x14ac:dyDescent="0.2">
      <c r="A148" s="262" t="s">
        <v>327</v>
      </c>
      <c r="B148" s="283">
        <v>55</v>
      </c>
      <c r="C148" s="262" t="s">
        <v>254</v>
      </c>
    </row>
    <row r="149" spans="1:3" s="249" customFormat="1" x14ac:dyDescent="0.2">
      <c r="A149" s="262" t="s">
        <v>483</v>
      </c>
      <c r="B149" s="283">
        <v>55</v>
      </c>
      <c r="C149" s="267" t="s">
        <v>254</v>
      </c>
    </row>
    <row r="150" spans="1:3" s="249" customFormat="1" x14ac:dyDescent="0.2">
      <c r="A150" s="262" t="s">
        <v>484</v>
      </c>
      <c r="B150" s="283">
        <v>55</v>
      </c>
      <c r="C150" s="267" t="s">
        <v>254</v>
      </c>
    </row>
    <row r="151" spans="1:3" s="249" customFormat="1" x14ac:dyDescent="0.2">
      <c r="A151" s="262" t="s">
        <v>324</v>
      </c>
      <c r="B151" s="283">
        <v>55</v>
      </c>
      <c r="C151" s="262" t="s">
        <v>254</v>
      </c>
    </row>
    <row r="152" spans="1:3" s="249" customFormat="1" x14ac:dyDescent="0.2">
      <c r="A152" s="262" t="s">
        <v>325</v>
      </c>
      <c r="B152" s="283">
        <v>55</v>
      </c>
      <c r="C152" s="262" t="s">
        <v>254</v>
      </c>
    </row>
    <row r="153" spans="1:3" s="249" customFormat="1" x14ac:dyDescent="0.2">
      <c r="A153" s="262" t="s">
        <v>328</v>
      </c>
      <c r="B153" s="283">
        <v>55</v>
      </c>
      <c r="C153" s="262" t="s">
        <v>254</v>
      </c>
    </row>
    <row r="154" spans="1:3" s="249" customFormat="1" x14ac:dyDescent="0.2">
      <c r="A154" s="262" t="s">
        <v>329</v>
      </c>
      <c r="B154" s="283">
        <v>55</v>
      </c>
      <c r="C154" s="262" t="s">
        <v>254</v>
      </c>
    </row>
    <row r="155" spans="1:3" s="249" customFormat="1" x14ac:dyDescent="0.2">
      <c r="A155" s="262" t="s">
        <v>384</v>
      </c>
      <c r="B155" s="284">
        <v>10</v>
      </c>
      <c r="C155" s="93" t="s">
        <v>69</v>
      </c>
    </row>
    <row r="156" spans="1:3" s="249" customFormat="1" x14ac:dyDescent="0.2">
      <c r="A156" s="262" t="s">
        <v>385</v>
      </c>
      <c r="B156" s="284">
        <v>20</v>
      </c>
      <c r="C156" s="93" t="s">
        <v>69</v>
      </c>
    </row>
    <row r="157" spans="1:3" s="249" customFormat="1" x14ac:dyDescent="0.2">
      <c r="A157" s="262" t="s">
        <v>386</v>
      </c>
      <c r="B157" s="284">
        <v>30</v>
      </c>
      <c r="C157" s="93" t="s">
        <v>69</v>
      </c>
    </row>
    <row r="158" spans="1:3" s="249" customFormat="1" x14ac:dyDescent="0.2">
      <c r="A158" s="262" t="s">
        <v>387</v>
      </c>
      <c r="B158" s="284">
        <v>55</v>
      </c>
      <c r="C158" s="262" t="s">
        <v>26</v>
      </c>
    </row>
    <row r="159" spans="1:3" s="249" customFormat="1" x14ac:dyDescent="0.2">
      <c r="A159" s="262" t="s">
        <v>388</v>
      </c>
      <c r="B159" s="284">
        <v>55</v>
      </c>
      <c r="C159" s="262" t="s">
        <v>26</v>
      </c>
    </row>
    <row r="160" spans="1:3" s="249" customFormat="1" x14ac:dyDescent="0.2">
      <c r="A160" s="262" t="s">
        <v>389</v>
      </c>
      <c r="B160" s="283">
        <v>15</v>
      </c>
      <c r="C160" s="263" t="s">
        <v>224</v>
      </c>
    </row>
    <row r="161" spans="1:3" s="249" customFormat="1" x14ac:dyDescent="0.2">
      <c r="A161" s="262" t="s">
        <v>390</v>
      </c>
      <c r="B161" s="283">
        <v>15</v>
      </c>
      <c r="C161" s="263" t="s">
        <v>224</v>
      </c>
    </row>
    <row r="162" spans="1:3" s="249" customFormat="1" x14ac:dyDescent="0.2">
      <c r="A162" s="262" t="s">
        <v>396</v>
      </c>
      <c r="B162" s="283">
        <v>15</v>
      </c>
      <c r="C162" s="263" t="s">
        <v>224</v>
      </c>
    </row>
    <row r="163" spans="1:3" s="249" customFormat="1" x14ac:dyDescent="0.2">
      <c r="A163" s="249" t="s">
        <v>393</v>
      </c>
      <c r="B163" s="283">
        <v>2</v>
      </c>
      <c r="C163" s="267" t="s">
        <v>395</v>
      </c>
    </row>
    <row r="164" spans="1:3" s="249" customFormat="1" x14ac:dyDescent="0.2">
      <c r="A164" s="249" t="s">
        <v>394</v>
      </c>
      <c r="B164" s="283">
        <v>2</v>
      </c>
      <c r="C164" s="267" t="s">
        <v>395</v>
      </c>
    </row>
    <row r="165" spans="1:3" s="249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249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249" customFormat="1" x14ac:dyDescent="0.2">
      <c r="A167" s="262" t="s">
        <v>397</v>
      </c>
      <c r="B167" s="283">
        <v>2</v>
      </c>
      <c r="C167" s="267" t="s">
        <v>166</v>
      </c>
    </row>
    <row r="168" spans="1:3" s="249" customFormat="1" x14ac:dyDescent="0.2">
      <c r="A168" s="262" t="s">
        <v>398</v>
      </c>
      <c r="B168" s="283">
        <v>2</v>
      </c>
      <c r="C168" s="267" t="s">
        <v>166</v>
      </c>
    </row>
    <row r="169" spans="1:3" s="249" customFormat="1" x14ac:dyDescent="0.2">
      <c r="A169" s="262" t="s">
        <v>103</v>
      </c>
      <c r="B169" s="283">
        <v>0.4</v>
      </c>
      <c r="C169" s="247"/>
    </row>
    <row r="170" spans="1:3" s="249" customFormat="1" x14ac:dyDescent="0.2">
      <c r="A170" s="262" t="s">
        <v>158</v>
      </c>
      <c r="B170" s="283">
        <v>0.4</v>
      </c>
      <c r="C170" s="247"/>
    </row>
    <row r="171" spans="1:3" s="249" customFormat="1" x14ac:dyDescent="0.2">
      <c r="A171" s="262" t="s">
        <v>159</v>
      </c>
      <c r="B171" s="282">
        <f>B3</f>
        <v>6.8000000000000005E-2</v>
      </c>
      <c r="C171" s="247"/>
    </row>
    <row r="172" spans="1:3" s="249" customFormat="1" x14ac:dyDescent="0.2">
      <c r="A172" s="262" t="s">
        <v>62</v>
      </c>
      <c r="B172" s="282">
        <f>B4</f>
        <v>0.75600000000000001</v>
      </c>
      <c r="C172" s="247"/>
    </row>
    <row r="173" spans="1:3" s="249" customFormat="1" x14ac:dyDescent="0.2">
      <c r="A173" s="262" t="s">
        <v>255</v>
      </c>
      <c r="B173" s="284">
        <v>2</v>
      </c>
      <c r="C173" s="247"/>
    </row>
    <row r="174" spans="1:3" s="249" customFormat="1" x14ac:dyDescent="0.2">
      <c r="A174" s="267" t="s">
        <v>399</v>
      </c>
      <c r="B174" s="283">
        <v>2</v>
      </c>
      <c r="C174" s="247"/>
    </row>
    <row r="175" spans="1:3" s="249" customFormat="1" x14ac:dyDescent="0.2">
      <c r="A175" s="267" t="s">
        <v>400</v>
      </c>
      <c r="B175" s="283">
        <v>2</v>
      </c>
      <c r="C175" s="247"/>
    </row>
    <row r="176" spans="1:3" s="249" customFormat="1" x14ac:dyDescent="0.2">
      <c r="A176" s="267" t="s">
        <v>401</v>
      </c>
      <c r="B176" s="283">
        <v>2</v>
      </c>
      <c r="C176" s="247"/>
    </row>
    <row r="177" spans="1:3" s="249" customFormat="1" x14ac:dyDescent="0.2">
      <c r="A177" s="267" t="s">
        <v>402</v>
      </c>
      <c r="B177" s="283">
        <v>2</v>
      </c>
      <c r="C177" s="247"/>
    </row>
    <row r="178" spans="1:3" s="249" customFormat="1" x14ac:dyDescent="0.2">
      <c r="A178" s="267" t="s">
        <v>403</v>
      </c>
      <c r="B178" s="283">
        <v>2</v>
      </c>
      <c r="C178" s="247"/>
    </row>
    <row r="179" spans="1:3" s="249" customFormat="1" x14ac:dyDescent="0.2">
      <c r="A179" s="267" t="s">
        <v>404</v>
      </c>
      <c r="B179" s="283">
        <v>2</v>
      </c>
      <c r="C179" s="247"/>
    </row>
    <row r="180" spans="1:3" s="249" customFormat="1" x14ac:dyDescent="0.2">
      <c r="A180" s="267" t="s">
        <v>405</v>
      </c>
      <c r="B180" s="284">
        <v>2</v>
      </c>
      <c r="C180" s="247"/>
    </row>
    <row r="181" spans="1:3" s="249" customFormat="1" x14ac:dyDescent="0.2">
      <c r="A181" s="262" t="s">
        <v>41</v>
      </c>
      <c r="B181" s="284">
        <v>3.62</v>
      </c>
      <c r="C181" s="249" t="s">
        <v>42</v>
      </c>
    </row>
    <row r="182" spans="1:3" s="249" customFormat="1" x14ac:dyDescent="0.2">
      <c r="A182" s="262" t="s">
        <v>46</v>
      </c>
      <c r="B182" s="284">
        <v>0.25</v>
      </c>
      <c r="C182" s="249" t="s">
        <v>47</v>
      </c>
    </row>
    <row r="183" spans="1:3" s="249" customFormat="1" x14ac:dyDescent="0.2">
      <c r="A183" s="267" t="s">
        <v>60</v>
      </c>
      <c r="B183" s="284">
        <v>10950</v>
      </c>
      <c r="C183" s="249" t="s">
        <v>61</v>
      </c>
    </row>
    <row r="184" spans="1:3" s="249" customFormat="1" x14ac:dyDescent="0.2">
      <c r="A184" s="267" t="s">
        <v>65</v>
      </c>
      <c r="B184" s="284">
        <v>240</v>
      </c>
      <c r="C184" s="249" t="s">
        <v>66</v>
      </c>
    </row>
    <row r="185" spans="1:3" s="249" customFormat="1" x14ac:dyDescent="0.2">
      <c r="A185" s="267" t="s">
        <v>76</v>
      </c>
      <c r="B185" s="284">
        <v>0.42</v>
      </c>
      <c r="C185" s="249" t="s">
        <v>47</v>
      </c>
    </row>
    <row r="186" spans="1:3" s="249" customFormat="1" x14ac:dyDescent="0.2">
      <c r="A186" s="267" t="s">
        <v>85</v>
      </c>
      <c r="B186" s="284">
        <v>60</v>
      </c>
      <c r="C186" s="262" t="s">
        <v>61</v>
      </c>
    </row>
    <row r="187" spans="1:3" s="249" customFormat="1" x14ac:dyDescent="0.2">
      <c r="A187" s="267" t="s">
        <v>87</v>
      </c>
      <c r="B187" s="284">
        <v>2</v>
      </c>
      <c r="C187" s="262" t="s">
        <v>66</v>
      </c>
    </row>
    <row r="188" spans="1:3" s="249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249" customFormat="1" x14ac:dyDescent="0.2">
      <c r="A189" s="267" t="s">
        <v>91</v>
      </c>
      <c r="B189" s="284">
        <v>1</v>
      </c>
      <c r="C189" s="249" t="s">
        <v>47</v>
      </c>
    </row>
    <row r="190" spans="1:3" s="249" customFormat="1" x14ac:dyDescent="0.2">
      <c r="A190" s="267" t="s">
        <v>92</v>
      </c>
      <c r="B190" s="284">
        <v>14</v>
      </c>
      <c r="C190" s="249" t="s">
        <v>93</v>
      </c>
    </row>
    <row r="191" spans="1:3" s="249" customFormat="1" x14ac:dyDescent="0.2">
      <c r="A191" s="262" t="s">
        <v>29</v>
      </c>
      <c r="B191" s="284">
        <v>92</v>
      </c>
      <c r="C191" s="262" t="s">
        <v>30</v>
      </c>
    </row>
    <row r="192" spans="1:3" s="249" customFormat="1" x14ac:dyDescent="0.2">
      <c r="A192" s="249" t="s">
        <v>287</v>
      </c>
      <c r="B192" s="283">
        <v>1.03</v>
      </c>
      <c r="C192" s="249" t="s">
        <v>288</v>
      </c>
    </row>
    <row r="193" spans="1:3" s="249" customFormat="1" x14ac:dyDescent="0.2">
      <c r="A193" s="262" t="s">
        <v>406</v>
      </c>
      <c r="B193" s="284">
        <v>20.3</v>
      </c>
      <c r="C193" s="249" t="s">
        <v>283</v>
      </c>
    </row>
    <row r="194" spans="1:3" s="249" customFormat="1" x14ac:dyDescent="0.2">
      <c r="A194" s="262" t="s">
        <v>407</v>
      </c>
      <c r="B194" s="284">
        <v>0.4</v>
      </c>
      <c r="C194" s="249" t="s">
        <v>283</v>
      </c>
    </row>
    <row r="195" spans="1:3" s="249" customFormat="1" x14ac:dyDescent="0.2">
      <c r="A195" s="262" t="s">
        <v>408</v>
      </c>
      <c r="B195" s="284">
        <v>1</v>
      </c>
      <c r="C195" s="247"/>
    </row>
    <row r="196" spans="1:3" s="249" customFormat="1" x14ac:dyDescent="0.2">
      <c r="A196" s="262" t="s">
        <v>409</v>
      </c>
      <c r="B196" s="284">
        <v>1</v>
      </c>
      <c r="C196" s="247"/>
    </row>
    <row r="197" spans="1:3" s="249" customFormat="1" x14ac:dyDescent="0.2">
      <c r="A197" s="262" t="s">
        <v>31</v>
      </c>
      <c r="B197" s="284">
        <v>53</v>
      </c>
      <c r="C197" s="262" t="s">
        <v>30</v>
      </c>
    </row>
    <row r="198" spans="1:3" s="249" customFormat="1" x14ac:dyDescent="0.2">
      <c r="A198" s="262" t="s">
        <v>410</v>
      </c>
      <c r="B198" s="284">
        <v>11.77</v>
      </c>
      <c r="C198" s="249" t="s">
        <v>283</v>
      </c>
    </row>
    <row r="199" spans="1:3" s="249" customFormat="1" x14ac:dyDescent="0.2">
      <c r="A199" s="262" t="s">
        <v>411</v>
      </c>
      <c r="B199" s="284">
        <v>0.5</v>
      </c>
      <c r="C199" s="249" t="s">
        <v>283</v>
      </c>
    </row>
    <row r="200" spans="1:3" s="249" customFormat="1" x14ac:dyDescent="0.2">
      <c r="A200" s="262" t="s">
        <v>412</v>
      </c>
      <c r="B200" s="284">
        <v>1</v>
      </c>
      <c r="C200" s="247"/>
    </row>
    <row r="201" spans="1:3" s="249" customFormat="1" x14ac:dyDescent="0.2">
      <c r="A201" s="262" t="s">
        <v>413</v>
      </c>
      <c r="B201" s="284">
        <v>1</v>
      </c>
      <c r="C201" s="247"/>
    </row>
    <row r="202" spans="1:3" s="249" customFormat="1" x14ac:dyDescent="0.2">
      <c r="A202" s="262" t="s">
        <v>173</v>
      </c>
      <c r="B202" s="283">
        <v>0.4</v>
      </c>
      <c r="C202" s="262" t="s">
        <v>30</v>
      </c>
    </row>
    <row r="203" spans="1:3" s="249" customFormat="1" x14ac:dyDescent="0.2">
      <c r="A203" s="262" t="s">
        <v>177</v>
      </c>
      <c r="B203" s="284">
        <v>0.2</v>
      </c>
      <c r="C203" s="249" t="s">
        <v>283</v>
      </c>
    </row>
    <row r="204" spans="1:3" s="249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249" customFormat="1" x14ac:dyDescent="0.2">
      <c r="A205" s="262" t="s">
        <v>178</v>
      </c>
      <c r="B205" s="283">
        <v>1</v>
      </c>
      <c r="C205" s="247"/>
    </row>
    <row r="206" spans="1:3" s="249" customFormat="1" x14ac:dyDescent="0.2">
      <c r="A206" s="262" t="s">
        <v>179</v>
      </c>
      <c r="B206" s="283">
        <v>1</v>
      </c>
      <c r="C206" s="247"/>
    </row>
    <row r="207" spans="1:3" s="249" customFormat="1" x14ac:dyDescent="0.2">
      <c r="A207" s="262" t="s">
        <v>414</v>
      </c>
      <c r="B207" s="283">
        <v>0.4</v>
      </c>
      <c r="C207" s="262" t="s">
        <v>30</v>
      </c>
    </row>
    <row r="208" spans="1:3" s="249" customFormat="1" x14ac:dyDescent="0.2">
      <c r="A208" s="262" t="s">
        <v>415</v>
      </c>
      <c r="B208" s="284">
        <v>0.2</v>
      </c>
      <c r="C208" s="249" t="s">
        <v>283</v>
      </c>
    </row>
    <row r="209" spans="1:3" s="249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249" customFormat="1" x14ac:dyDescent="0.2">
      <c r="A210" s="262" t="s">
        <v>417</v>
      </c>
      <c r="B210" s="284">
        <v>1</v>
      </c>
      <c r="C210" s="247"/>
    </row>
    <row r="211" spans="1:3" s="249" customFormat="1" x14ac:dyDescent="0.2">
      <c r="A211" s="262" t="s">
        <v>418</v>
      </c>
      <c r="B211" s="284">
        <v>1</v>
      </c>
      <c r="C211" s="247"/>
    </row>
    <row r="212" spans="1:3" s="249" customFormat="1" x14ac:dyDescent="0.2">
      <c r="A212" s="262" t="s">
        <v>174</v>
      </c>
      <c r="B212" s="284">
        <v>11.4</v>
      </c>
      <c r="C212" s="262" t="s">
        <v>30</v>
      </c>
    </row>
    <row r="213" spans="1:3" s="249" customFormat="1" x14ac:dyDescent="0.2">
      <c r="A213" s="262" t="s">
        <v>419</v>
      </c>
      <c r="B213" s="284">
        <v>4.7</v>
      </c>
      <c r="C213" s="249" t="s">
        <v>283</v>
      </c>
    </row>
    <row r="214" spans="1:3" s="249" customFormat="1" x14ac:dyDescent="0.2">
      <c r="A214" s="262" t="s">
        <v>420</v>
      </c>
      <c r="B214" s="284">
        <v>0.37</v>
      </c>
      <c r="C214" s="249" t="s">
        <v>283</v>
      </c>
    </row>
    <row r="215" spans="1:3" s="249" customFormat="1" x14ac:dyDescent="0.2">
      <c r="A215" s="262" t="s">
        <v>421</v>
      </c>
      <c r="B215" s="284">
        <v>1</v>
      </c>
      <c r="C215" s="247"/>
    </row>
    <row r="216" spans="1:3" s="249" customFormat="1" x14ac:dyDescent="0.2">
      <c r="A216" s="262" t="s">
        <v>422</v>
      </c>
      <c r="B216" s="284">
        <v>1</v>
      </c>
      <c r="C216" s="247"/>
    </row>
    <row r="217" spans="1:3" s="249" customFormat="1" x14ac:dyDescent="0.2">
      <c r="A217" s="249" t="s">
        <v>83</v>
      </c>
      <c r="B217" s="284">
        <v>0.5</v>
      </c>
    </row>
    <row r="218" spans="1:3" s="249" customFormat="1" x14ac:dyDescent="0.2">
      <c r="A218" s="558" t="s">
        <v>423</v>
      </c>
      <c r="B218" s="558"/>
      <c r="C218" s="558"/>
    </row>
    <row r="219" spans="1:3" s="249" customFormat="1" x14ac:dyDescent="0.2">
      <c r="A219" s="249" t="s">
        <v>424</v>
      </c>
      <c r="B219" s="283">
        <v>55</v>
      </c>
      <c r="C219" s="263" t="s">
        <v>359</v>
      </c>
    </row>
    <row r="220" spans="1:3" s="249" customFormat="1" x14ac:dyDescent="0.2">
      <c r="A220" s="262" t="s">
        <v>425</v>
      </c>
      <c r="B220" s="283">
        <v>55</v>
      </c>
      <c r="C220" s="249" t="s">
        <v>26</v>
      </c>
    </row>
    <row r="221" spans="1:3" s="249" customFormat="1" x14ac:dyDescent="0.2">
      <c r="A221" s="262" t="s">
        <v>75</v>
      </c>
      <c r="B221" s="284">
        <v>5</v>
      </c>
      <c r="C221" s="249" t="s">
        <v>69</v>
      </c>
    </row>
    <row r="222" spans="1:3" s="249" customFormat="1" x14ac:dyDescent="0.2">
      <c r="A222" s="262" t="s">
        <v>426</v>
      </c>
      <c r="B222" s="283">
        <v>55</v>
      </c>
      <c r="C222" s="263" t="s">
        <v>54</v>
      </c>
    </row>
    <row r="223" spans="1:3" s="249" customFormat="1" x14ac:dyDescent="0.2">
      <c r="A223" s="249" t="s">
        <v>353</v>
      </c>
      <c r="B223" s="284">
        <v>1</v>
      </c>
      <c r="C223" s="247"/>
    </row>
    <row r="224" spans="1:3" s="249" customFormat="1" x14ac:dyDescent="0.2">
      <c r="A224" s="262" t="s">
        <v>56</v>
      </c>
      <c r="B224" s="284">
        <v>1</v>
      </c>
      <c r="C224" s="247"/>
    </row>
    <row r="225" spans="1:3" s="249" customFormat="1" x14ac:dyDescent="0.2">
      <c r="A225" s="262" t="s">
        <v>52</v>
      </c>
      <c r="B225" s="284">
        <v>0.4</v>
      </c>
      <c r="C225" s="247"/>
    </row>
    <row r="226" spans="1:3" s="249" customFormat="1" x14ac:dyDescent="0.2">
      <c r="A226" s="262" t="s">
        <v>62</v>
      </c>
      <c r="B226" s="284">
        <v>1</v>
      </c>
      <c r="C226" s="247"/>
    </row>
    <row r="227" spans="1:3" s="249" customFormat="1" x14ac:dyDescent="0.2">
      <c r="A227" s="262" t="s">
        <v>467</v>
      </c>
      <c r="B227" s="283">
        <v>2</v>
      </c>
      <c r="C227" s="249" t="s">
        <v>224</v>
      </c>
    </row>
    <row r="228" spans="1:3" s="249" customFormat="1" x14ac:dyDescent="0.2">
      <c r="A228" s="262" t="s">
        <v>468</v>
      </c>
      <c r="B228" s="283">
        <v>3</v>
      </c>
      <c r="C228" s="249" t="s">
        <v>224</v>
      </c>
    </row>
    <row r="229" spans="1:3" s="249" customFormat="1" x14ac:dyDescent="0.2">
      <c r="A229" s="262" t="s">
        <v>103</v>
      </c>
      <c r="B229" s="283">
        <v>0.4</v>
      </c>
      <c r="C229" s="247"/>
    </row>
    <row r="230" spans="1:3" s="249" customFormat="1" x14ac:dyDescent="0.2">
      <c r="A230" s="558" t="s">
        <v>427</v>
      </c>
      <c r="B230" s="558"/>
      <c r="C230" s="558"/>
    </row>
    <row r="231" spans="1:3" s="249" customFormat="1" x14ac:dyDescent="0.2">
      <c r="A231" s="249" t="s">
        <v>428</v>
      </c>
      <c r="B231" s="283">
        <v>55</v>
      </c>
      <c r="C231" s="263" t="s">
        <v>359</v>
      </c>
    </row>
    <row r="232" spans="1:3" s="249" customFormat="1" x14ac:dyDescent="0.2">
      <c r="A232" s="262" t="s">
        <v>40</v>
      </c>
      <c r="B232" s="283">
        <v>55</v>
      </c>
      <c r="C232" s="249" t="s">
        <v>26</v>
      </c>
    </row>
    <row r="233" spans="1:3" s="249" customFormat="1" x14ac:dyDescent="0.2">
      <c r="A233" s="262" t="s">
        <v>429</v>
      </c>
      <c r="B233" s="284">
        <v>5</v>
      </c>
      <c r="C233" s="249" t="s">
        <v>69</v>
      </c>
    </row>
    <row r="234" spans="1:3" s="249" customFormat="1" x14ac:dyDescent="0.2">
      <c r="A234" s="262" t="s">
        <v>79</v>
      </c>
      <c r="B234" s="283">
        <v>55</v>
      </c>
      <c r="C234" s="263" t="s">
        <v>54</v>
      </c>
    </row>
    <row r="235" spans="1:3" s="249" customFormat="1" x14ac:dyDescent="0.2">
      <c r="A235" s="249" t="s">
        <v>353</v>
      </c>
      <c r="B235" s="284">
        <v>1</v>
      </c>
      <c r="C235" s="247"/>
    </row>
    <row r="236" spans="1:3" s="249" customFormat="1" x14ac:dyDescent="0.2">
      <c r="A236" s="262" t="s">
        <v>56</v>
      </c>
      <c r="B236" s="284">
        <v>1</v>
      </c>
      <c r="C236" s="247"/>
    </row>
    <row r="237" spans="1:3" s="249" customFormat="1" x14ac:dyDescent="0.2">
      <c r="A237" s="262" t="s">
        <v>52</v>
      </c>
      <c r="B237" s="284">
        <v>0.4</v>
      </c>
      <c r="C237" s="247"/>
    </row>
    <row r="238" spans="1:3" s="249" customFormat="1" x14ac:dyDescent="0.2">
      <c r="A238" s="262" t="s">
        <v>62</v>
      </c>
      <c r="B238" s="284">
        <v>1</v>
      </c>
      <c r="C238" s="247"/>
    </row>
    <row r="239" spans="1:3" s="249" customFormat="1" x14ac:dyDescent="0.2">
      <c r="A239" s="262" t="s">
        <v>469</v>
      </c>
      <c r="B239" s="283">
        <v>0</v>
      </c>
      <c r="C239" s="249" t="s">
        <v>224</v>
      </c>
    </row>
    <row r="240" spans="1:3" s="249" customFormat="1" x14ac:dyDescent="0.2">
      <c r="A240" s="262" t="s">
        <v>470</v>
      </c>
      <c r="B240" s="283">
        <v>5</v>
      </c>
      <c r="C240" s="249" t="s">
        <v>224</v>
      </c>
    </row>
    <row r="241" spans="1:3" s="249" customFormat="1" x14ac:dyDescent="0.2">
      <c r="A241" s="262" t="s">
        <v>103</v>
      </c>
      <c r="B241" s="283">
        <v>0.4</v>
      </c>
      <c r="C241" s="247"/>
    </row>
    <row r="242" spans="1:3" s="249" customFormat="1" x14ac:dyDescent="0.2">
      <c r="A242" s="558" t="s">
        <v>430</v>
      </c>
      <c r="B242" s="558"/>
      <c r="C242" s="558"/>
    </row>
    <row r="243" spans="1:3" s="249" customFormat="1" x14ac:dyDescent="0.2">
      <c r="A243" s="249" t="s">
        <v>58</v>
      </c>
      <c r="B243" s="283">
        <v>55</v>
      </c>
      <c r="C243" s="263" t="s">
        <v>359</v>
      </c>
    </row>
    <row r="244" spans="1:3" s="249" customFormat="1" x14ac:dyDescent="0.2">
      <c r="A244" s="262" t="s">
        <v>431</v>
      </c>
      <c r="B244" s="283">
        <v>55</v>
      </c>
      <c r="C244" s="249" t="s">
        <v>26</v>
      </c>
    </row>
    <row r="245" spans="1:3" s="249" customFormat="1" x14ac:dyDescent="0.2">
      <c r="A245" s="262" t="s">
        <v>432</v>
      </c>
      <c r="B245" s="284">
        <v>5</v>
      </c>
      <c r="C245" s="249" t="s">
        <v>69</v>
      </c>
    </row>
    <row r="246" spans="1:3" s="249" customFormat="1" x14ac:dyDescent="0.2">
      <c r="A246" s="262" t="s">
        <v>433</v>
      </c>
      <c r="B246" s="283">
        <v>55</v>
      </c>
      <c r="C246" s="263" t="s">
        <v>54</v>
      </c>
    </row>
    <row r="247" spans="1:3" s="249" customFormat="1" x14ac:dyDescent="0.2">
      <c r="A247" s="249" t="s">
        <v>353</v>
      </c>
      <c r="B247" s="284">
        <v>1</v>
      </c>
      <c r="C247" s="247"/>
    </row>
    <row r="248" spans="1:3" s="249" customFormat="1" x14ac:dyDescent="0.2">
      <c r="A248" s="262" t="s">
        <v>56</v>
      </c>
      <c r="B248" s="284">
        <v>1</v>
      </c>
      <c r="C248" s="247"/>
    </row>
    <row r="249" spans="1:3" s="249" customFormat="1" x14ac:dyDescent="0.2">
      <c r="A249" s="262" t="s">
        <v>52</v>
      </c>
      <c r="B249" s="284">
        <v>0.4</v>
      </c>
      <c r="C249" s="247"/>
    </row>
    <row r="250" spans="1:3" s="249" customFormat="1" x14ac:dyDescent="0.2">
      <c r="A250" s="262" t="s">
        <v>62</v>
      </c>
      <c r="B250" s="284">
        <v>1</v>
      </c>
      <c r="C250" s="247"/>
    </row>
    <row r="251" spans="1:3" s="249" customFormat="1" x14ac:dyDescent="0.2">
      <c r="A251" s="262" t="s">
        <v>466</v>
      </c>
      <c r="B251" s="283">
        <v>5</v>
      </c>
      <c r="C251" s="249" t="s">
        <v>224</v>
      </c>
    </row>
    <row r="252" spans="1:3" s="249" customFormat="1" x14ac:dyDescent="0.2">
      <c r="A252" s="262" t="s">
        <v>465</v>
      </c>
      <c r="B252" s="283">
        <v>0</v>
      </c>
      <c r="C252" s="249" t="s">
        <v>224</v>
      </c>
    </row>
    <row r="253" spans="1:3" s="249" customFormat="1" x14ac:dyDescent="0.2">
      <c r="A253" s="262" t="s">
        <v>103</v>
      </c>
      <c r="B253" s="283">
        <v>0.4</v>
      </c>
      <c r="C253" s="247"/>
    </row>
    <row r="254" spans="1:3" s="249" customFormat="1" x14ac:dyDescent="0.2">
      <c r="A254" s="558" t="s">
        <v>434</v>
      </c>
      <c r="B254" s="558"/>
      <c r="C254" s="558"/>
    </row>
    <row r="255" spans="1:3" s="249" customFormat="1" x14ac:dyDescent="0.2">
      <c r="A255" s="249" t="s">
        <v>435</v>
      </c>
      <c r="B255" s="283">
        <v>55</v>
      </c>
      <c r="C255" s="263" t="s">
        <v>359</v>
      </c>
    </row>
    <row r="256" spans="1:3" s="249" customFormat="1" x14ac:dyDescent="0.2">
      <c r="A256" s="262" t="s">
        <v>221</v>
      </c>
      <c r="B256" s="283">
        <v>55</v>
      </c>
      <c r="C256" s="249" t="s">
        <v>26</v>
      </c>
    </row>
    <row r="257" spans="1:3" s="249" customFormat="1" x14ac:dyDescent="0.2">
      <c r="A257" s="262" t="s">
        <v>186</v>
      </c>
      <c r="B257" s="284">
        <v>5</v>
      </c>
      <c r="C257" s="249" t="s">
        <v>69</v>
      </c>
    </row>
    <row r="258" spans="1:3" s="249" customFormat="1" x14ac:dyDescent="0.2">
      <c r="A258" s="262" t="s">
        <v>436</v>
      </c>
      <c r="B258" s="283">
        <v>55</v>
      </c>
      <c r="C258" s="263" t="s">
        <v>54</v>
      </c>
    </row>
    <row r="259" spans="1:3" s="249" customFormat="1" x14ac:dyDescent="0.2">
      <c r="A259" s="249" t="s">
        <v>353</v>
      </c>
      <c r="B259" s="284">
        <v>1</v>
      </c>
      <c r="C259" s="247"/>
    </row>
    <row r="260" spans="1:3" s="249" customFormat="1" x14ac:dyDescent="0.2">
      <c r="A260" s="262" t="s">
        <v>56</v>
      </c>
      <c r="B260" s="284">
        <v>1</v>
      </c>
      <c r="C260" s="247"/>
    </row>
    <row r="261" spans="1:3" s="249" customFormat="1" x14ac:dyDescent="0.2">
      <c r="A261" s="262" t="s">
        <v>52</v>
      </c>
      <c r="B261" s="284">
        <v>0.4</v>
      </c>
      <c r="C261" s="247"/>
    </row>
    <row r="262" spans="1:3" s="249" customFormat="1" x14ac:dyDescent="0.2">
      <c r="A262" s="262" t="s">
        <v>62</v>
      </c>
      <c r="B262" s="284">
        <v>1</v>
      </c>
      <c r="C262" s="247"/>
    </row>
    <row r="263" spans="1:3" s="249" customFormat="1" x14ac:dyDescent="0.2">
      <c r="A263" s="262" t="s">
        <v>471</v>
      </c>
      <c r="B263" s="283">
        <v>5</v>
      </c>
      <c r="C263" s="249" t="s">
        <v>224</v>
      </c>
    </row>
    <row r="264" spans="1:3" s="249" customFormat="1" x14ac:dyDescent="0.2">
      <c r="A264" s="262" t="s">
        <v>472</v>
      </c>
      <c r="B264" s="283">
        <v>0</v>
      </c>
      <c r="C264" s="249" t="s">
        <v>224</v>
      </c>
    </row>
    <row r="265" spans="1:3" s="249" customFormat="1" x14ac:dyDescent="0.2">
      <c r="A265" s="262" t="s">
        <v>103</v>
      </c>
      <c r="B265" s="283">
        <v>0.4</v>
      </c>
      <c r="C265" s="247"/>
    </row>
    <row r="266" spans="1:3" s="249" customFormat="1" x14ac:dyDescent="0.2">
      <c r="A266" s="262" t="s">
        <v>220</v>
      </c>
      <c r="B266" s="283">
        <v>5</v>
      </c>
      <c r="C266" s="249" t="s">
        <v>129</v>
      </c>
    </row>
    <row r="267" spans="1:3" s="249" customFormat="1" x14ac:dyDescent="0.2">
      <c r="A267" s="262" t="s">
        <v>219</v>
      </c>
      <c r="B267" s="283">
        <v>11</v>
      </c>
      <c r="C267" s="249" t="s">
        <v>130</v>
      </c>
    </row>
    <row r="268" spans="1:3" s="249" customFormat="1" x14ac:dyDescent="0.2">
      <c r="A268" s="558" t="s">
        <v>437</v>
      </c>
      <c r="B268" s="558"/>
      <c r="C268" s="558"/>
    </row>
    <row r="269" spans="1:3" s="249" customFormat="1" x14ac:dyDescent="0.2">
      <c r="A269" s="249" t="s">
        <v>435</v>
      </c>
      <c r="B269" s="283">
        <v>55</v>
      </c>
      <c r="C269" s="263" t="s">
        <v>359</v>
      </c>
    </row>
    <row r="270" spans="1:3" s="249" customFormat="1" x14ac:dyDescent="0.2">
      <c r="A270" s="262" t="s">
        <v>221</v>
      </c>
      <c r="B270" s="283">
        <v>55</v>
      </c>
      <c r="C270" s="249" t="s">
        <v>26</v>
      </c>
    </row>
    <row r="271" spans="1:3" s="249" customFormat="1" x14ac:dyDescent="0.2">
      <c r="A271" s="262" t="s">
        <v>186</v>
      </c>
      <c r="B271" s="284">
        <v>5</v>
      </c>
      <c r="C271" s="249" t="s">
        <v>69</v>
      </c>
    </row>
    <row r="272" spans="1:3" s="249" customFormat="1" x14ac:dyDescent="0.2">
      <c r="A272" s="262" t="s">
        <v>436</v>
      </c>
      <c r="B272" s="283">
        <v>55</v>
      </c>
      <c r="C272" s="263" t="s">
        <v>54</v>
      </c>
    </row>
    <row r="273" spans="1:3" s="249" customFormat="1" x14ac:dyDescent="0.2">
      <c r="A273" s="262" t="s">
        <v>56</v>
      </c>
      <c r="B273" s="284">
        <v>1</v>
      </c>
      <c r="C273" s="247"/>
    </row>
    <row r="274" spans="1:3" s="249" customFormat="1" x14ac:dyDescent="0.2">
      <c r="A274" s="262" t="s">
        <v>52</v>
      </c>
      <c r="B274" s="284">
        <v>0.4</v>
      </c>
      <c r="C274" s="247"/>
    </row>
    <row r="275" spans="1:3" s="249" customFormat="1" x14ac:dyDescent="0.2">
      <c r="A275" s="262" t="s">
        <v>62</v>
      </c>
      <c r="B275" s="284">
        <v>1</v>
      </c>
      <c r="C275" s="247"/>
    </row>
    <row r="276" spans="1:3" s="249" customFormat="1" x14ac:dyDescent="0.2">
      <c r="A276" s="262" t="s">
        <v>471</v>
      </c>
      <c r="B276" s="283">
        <v>5</v>
      </c>
      <c r="C276" s="249" t="s">
        <v>224</v>
      </c>
    </row>
    <row r="277" spans="1:3" s="249" customFormat="1" x14ac:dyDescent="0.2">
      <c r="A277" s="262" t="s">
        <v>472</v>
      </c>
      <c r="B277" s="283">
        <v>0</v>
      </c>
      <c r="C277" s="249" t="s">
        <v>224</v>
      </c>
    </row>
    <row r="278" spans="1:3" s="249" customFormat="1" x14ac:dyDescent="0.2">
      <c r="A278" s="262" t="s">
        <v>103</v>
      </c>
      <c r="B278" s="283">
        <v>0.4</v>
      </c>
      <c r="C278" s="247"/>
    </row>
    <row r="279" spans="1:3" s="249" customFormat="1" x14ac:dyDescent="0.2">
      <c r="A279" s="262" t="s">
        <v>220</v>
      </c>
      <c r="B279" s="283">
        <v>5</v>
      </c>
      <c r="C279" s="249" t="s">
        <v>129</v>
      </c>
    </row>
    <row r="280" spans="1:3" s="249" customFormat="1" x14ac:dyDescent="0.2">
      <c r="A280" s="262" t="s">
        <v>219</v>
      </c>
      <c r="B280" s="283">
        <v>11</v>
      </c>
      <c r="C280" s="249" t="s">
        <v>130</v>
      </c>
    </row>
    <row r="281" spans="1:3" s="249" customFormat="1" x14ac:dyDescent="0.2">
      <c r="A281" s="663" t="s">
        <v>576</v>
      </c>
      <c r="B281" s="663"/>
      <c r="C281" s="663"/>
    </row>
    <row r="282" spans="1:3" s="249" customFormat="1" x14ac:dyDescent="0.2">
      <c r="A282" s="263" t="s">
        <v>577</v>
      </c>
      <c r="B282" s="283">
        <v>2</v>
      </c>
    </row>
    <row r="283" spans="1:3" s="249" customFormat="1" x14ac:dyDescent="0.2">
      <c r="A283" s="249" t="s">
        <v>100</v>
      </c>
      <c r="B283" s="283">
        <v>0.6</v>
      </c>
    </row>
    <row r="284" spans="1:3" s="249" customFormat="1" x14ac:dyDescent="0.2">
      <c r="A284" s="249" t="s">
        <v>107</v>
      </c>
      <c r="B284" s="283">
        <v>20</v>
      </c>
      <c r="C284" s="249" t="s">
        <v>69</v>
      </c>
    </row>
    <row r="285" spans="1:3" s="249" customFormat="1" x14ac:dyDescent="0.2">
      <c r="A285" s="263" t="s">
        <v>39</v>
      </c>
      <c r="B285" s="283">
        <v>50</v>
      </c>
      <c r="C285" s="249" t="s">
        <v>69</v>
      </c>
    </row>
    <row r="286" spans="1:3" s="249" customFormat="1" x14ac:dyDescent="0.2">
      <c r="A286" s="263" t="s">
        <v>83</v>
      </c>
      <c r="B286" s="283">
        <v>2</v>
      </c>
      <c r="C286" s="249" t="s">
        <v>582</v>
      </c>
    </row>
    <row r="287" spans="1:3" s="249" customFormat="1" x14ac:dyDescent="0.2">
      <c r="A287" s="249" t="s">
        <v>109</v>
      </c>
      <c r="B287" s="283">
        <v>2</v>
      </c>
      <c r="C287" s="249" t="s">
        <v>110</v>
      </c>
    </row>
    <row r="288" spans="1:3" s="249" customFormat="1" x14ac:dyDescent="0.2">
      <c r="A288" s="249" t="s">
        <v>114</v>
      </c>
      <c r="B288" s="283">
        <v>0.36</v>
      </c>
      <c r="C288" s="249" t="s">
        <v>582</v>
      </c>
    </row>
    <row r="289" spans="1:3" s="249" customFormat="1" x14ac:dyDescent="0.2">
      <c r="A289" s="249" t="s">
        <v>116</v>
      </c>
      <c r="B289" s="283">
        <v>2</v>
      </c>
      <c r="C289" s="249" t="s">
        <v>113</v>
      </c>
    </row>
    <row r="290" spans="1:3" s="249" customFormat="1" x14ac:dyDescent="0.2">
      <c r="A290" s="249" t="s">
        <v>118</v>
      </c>
      <c r="B290" s="283">
        <v>2</v>
      </c>
      <c r="C290" s="249" t="s">
        <v>113</v>
      </c>
    </row>
    <row r="291" spans="1:3" s="249" customFormat="1" x14ac:dyDescent="0.2">
      <c r="A291" s="249" t="s">
        <v>119</v>
      </c>
      <c r="B291" s="283">
        <v>2</v>
      </c>
      <c r="C291" s="249" t="s">
        <v>113</v>
      </c>
    </row>
    <row r="293" spans="1:3" s="249" customFormat="1" x14ac:dyDescent="0.2">
      <c r="A293" s="95" t="s">
        <v>299</v>
      </c>
      <c r="B293" s="365">
        <v>27.027027027027</v>
      </c>
    </row>
  </sheetData>
  <mergeCells count="335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B18:CD18"/>
    <mergeCell ref="CE18:CG18"/>
    <mergeCell ref="CK18:CM18"/>
    <mergeCell ref="CN18:CP18"/>
    <mergeCell ref="CO19:CO21"/>
    <mergeCell ref="CP19:CP21"/>
    <mergeCell ref="CQ18:CS18"/>
    <mergeCell ref="GY2:GY4"/>
    <mergeCell ref="GZ2:GZ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C2:BC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T2:T4"/>
    <mergeCell ref="U2:U4"/>
    <mergeCell ref="AC2:AC4"/>
    <mergeCell ref="AN2:AN4"/>
    <mergeCell ref="AO2:AO4"/>
    <mergeCell ref="AP2:AP4"/>
    <mergeCell ref="AQ2:AQ4"/>
    <mergeCell ref="AR2:AR4"/>
    <mergeCell ref="AI2:AI4"/>
    <mergeCell ref="AJ2:AJ4"/>
    <mergeCell ref="AK2:AK4"/>
    <mergeCell ref="AL2:AL4"/>
    <mergeCell ref="AM2:AM4"/>
    <mergeCell ref="GU1:GW1"/>
    <mergeCell ref="GX1:GZ1"/>
    <mergeCell ref="HA1:HC1"/>
    <mergeCell ref="HD1:HF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D2:AD4"/>
    <mergeCell ref="AE2:AE4"/>
    <mergeCell ref="AF2:AF4"/>
    <mergeCell ref="AG2:AG4"/>
    <mergeCell ref="AH2:AH4"/>
    <mergeCell ref="R2:R4"/>
    <mergeCell ref="S2:S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5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2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8.8554687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85546875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9.85546875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8.85546875" style="289" bestFit="1" customWidth="1"/>
    <col min="127" max="127" width="6.28515625" style="249" bestFit="1" customWidth="1"/>
    <col min="128" max="128" width="12" style="249" bestFit="1" customWidth="1"/>
    <col min="129" max="129" width="8.85546875" style="289" bestFit="1" customWidth="1"/>
    <col min="130" max="130" width="6.285156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8.85546875" style="289" bestFit="1" customWidth="1"/>
    <col min="142" max="142" width="6.28515625" style="249" bestFit="1" customWidth="1"/>
    <col min="143" max="143" width="12" style="249" bestFit="1" customWidth="1"/>
    <col min="144" max="144" width="8.85546875" style="289" bestFit="1" customWidth="1"/>
    <col min="145" max="145" width="7.42578125" style="249" bestFit="1" customWidth="1"/>
    <col min="146" max="146" width="12" style="249" bestFit="1" customWidth="1"/>
    <col min="147" max="147" width="8.8554687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8.85546875" style="289" bestFit="1" customWidth="1"/>
    <col min="157" max="157" width="6.28515625" style="249" bestFit="1" customWidth="1"/>
    <col min="158" max="158" width="8.5703125" style="249" bestFit="1" customWidth="1"/>
    <col min="159" max="159" width="8.85546875" style="289" bestFit="1" customWidth="1"/>
    <col min="160" max="160" width="7.42578125" style="249" bestFit="1" customWidth="1"/>
    <col min="161" max="161" width="10.140625" style="249" bestFit="1" customWidth="1"/>
    <col min="162" max="162" width="8.8554687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7.42578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8.85546875" style="289" bestFit="1" customWidth="1"/>
    <col min="187" max="187" width="6.28515625" style="249" bestFit="1" customWidth="1"/>
    <col min="188" max="188" width="12" style="249" bestFit="1" customWidth="1"/>
    <col min="189" max="189" width="8.85546875" style="289" bestFit="1" customWidth="1"/>
    <col min="190" max="190" width="7.42578125" style="249" bestFit="1" customWidth="1"/>
    <col min="191" max="191" width="12" style="249" bestFit="1" customWidth="1"/>
    <col min="192" max="192" width="8.8554687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8.85546875" style="289" bestFit="1" customWidth="1"/>
    <col min="202" max="202" width="6.28515625" style="249" bestFit="1" customWidth="1"/>
    <col min="203" max="203" width="12" style="249" bestFit="1" customWidth="1"/>
    <col min="204" max="204" width="8.85546875" style="289" bestFit="1" customWidth="1"/>
    <col min="205" max="205" width="7.42578125" style="249" bestFit="1" customWidth="1"/>
    <col min="206" max="206" width="12" style="249" bestFit="1" customWidth="1"/>
    <col min="207" max="207" width="8.8554687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customHeight="1" thickTop="1" thickBot="1" x14ac:dyDescent="0.25">
      <c r="A1" s="603" t="s">
        <v>0</v>
      </c>
      <c r="B1" s="604"/>
      <c r="C1" s="605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1/((1/H10)+(1/H12)+(1/H13))</f>
        <v>4.694728762746415E-10</v>
      </c>
      <c r="I2" s="625" t="s">
        <v>313</v>
      </c>
      <c r="J2" s="619" t="s">
        <v>507</v>
      </c>
      <c r="K2" s="623">
        <f>1/((1/K14)+(1/K15)+(1/K16)+(1/K17))</f>
        <v>2.7440171143026021E-7</v>
      </c>
      <c r="L2" s="621" t="s">
        <v>311</v>
      </c>
      <c r="M2" s="617" t="s">
        <v>516</v>
      </c>
      <c r="N2" s="647">
        <f>((N5*N6*N7)/((1-EXP(-N7*N6))*N10*N15*(N9/365)*N13*(((N14/24)*N12)+((N16/24)*N11))))*N8*N17*N18</f>
        <v>1.0301456415775252E-5</v>
      </c>
      <c r="O2" s="615" t="s">
        <v>311</v>
      </c>
      <c r="P2" s="639" t="s">
        <v>516</v>
      </c>
      <c r="Q2" s="647">
        <f>((Q5*Q6*Q7)/((1-EXP(-Q7*Q6))*Q10*Q15*(Q9/365)*Q13*(((Q14/24)*Q12)+((Q16/24)*Q11))))*Q8*Q17*Q18</f>
        <v>3.2568393009854582E-6</v>
      </c>
      <c r="R2" s="637" t="s">
        <v>311</v>
      </c>
      <c r="S2" s="641" t="s">
        <v>516</v>
      </c>
      <c r="T2" s="647">
        <f>((T5*T6*T7)/((1-EXP(-T7*T6))*T10*T15*(T9/365)*T13*(((T14/24)*T12)+((T16/24)*T11))))*T8*T17*T18</f>
        <v>1.6188002939075401E-6</v>
      </c>
      <c r="U2" s="643" t="s">
        <v>311</v>
      </c>
      <c r="V2" s="55"/>
      <c r="W2" s="357"/>
      <c r="X2" s="56"/>
      <c r="Y2" s="57"/>
      <c r="Z2" s="357"/>
      <c r="AA2" s="58"/>
      <c r="AB2" s="650"/>
      <c r="AC2" s="660">
        <f>1/((1/AC32)+(1/AC33)+(1/AC34))</f>
        <v>4.9966767736363614E-5</v>
      </c>
      <c r="AD2" s="657">
        <f>1/((1/AD32)+(1/AD33)+(1/AD34))</f>
        <v>8.9984632829747681E-5</v>
      </c>
      <c r="AE2" s="657">
        <f>1/((1/AE32)+(1/AE33)+(1/AE34))</f>
        <v>4.9966767736363614E-5</v>
      </c>
      <c r="AF2" s="657">
        <f>1/((1/AF32)+(1/AF33)+(1/AF34))</f>
        <v>1.8881268451619921E-6</v>
      </c>
      <c r="AG2" s="654">
        <f>1/((1/AG32)+(1/AG33)+(1/AG34))</f>
        <v>6.262588352440978E-5</v>
      </c>
      <c r="AH2" s="652" t="s">
        <v>311</v>
      </c>
      <c r="AI2" s="381" t="s">
        <v>516</v>
      </c>
      <c r="AJ2" s="387">
        <f>((AJ5*AJ6*AJ7)/((1-EXP(-AJ7*AJ6))*AJ15*(AJ9/365)*AJ10*(AJ16/24)*AJ11*AJ13))*AJ8*AJ17*AJ18</f>
        <v>1.6853377502599342E-4</v>
      </c>
      <c r="AK2" s="629" t="s">
        <v>311</v>
      </c>
      <c r="AL2" s="383" t="s">
        <v>516</v>
      </c>
      <c r="AM2" s="387">
        <f>((AM5*AM6*AM7)/((1-EXP(-AM7*AM6))*AM15*(AM9/365)*AM10*(AM16/24)*AM11*AM13))*AM8*AM17*AM18</f>
        <v>3.3907049814227869E-4</v>
      </c>
      <c r="AN2" s="629" t="s">
        <v>311</v>
      </c>
      <c r="AO2" s="383" t="s">
        <v>516</v>
      </c>
      <c r="AP2" s="387">
        <f>((AP5*AP6*AP7)/((1-EXP(-AP7*AP6))*AP15*(AP9/365)*AP10*(AP16/24)*AP11*AP13))*AP8*AP17*AP18</f>
        <v>1.6853377502599342E-4</v>
      </c>
      <c r="AQ2" s="635" t="s">
        <v>311</v>
      </c>
      <c r="AR2" s="381" t="s">
        <v>516</v>
      </c>
      <c r="AS2" s="387">
        <f>((AS5*AS6*AS7)/((1-EXP(-AS7*AS6))*AS15*(AS9/365)*AS10*(AS14/24)*AS12*AS13))*AS8*AS17*AS18</f>
        <v>6.7413510010397358E-5</v>
      </c>
      <c r="AT2" s="391" t="s">
        <v>311</v>
      </c>
      <c r="AU2" s="383" t="s">
        <v>516</v>
      </c>
      <c r="AV2" s="387">
        <f>((AV5*AV6*AV7)/((1-EXP(-AV7*AV6))*AV15*(AV9/365)*AV10*(AV14/24)*AV12*AV13))*AV8*AV17*AV18</f>
        <v>1.3562819925691148E-4</v>
      </c>
      <c r="AW2" s="391" t="s">
        <v>311</v>
      </c>
      <c r="AX2" s="383" t="s">
        <v>516</v>
      </c>
      <c r="AY2" s="387">
        <f>((AY5*AY6*AY7)/((1-EXP(-AY7*AY6))*AY15*(AY9/365)*AY10*(AY14/24)*AY12*AY13))*AY8*AY17*AY18</f>
        <v>6.7413510010397358E-5</v>
      </c>
      <c r="AZ2" s="385" t="s">
        <v>311</v>
      </c>
      <c r="BA2" s="381" t="s">
        <v>516</v>
      </c>
      <c r="BB2" s="387">
        <f>((BB5*BB6*BB7)/((1-EXP(-BB7*BB6))*BB15*(BB9/365)*BB10*((BB14+BB16)/24)*BB12*BB13))*BB8*BB17*BB18</f>
        <v>6.7413510010397358E-5</v>
      </c>
      <c r="BC2" s="391" t="s">
        <v>311</v>
      </c>
      <c r="BD2" s="383" t="s">
        <v>516</v>
      </c>
      <c r="BE2" s="387">
        <f>((BE5*BE6*BE7)/((1-EXP(-BE7*BE6))*BE15*(BE9/365)*BE10*((BE14+BE16)/24)*BE12*BE13))*BE8*BE17*BE18</f>
        <v>1.3562819925691148E-4</v>
      </c>
      <c r="BF2" s="391" t="s">
        <v>311</v>
      </c>
      <c r="BG2" s="383" t="s">
        <v>516</v>
      </c>
      <c r="BH2" s="387">
        <f>((BH5*BH6*BH7)/((1-EXP(-BH7*BH6))*BH15*(BH9/365)*BH10*((BH14+BH16)/24)*BH12*BH13))*BH8*BH17*BH18</f>
        <v>6.7413510010397358E-5</v>
      </c>
      <c r="BI2" s="385" t="s">
        <v>311</v>
      </c>
      <c r="BJ2" s="381" t="s">
        <v>558</v>
      </c>
      <c r="BK2" s="389">
        <f>((BK5*BK6*BK7)/((1-EXP(-BK7*BK6))*BK12*BK16*(BK9/365)*BK14*(BK15/24)*BK13))*BK8*BK17*BK18</f>
        <v>0.37147955899994689</v>
      </c>
      <c r="BL2" s="391" t="s">
        <v>311</v>
      </c>
      <c r="BM2" s="383" t="s">
        <v>559</v>
      </c>
      <c r="BN2" s="389">
        <f>((BN5*BN6*BN7)/((1-EXP(-BN7*BN6))*BN12*BN16*(BN9/365)*BN14*(BN15/24)*BN13))*BN8*BN17*BN18</f>
        <v>1.5601822049316287</v>
      </c>
      <c r="BO2" s="391" t="s">
        <v>311</v>
      </c>
      <c r="BP2" s="383" t="s">
        <v>560</v>
      </c>
      <c r="BQ2" s="389">
        <f>((BQ5*BQ6*BQ7)/((1-EXP(-BQ7*BQ6))*BQ12*BQ16*(BQ9/365)*BQ14*(BQ15/24)*BQ13))*BQ8*BQ17*BQ18</f>
        <v>0.45058892341789009</v>
      </c>
      <c r="BR2" s="385" t="s">
        <v>311</v>
      </c>
      <c r="BS2" s="59"/>
      <c r="BT2" s="110"/>
      <c r="BU2" s="250"/>
      <c r="BV2" s="402" t="s">
        <v>563</v>
      </c>
      <c r="BW2" s="400">
        <f>1/((1/BW10)+(1/BW11))</f>
        <v>2.8873235473687947E-10</v>
      </c>
      <c r="BX2" s="404" t="s">
        <v>313</v>
      </c>
      <c r="BY2" s="402" t="s">
        <v>563</v>
      </c>
      <c r="BZ2" s="400">
        <f>1/((1/BZ13)+(1/BZ14)+(1/BZ15))</f>
        <v>1.4973048536984176E-5</v>
      </c>
      <c r="CA2" s="398" t="s">
        <v>311</v>
      </c>
      <c r="CB2" s="410" t="s">
        <v>558</v>
      </c>
      <c r="CC2" s="400">
        <f>((CC5*CC6*CC7)/((1-EXP(-CC7*CC6))*CC10*CC14*(CC9/365)*CC12*(CC13/24)*CC11))*CC8*CC15*CC16</f>
        <v>0.2663694932759888</v>
      </c>
      <c r="CD2" s="404" t="s">
        <v>311</v>
      </c>
      <c r="CE2" s="402" t="s">
        <v>559</v>
      </c>
      <c r="CF2" s="400">
        <f>((CF5*CF6*CF7)/((1-EXP(-CF7*CF6))*CF10*CF14*(CF9/365)*CF12*(CF13/24)*CF11))*CF8*CF15*CF16</f>
        <v>1.1187289671190566</v>
      </c>
      <c r="CG2" s="404" t="s">
        <v>311</v>
      </c>
      <c r="CH2" s="402" t="s">
        <v>560</v>
      </c>
      <c r="CI2" s="400">
        <f>((CI5*CI6*CI7)/((1-EXP(-CI7*CI6))*CI10*CI14*(CI9/365)*CI12*(CI13/24)*CI11))*CI8*CI15*CI16</f>
        <v>0.32309487910911899</v>
      </c>
      <c r="CJ2" s="398" t="s">
        <v>311</v>
      </c>
      <c r="CK2" s="410" t="s">
        <v>510</v>
      </c>
      <c r="CL2" s="400">
        <f>(CL5/(CL6*CL7*CL8*CL9))*CL11*CL10*CL15</f>
        <v>1.1197376963581948E-6</v>
      </c>
      <c r="CM2" s="404" t="s">
        <v>311</v>
      </c>
      <c r="CN2" s="402" t="s">
        <v>7</v>
      </c>
      <c r="CO2" s="400">
        <f>(CL2/(CO5*((CO10*CO12*CO13*(CO6+CO7))+(CO11*CO12))))*CL13</f>
        <v>6.2239946727121022E-3</v>
      </c>
      <c r="CP2" s="412" t="s">
        <v>311</v>
      </c>
      <c r="CQ2" s="402" t="s">
        <v>6</v>
      </c>
      <c r="CR2" s="400">
        <f>CL2/(CR5*CR6*(1/CR7))</f>
        <v>0.18662294939303245</v>
      </c>
      <c r="CS2" s="415" t="s">
        <v>313</v>
      </c>
      <c r="CT2" s="208"/>
      <c r="CU2" s="61"/>
      <c r="CV2" s="62"/>
      <c r="CW2" s="63"/>
      <c r="CX2" s="151"/>
      <c r="CY2" s="64"/>
      <c r="CZ2" s="65"/>
      <c r="DA2" s="66"/>
      <c r="DB2" s="67"/>
      <c r="DC2" s="704" t="s">
        <v>510</v>
      </c>
      <c r="DD2" s="674">
        <f>((DD5)/(DD6*(DD7+DD10)*DD20))*DD22*DD23*DD24</f>
        <v>6.0151198564696432E-9</v>
      </c>
      <c r="DE2" s="706" t="s">
        <v>311</v>
      </c>
      <c r="DF2" s="670" t="s">
        <v>510</v>
      </c>
      <c r="DG2" s="668">
        <f>(DD2/((1/DG24)*(DG5+DG6+DG7)))</f>
        <v>4.7260678138170075E-7</v>
      </c>
      <c r="DH2" s="666" t="s">
        <v>313</v>
      </c>
      <c r="DI2" s="680" t="s">
        <v>510</v>
      </c>
      <c r="DJ2" s="668">
        <f>(DD2/(DJ5+DJ6))*CU11</f>
        <v>2.3694223076665947E-8</v>
      </c>
      <c r="DK2" s="666" t="s">
        <v>313</v>
      </c>
      <c r="DL2" s="680" t="s">
        <v>554</v>
      </c>
      <c r="DM2" s="668">
        <f>(DD2/(DM5+DM6))*((DM9*DD21)/(1-EXP(-DD21*DM9)))</f>
        <v>2.3694223076665947E-8</v>
      </c>
      <c r="DN2" s="666" t="s">
        <v>313</v>
      </c>
      <c r="DO2" s="680" t="s">
        <v>553</v>
      </c>
      <c r="DP2" s="668">
        <f>-(DP5+DP6+DP7)/(DP23+DP24)</f>
        <v>-48.948458444089098</v>
      </c>
      <c r="DQ2" s="678" t="s">
        <v>19</v>
      </c>
      <c r="DR2" s="556" t="s">
        <v>510</v>
      </c>
      <c r="DS2" s="460">
        <f>(DS5/(DS6*DS7*DS16))*DS19*DS20*DS21</f>
        <v>1.2030239712939286E-8</v>
      </c>
      <c r="DT2" s="466" t="s">
        <v>311</v>
      </c>
      <c r="DU2" s="464" t="s">
        <v>510</v>
      </c>
      <c r="DV2" s="462">
        <f>DS2/(DV5*(1/DV8)*DV6*(1/DV7))</f>
        <v>0.32068185570205654</v>
      </c>
      <c r="DW2" s="480" t="s">
        <v>313</v>
      </c>
      <c r="DX2" s="478" t="s">
        <v>510</v>
      </c>
      <c r="DY2" s="462">
        <f>(DS2/(DY9*(1/DY14)*((DY10*DY12*DY13*(DY5+DY6))+(DY11*DY12))))*CU11</f>
        <v>5.5188192777551066E-3</v>
      </c>
      <c r="DZ2" s="480" t="s">
        <v>313</v>
      </c>
      <c r="EA2" s="478" t="s">
        <v>554</v>
      </c>
      <c r="EB2" s="462">
        <f>(DS2/(EB9*(1/EB14)*((EB10*EB12*EB13*(EB5+EB6))+(EB11*EB12))))*((EB15*DS18)/(1-EXP(-DS18*EB15)))</f>
        <v>5.5188192777551066E-3</v>
      </c>
      <c r="EC2" s="480" t="s">
        <v>313</v>
      </c>
      <c r="ED2" s="478" t="s">
        <v>553</v>
      </c>
      <c r="EE2" s="462">
        <f>-EE15/((EE10*EE12*EE13*(EE5+EE6))+(EE11*EE12))</f>
        <v>-16.802282392818878</v>
      </c>
      <c r="EF2" s="476" t="s">
        <v>19</v>
      </c>
      <c r="EG2" s="474" t="s">
        <v>510</v>
      </c>
      <c r="EH2" s="472">
        <f>(EH5/(EH6*EH7*EH16))*EH19*EH20*EH21</f>
        <v>1.2030239712939286E-8</v>
      </c>
      <c r="EI2" s="470" t="s">
        <v>311</v>
      </c>
      <c r="EJ2" s="468" t="s">
        <v>510</v>
      </c>
      <c r="EK2" s="502">
        <f>EH2/(EK5*EK6*(1/EK7))</f>
        <v>4.5397130992223724E-4</v>
      </c>
      <c r="EL2" s="500" t="s">
        <v>313</v>
      </c>
      <c r="EM2" s="504" t="s">
        <v>510</v>
      </c>
      <c r="EN2" s="502">
        <f>(EH2/(EN9*((EN10*EN12*EN13*(EN5+EN6))+(EN11*EN12))))*CU11</f>
        <v>7.1581561355124483E-6</v>
      </c>
      <c r="EO2" s="500" t="s">
        <v>311</v>
      </c>
      <c r="EP2" s="504" t="s">
        <v>554</v>
      </c>
      <c r="EQ2" s="502">
        <f>(EH2/(EQ9*((EQ10*EQ12*EQ13*(EQ5+EQ6))+(EQ11*EQ12))))*((EQ14*EH18)/(1-EXP(-EH18*EQ14)))</f>
        <v>7.1581561355124483E-6</v>
      </c>
      <c r="ER2" s="500" t="s">
        <v>313</v>
      </c>
      <c r="ES2" s="504" t="s">
        <v>553</v>
      </c>
      <c r="ET2" s="502">
        <f>-ET15/((ET10*ET12*ET13*(ET5+ET6))+(ET11*ET12))</f>
        <v>-15.39462998242915</v>
      </c>
      <c r="EU2" s="514" t="s">
        <v>19</v>
      </c>
      <c r="EV2" s="512" t="s">
        <v>510</v>
      </c>
      <c r="EW2" s="510">
        <f>(EW5/(EW6*EW7*EW16))*EW19*EW20*EW21</f>
        <v>1.2030239712939286E-8</v>
      </c>
      <c r="EX2" s="508" t="s">
        <v>311</v>
      </c>
      <c r="EY2" s="506" t="s">
        <v>510</v>
      </c>
      <c r="EZ2" s="494">
        <f>EW2/(EZ5*EZ6*(1/EZ7))</f>
        <v>1.0025199760782737E-2</v>
      </c>
      <c r="FA2" s="498" t="s">
        <v>313</v>
      </c>
      <c r="FB2" s="496" t="s">
        <v>510</v>
      </c>
      <c r="FC2" s="494">
        <f>(EW2/(FC9*((FC10*FC12*FC13*(FC5+FC6))+(FC11*FC12))))*CU11</f>
        <v>5.7042361368312986E-5</v>
      </c>
      <c r="FD2" s="498" t="s">
        <v>311</v>
      </c>
      <c r="FE2" s="496" t="s">
        <v>554</v>
      </c>
      <c r="FF2" s="494">
        <f>(EW2/(FF9*((FF10*FF12*FF13*(FF5+FF6))+(FF11*FF12))))*((FF14*EW18)/(1-EXP(-EW18*FF14)))</f>
        <v>5.7042361368312986E-5</v>
      </c>
      <c r="FG2" s="498" t="s">
        <v>313</v>
      </c>
      <c r="FH2" s="496" t="s">
        <v>553</v>
      </c>
      <c r="FI2" s="494">
        <f>-FI15/((FI10*FI12*FI13*(FI5+FI6))+(FI11*FI12))</f>
        <v>-5.5552160701290481</v>
      </c>
      <c r="FJ2" s="492" t="s">
        <v>19</v>
      </c>
      <c r="FK2" s="490" t="s">
        <v>510</v>
      </c>
      <c r="FL2" s="488">
        <f>(FL5/(FL6*FL7*FL16))*FL19*FL20*FL21</f>
        <v>1.2030239712939286E-8</v>
      </c>
      <c r="FM2" s="486" t="s">
        <v>311</v>
      </c>
      <c r="FN2" s="484" t="s">
        <v>510</v>
      </c>
      <c r="FO2" s="430">
        <f>FL2/(FO5*(1/FO6))</f>
        <v>5.0125998803913697E-8</v>
      </c>
      <c r="FP2" s="428" t="s">
        <v>313</v>
      </c>
      <c r="FQ2" s="482" t="s">
        <v>510</v>
      </c>
      <c r="FR2" s="430">
        <f>((FL2*FR6)/FR5)*CU11</f>
        <v>2.0536505024542775E-10</v>
      </c>
      <c r="FS2" s="428" t="s">
        <v>311</v>
      </c>
      <c r="FT2" s="426" t="s">
        <v>554</v>
      </c>
      <c r="FU2" s="430">
        <f>((FL2*FU6)/FU5)*((FU7*FL18)/(1-EXP(-FL18*FU7)))</f>
        <v>2.0536505024542775E-10</v>
      </c>
      <c r="FV2" s="428" t="s">
        <v>313</v>
      </c>
      <c r="FW2" s="426" t="s">
        <v>553</v>
      </c>
      <c r="FX2" s="430">
        <f>-FX5/FX6</f>
        <v>-4.0000000000000001E-3</v>
      </c>
      <c r="FY2" s="438" t="s">
        <v>19</v>
      </c>
      <c r="FZ2" s="436" t="s">
        <v>510</v>
      </c>
      <c r="GA2" s="434">
        <f>(GA5/(GA6*GA7*GA16))*GA19*GA20*GA21</f>
        <v>1.2030239712939286E-8</v>
      </c>
      <c r="GB2" s="432" t="s">
        <v>311</v>
      </c>
      <c r="GC2" s="458" t="s">
        <v>510</v>
      </c>
      <c r="GD2" s="417">
        <f>(GA2/(GD5*GD6*(1/GD7)))</f>
        <v>5.0125998803913687E-3</v>
      </c>
      <c r="GE2" s="421" t="s">
        <v>313</v>
      </c>
      <c r="GF2" s="419" t="s">
        <v>510</v>
      </c>
      <c r="GG2" s="417">
        <f>(GA2/((GG9)*((GG10*GG12*GG13*(GG5+GG6))+(GG11*GG12))))*CU11</f>
        <v>2.8521180684156493E-5</v>
      </c>
      <c r="GH2" s="421" t="s">
        <v>311</v>
      </c>
      <c r="GI2" s="419" t="s">
        <v>554</v>
      </c>
      <c r="GJ2" s="417">
        <f>(GA2/((GJ9)*((GJ10*GJ12*GJ13*(GJ5+GJ6))+(GJ11*GJ12))))*((GJ14*GA18)/(1-EXP(-GA18*GJ14)))</f>
        <v>2.8521180684156493E-5</v>
      </c>
      <c r="GK2" s="421" t="s">
        <v>313</v>
      </c>
      <c r="GL2" s="419" t="s">
        <v>553</v>
      </c>
      <c r="GM2" s="417">
        <f>-GM15/((GM10*GM12*GM13*(GM5+GM6))+(GM11*GM12))</f>
        <v>-5.5552160701290481</v>
      </c>
      <c r="GN2" s="456" t="s">
        <v>19</v>
      </c>
      <c r="GO2" s="454" t="s">
        <v>510</v>
      </c>
      <c r="GP2" s="452">
        <f>(GP5/(GP6*GP7*GP15))*GP18*GP19*GP20</f>
        <v>1.2030239712939286E-8</v>
      </c>
      <c r="GQ2" s="450" t="s">
        <v>311</v>
      </c>
      <c r="GR2" s="448" t="s">
        <v>510</v>
      </c>
      <c r="GS2" s="442">
        <f>GP2/(GS5*GS6*(1/GS7))</f>
        <v>6.2075540314444188E-3</v>
      </c>
      <c r="GT2" s="446" t="s">
        <v>313</v>
      </c>
      <c r="GU2" s="444" t="s">
        <v>510</v>
      </c>
      <c r="GV2" s="442">
        <f>(GP2/((GV9)*((GV10*GV12*GV13*(GV5+GV6))+(GV11*GV12))))*CU11</f>
        <v>4.6910635520938415E-5</v>
      </c>
      <c r="GW2" s="446" t="s">
        <v>311</v>
      </c>
      <c r="GX2" s="444" t="s">
        <v>554</v>
      </c>
      <c r="GY2" s="442">
        <f>(GP2/((GY9)*((GY10*GY12*GY13*(GY5+GY6))+(GY11*GY12))))*((GY14*GP17)/(1-EXP(-GP17*GY14)))</f>
        <v>4.6910635520938415E-5</v>
      </c>
      <c r="GZ2" s="446" t="s">
        <v>313</v>
      </c>
      <c r="HA2" s="444" t="s">
        <v>553</v>
      </c>
      <c r="HB2" s="442">
        <f>-HB15/((HB10*HB12*HB13*(HB5+HB6))+(HB11*HB12))</f>
        <v>-7.3781469900331578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362">
        <v>2.41E-4</v>
      </c>
      <c r="C3" s="240"/>
      <c r="D3" s="317" t="s">
        <v>15</v>
      </c>
      <c r="E3" s="285">
        <f>1/((1/E20)+(1/E21))</f>
        <v>1.2773282952124091E-13</v>
      </c>
      <c r="F3" s="253" t="s">
        <v>312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2.4623143392241064E-12</v>
      </c>
      <c r="X3" s="254" t="s">
        <v>312</v>
      </c>
      <c r="Y3" s="321" t="s">
        <v>16</v>
      </c>
      <c r="Z3" s="358">
        <f>1/((1/Z18)+(1/Z19))</f>
        <v>2.4623143392241064E-12</v>
      </c>
      <c r="AA3" s="255" t="s">
        <v>312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1.7293059996721848E-12</v>
      </c>
      <c r="BU3" s="250" t="s">
        <v>312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2.0358680133449651E-10</v>
      </c>
      <c r="CV3" s="71" t="s">
        <v>311</v>
      </c>
      <c r="CW3" s="326" t="s">
        <v>15</v>
      </c>
      <c r="CX3" s="117">
        <f>1/((1/CX20)+(1/CX21))</f>
        <v>1.3624832853003329E-13</v>
      </c>
      <c r="CY3" s="256" t="s">
        <v>312</v>
      </c>
      <c r="CZ3" s="338" t="s">
        <v>285</v>
      </c>
      <c r="DA3" s="336">
        <f>1/((1/DA13)+(1/DA15)+(1/DA16)+(1/DA17)+(1/DA18)+(1/DA19)+(1/DA20)+(1/DA21)+(1/DA22))</f>
        <v>4.000176070048368E-8</v>
      </c>
      <c r="DB3" s="72" t="s">
        <v>313</v>
      </c>
      <c r="DC3" s="704"/>
      <c r="DD3" s="674"/>
      <c r="DE3" s="706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(HE5*HE13*10^-3*(HE14+(HE9/HE10))*((HE11*HE7)/(1-EXP(-HE7*HE11))))*HE8*HE15*HE16</f>
        <v>1.9114569682479954E-8</v>
      </c>
      <c r="HF3" s="252" t="s">
        <v>311</v>
      </c>
    </row>
    <row r="4" spans="1:214" ht="13.5" customHeight="1" thickBot="1" x14ac:dyDescent="0.25">
      <c r="A4" s="279" t="s">
        <v>457</v>
      </c>
      <c r="B4" s="363">
        <v>0.753</v>
      </c>
      <c r="C4" s="241"/>
      <c r="D4" s="318" t="s">
        <v>16</v>
      </c>
      <c r="E4" s="286">
        <f>1/((1/E22)+(1/E23))</f>
        <v>1.2979187518720456E-13</v>
      </c>
      <c r="F4" s="257" t="s">
        <v>312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2.4524703268078256E-12</v>
      </c>
      <c r="X4" s="258" t="s">
        <v>312</v>
      </c>
      <c r="Y4" s="322" t="s">
        <v>15</v>
      </c>
      <c r="Z4" s="359">
        <f>1/((1/Z16)+(1/Z17))</f>
        <v>2.4524703268078256E-12</v>
      </c>
      <c r="AA4" s="259" t="s">
        <v>312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1.7656029973520559E-12</v>
      </c>
      <c r="BU4" s="260" t="s">
        <v>312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2.3630457646746363E-8</v>
      </c>
      <c r="CV4" s="73" t="s">
        <v>311</v>
      </c>
      <c r="CW4" s="327" t="s">
        <v>16</v>
      </c>
      <c r="CX4" s="106">
        <f>1/((1/CX22)+(1/CX23))</f>
        <v>1.3955155758532827E-13</v>
      </c>
      <c r="CY4" s="261" t="s">
        <v>312</v>
      </c>
      <c r="CZ4" s="339" t="s">
        <v>11</v>
      </c>
      <c r="DA4" s="337">
        <f>1/((1/DA15)+(1/DA16)+(1/DA13))</f>
        <v>1.9815689495732421E-7</v>
      </c>
      <c r="DB4" s="74" t="s">
        <v>313</v>
      </c>
      <c r="DC4" s="705"/>
      <c r="DD4" s="675"/>
      <c r="DE4" s="707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2.0512752306145282E-12</v>
      </c>
      <c r="HF4" s="75" t="s">
        <v>311</v>
      </c>
    </row>
    <row r="5" spans="1:214" ht="14.25" thickTop="1" thickBot="1" x14ac:dyDescent="0.25">
      <c r="A5" s="589" t="s">
        <v>281</v>
      </c>
      <c r="B5" s="590"/>
      <c r="C5" s="591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6.0000000000000001E-3</v>
      </c>
      <c r="CQ5" s="262" t="s">
        <v>264</v>
      </c>
      <c r="CR5" s="287">
        <f>CO5</f>
        <v>6.0000000000000001E-3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6.6877504027585484E-4</v>
      </c>
      <c r="DH5" s="249" t="s">
        <v>19</v>
      </c>
      <c r="DI5" s="262" t="s">
        <v>20</v>
      </c>
      <c r="DJ5" s="305">
        <f>DJ7</f>
        <v>1.914E-5</v>
      </c>
      <c r="DK5" s="262"/>
      <c r="DL5" s="262" t="s">
        <v>20</v>
      </c>
      <c r="DM5" s="305">
        <f>DM7</f>
        <v>1.914E-5</v>
      </c>
      <c r="DO5" s="249" t="s">
        <v>18</v>
      </c>
      <c r="DP5" s="118">
        <f>(DP8*DP9*DP10*((1-EXP(-DP11*DP12))))/(DP13*DP11)</f>
        <v>6.6877504027585484E-4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4.2E-7</v>
      </c>
      <c r="DW5" s="262"/>
      <c r="DX5" s="262" t="s">
        <v>21</v>
      </c>
      <c r="DY5" s="305">
        <f>DY7</f>
        <v>2.1999999999999999E-5</v>
      </c>
      <c r="DZ5" s="262"/>
      <c r="EA5" s="262" t="s">
        <v>21</v>
      </c>
      <c r="EB5" s="305">
        <f>EB7</f>
        <v>2.1999999999999999E-5</v>
      </c>
      <c r="EC5" s="263"/>
      <c r="ED5" s="262" t="s">
        <v>21</v>
      </c>
      <c r="EE5" s="305">
        <f>EE7</f>
        <v>2.1999999999999999E-5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5.0000000000000001E-4</v>
      </c>
      <c r="EL5" s="262"/>
      <c r="EM5" s="262" t="s">
        <v>21</v>
      </c>
      <c r="EN5" s="305">
        <f>EN7</f>
        <v>2.1999999999999999E-5</v>
      </c>
      <c r="EO5" s="262"/>
      <c r="EP5" s="262" t="s">
        <v>21</v>
      </c>
      <c r="EQ5" s="305">
        <f>EQ7</f>
        <v>2.1999999999999999E-5</v>
      </c>
      <c r="ER5" s="263"/>
      <c r="ES5" s="262" t="s">
        <v>21</v>
      </c>
      <c r="ET5" s="305">
        <f>ET7</f>
        <v>2.1999999999999999E-5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3.0000000000000001E-3</v>
      </c>
      <c r="FA5" s="262"/>
      <c r="FB5" s="262" t="s">
        <v>21</v>
      </c>
      <c r="FC5" s="305">
        <f>FC7</f>
        <v>2.1999999999999999E-5</v>
      </c>
      <c r="FD5" s="262"/>
      <c r="FE5" s="262" t="s">
        <v>21</v>
      </c>
      <c r="FF5" s="305">
        <f>FF7</f>
        <v>2.1999999999999999E-5</v>
      </c>
      <c r="FG5" s="263"/>
      <c r="FH5" s="263" t="s">
        <v>21</v>
      </c>
      <c r="FI5" s="290">
        <f>FI7</f>
        <v>2.1999999999999999E-5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240</v>
      </c>
      <c r="FP5" s="263"/>
      <c r="FQ5" s="263" t="s">
        <v>122</v>
      </c>
      <c r="FR5" s="298">
        <f>B36</f>
        <v>240</v>
      </c>
      <c r="FS5" s="263"/>
      <c r="FT5" s="263" t="s">
        <v>122</v>
      </c>
      <c r="FU5" s="298">
        <f>B36</f>
        <v>240</v>
      </c>
      <c r="FV5" s="263"/>
      <c r="FW5" s="262" t="s">
        <v>181</v>
      </c>
      <c r="FX5" s="305">
        <f>B46</f>
        <v>4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6.0000000000000001E-3</v>
      </c>
      <c r="GE5" s="262"/>
      <c r="GF5" s="262" t="s">
        <v>21</v>
      </c>
      <c r="GG5" s="305">
        <f>GG7</f>
        <v>2.1999999999999999E-5</v>
      </c>
      <c r="GH5" s="262"/>
      <c r="GI5" s="262" t="s">
        <v>21</v>
      </c>
      <c r="GJ5" s="305">
        <f>GJ7</f>
        <v>2.1999999999999999E-5</v>
      </c>
      <c r="GK5" s="262"/>
      <c r="GL5" s="262" t="s">
        <v>21</v>
      </c>
      <c r="GM5" s="305">
        <f>GM7</f>
        <v>2.1999999999999999E-5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1.7000000000000001E-4</v>
      </c>
      <c r="GT5" s="262"/>
      <c r="GU5" s="262" t="s">
        <v>21</v>
      </c>
      <c r="GV5" s="305">
        <f>GV7</f>
        <v>2.1999999999999999E-5</v>
      </c>
      <c r="GW5" s="262"/>
      <c r="GX5" s="262" t="s">
        <v>21</v>
      </c>
      <c r="GY5" s="305">
        <f>GY7</f>
        <v>2.1999999999999999E-5</v>
      </c>
      <c r="GZ5" s="262"/>
      <c r="HA5" s="262" t="s">
        <v>21</v>
      </c>
      <c r="HB5" s="305">
        <f>HB7</f>
        <v>2.1999999999999999E-5</v>
      </c>
      <c r="HC5" s="263"/>
      <c r="HD5" s="265" t="s">
        <v>22</v>
      </c>
      <c r="HE5" s="292">
        <f>B47</f>
        <v>15</v>
      </c>
      <c r="HF5" s="262" t="s">
        <v>580</v>
      </c>
    </row>
    <row r="6" spans="1:214" ht="13.5" thickTop="1" x14ac:dyDescent="0.2">
      <c r="A6" s="278" t="s">
        <v>454</v>
      </c>
      <c r="B6" s="362">
        <v>1.17E-4</v>
      </c>
      <c r="C6" s="240"/>
      <c r="D6" s="262" t="s">
        <v>23</v>
      </c>
      <c r="E6" s="288">
        <f>0.693/E7</f>
        <v>1.6034243405830633E-3</v>
      </c>
      <c r="G6" s="262" t="s">
        <v>439</v>
      </c>
      <c r="H6" s="287">
        <f>B20</f>
        <v>1.036E-10</v>
      </c>
      <c r="I6" s="262" t="s">
        <v>35</v>
      </c>
      <c r="J6" s="262" t="s">
        <v>316</v>
      </c>
      <c r="K6" s="287">
        <f>B21</f>
        <v>1.8425999999999999E-10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1.6034243405830633E-3</v>
      </c>
      <c r="Y6" s="262" t="s">
        <v>23</v>
      </c>
      <c r="Z6" s="288">
        <f>0.693/Z7</f>
        <v>1.6034243405830633E-3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BQ12</f>
        <v>5</v>
      </c>
      <c r="BR6" s="249" t="s">
        <v>69</v>
      </c>
      <c r="BS6" s="262" t="s">
        <v>23</v>
      </c>
      <c r="BT6" s="288">
        <f>0.693/BT7</f>
        <v>1.6034243405830633E-3</v>
      </c>
      <c r="BV6" s="262" t="s">
        <v>163</v>
      </c>
      <c r="BW6" s="287">
        <f>B20</f>
        <v>1.036E-10</v>
      </c>
      <c r="BX6" s="262" t="s">
        <v>35</v>
      </c>
      <c r="BY6" s="262" t="s">
        <v>45</v>
      </c>
      <c r="BZ6" s="287">
        <f>B21</f>
        <v>1.8425999999999999E-10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1.3357000000000001E-10</v>
      </c>
      <c r="CM6" s="266" t="s">
        <v>13</v>
      </c>
      <c r="CN6" s="263" t="s">
        <v>21</v>
      </c>
      <c r="CO6" s="290">
        <f>CO8</f>
        <v>2.1999999999999999E-5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1.8425999999999999E-10</v>
      </c>
      <c r="CV6" s="262" t="s">
        <v>35</v>
      </c>
      <c r="CW6" s="262" t="s">
        <v>23</v>
      </c>
      <c r="CX6" s="288">
        <f>0.693/CX7</f>
        <v>1.6034243405830633E-3</v>
      </c>
      <c r="CZ6" s="262" t="s">
        <v>163</v>
      </c>
      <c r="DA6" s="287">
        <f>B20</f>
        <v>1.036E-10</v>
      </c>
      <c r="DB6" s="262" t="s">
        <v>35</v>
      </c>
      <c r="DC6" s="262" t="s">
        <v>438</v>
      </c>
      <c r="DD6" s="287">
        <f>B30</f>
        <v>1.3357000000000001E-10</v>
      </c>
      <c r="DE6" s="267" t="s">
        <v>35</v>
      </c>
      <c r="DF6" s="249" t="s">
        <v>27</v>
      </c>
      <c r="DG6" s="118">
        <f>(DG8*DG9*DG14*((1-EXP(-DG11*DG12))))/(DG13*DG11)</f>
        <v>9.0847184154504852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9.0847184154504852</v>
      </c>
      <c r="DQ6" s="249" t="s">
        <v>19</v>
      </c>
      <c r="DR6" s="262" t="s">
        <v>438</v>
      </c>
      <c r="DS6" s="287">
        <f>B30</f>
        <v>1.3357000000000001E-10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1.3357000000000001E-10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1.3357000000000001E-10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1.3357000000000001E-10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4</v>
      </c>
      <c r="FS6" s="249" t="s">
        <v>19</v>
      </c>
      <c r="FT6" s="262" t="s">
        <v>181</v>
      </c>
      <c r="FU6" s="305">
        <f>B46</f>
        <v>4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1.3357000000000001E-10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1.3357000000000001E-10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4.694728762746415E-10</v>
      </c>
      <c r="HF6" s="262" t="s">
        <v>313</v>
      </c>
    </row>
    <row r="7" spans="1:214" x14ac:dyDescent="0.2">
      <c r="A7" s="279" t="s">
        <v>455</v>
      </c>
      <c r="B7" s="363">
        <v>0.74299999999999999</v>
      </c>
      <c r="C7" s="241"/>
      <c r="D7" s="266" t="s">
        <v>270</v>
      </c>
      <c r="E7" s="287">
        <f>B31</f>
        <v>432.2</v>
      </c>
      <c r="F7" s="249" t="s">
        <v>69</v>
      </c>
      <c r="G7" s="262" t="s">
        <v>43</v>
      </c>
      <c r="H7" s="290">
        <f>B19</f>
        <v>3.7739999999999999E-8</v>
      </c>
      <c r="I7" s="263" t="s">
        <v>35</v>
      </c>
      <c r="J7" s="262" t="s">
        <v>43</v>
      </c>
      <c r="K7" s="290">
        <f>B19</f>
        <v>3.7739999999999999E-8</v>
      </c>
      <c r="L7" s="263" t="s">
        <v>35</v>
      </c>
      <c r="M7" s="262" t="s">
        <v>23</v>
      </c>
      <c r="N7" s="288">
        <f>0.693/N8</f>
        <v>1.6034243405830633E-3</v>
      </c>
      <c r="P7" s="262" t="s">
        <v>23</v>
      </c>
      <c r="Q7" s="288">
        <f>0.693/Q8</f>
        <v>1.6034243405830633E-3</v>
      </c>
      <c r="S7" s="262" t="s">
        <v>23</v>
      </c>
      <c r="T7" s="288">
        <f>0.693/T8</f>
        <v>1.6034243405830633E-3</v>
      </c>
      <c r="V7" s="266" t="s">
        <v>270</v>
      </c>
      <c r="W7" s="287">
        <f>B31</f>
        <v>432.2</v>
      </c>
      <c r="X7" s="249" t="s">
        <v>69</v>
      </c>
      <c r="Y7" s="266" t="s">
        <v>270</v>
      </c>
      <c r="Z7" s="287">
        <f>B31</f>
        <v>432.2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1.6034243405830633E-3</v>
      </c>
      <c r="AL7" s="262" t="s">
        <v>23</v>
      </c>
      <c r="AM7" s="288">
        <f>0.693/AM8</f>
        <v>1.6034243405830633E-3</v>
      </c>
      <c r="AO7" s="262" t="s">
        <v>23</v>
      </c>
      <c r="AP7" s="288">
        <f>0.693/AP8</f>
        <v>1.6034243405830633E-3</v>
      </c>
      <c r="AR7" s="262" t="s">
        <v>23</v>
      </c>
      <c r="AS7" s="288">
        <f>0.693/AS8</f>
        <v>1.6034243405830633E-3</v>
      </c>
      <c r="AU7" s="262" t="s">
        <v>23</v>
      </c>
      <c r="AV7" s="288">
        <f>0.693/AV8</f>
        <v>1.6034243405830633E-3</v>
      </c>
      <c r="AX7" s="262" t="s">
        <v>23</v>
      </c>
      <c r="AY7" s="288">
        <f>0.693/AY8</f>
        <v>1.6034243405830633E-3</v>
      </c>
      <c r="BA7" s="262" t="s">
        <v>23</v>
      </c>
      <c r="BB7" s="288">
        <f>0.693/BB8</f>
        <v>1.6034243405830633E-3</v>
      </c>
      <c r="BD7" s="262" t="s">
        <v>23</v>
      </c>
      <c r="BE7" s="288">
        <f>0.693/BE8</f>
        <v>1.6034243405830633E-3</v>
      </c>
      <c r="BG7" s="262" t="s">
        <v>23</v>
      </c>
      <c r="BH7" s="288">
        <f>0.693/BH8</f>
        <v>1.6034243405830633E-3</v>
      </c>
      <c r="BJ7" s="262" t="s">
        <v>23</v>
      </c>
      <c r="BK7" s="288">
        <f>0.693/BK8</f>
        <v>1.6034243405830633E-3</v>
      </c>
      <c r="BM7" s="262" t="s">
        <v>23</v>
      </c>
      <c r="BN7" s="288">
        <f>0.693/BN8</f>
        <v>1.6034243405830633E-3</v>
      </c>
      <c r="BP7" s="262" t="s">
        <v>23</v>
      </c>
      <c r="BQ7" s="288">
        <f>0.693/BQ8</f>
        <v>1.6034243405830633E-3</v>
      </c>
      <c r="BS7" s="266" t="s">
        <v>270</v>
      </c>
      <c r="BT7" s="287">
        <f>B31</f>
        <v>432.2</v>
      </c>
      <c r="BU7" s="249" t="s">
        <v>69</v>
      </c>
      <c r="BV7" s="262" t="s">
        <v>43</v>
      </c>
      <c r="BW7" s="290">
        <f>E10</f>
        <v>3.7739999999999999E-8</v>
      </c>
      <c r="BX7" s="263" t="s">
        <v>35</v>
      </c>
      <c r="BY7" s="262" t="s">
        <v>43</v>
      </c>
      <c r="BZ7" s="290">
        <f>B19</f>
        <v>3.7739999999999999E-8</v>
      </c>
      <c r="CA7" s="263" t="s">
        <v>35</v>
      </c>
      <c r="CB7" s="262" t="s">
        <v>23</v>
      </c>
      <c r="CC7" s="288">
        <f>0.693/CC8</f>
        <v>1.6034243405830633E-3</v>
      </c>
      <c r="CE7" s="262" t="s">
        <v>23</v>
      </c>
      <c r="CF7" s="288">
        <f>0.693/CF8</f>
        <v>1.6034243405830633E-3</v>
      </c>
      <c r="CH7" s="262" t="s">
        <v>23</v>
      </c>
      <c r="CI7" s="288">
        <f>0.693/CI8</f>
        <v>1.6034243405830633E-3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3.7739999999999999E-8</v>
      </c>
      <c r="CV7" s="263" t="s">
        <v>35</v>
      </c>
      <c r="CW7" s="266" t="s">
        <v>270</v>
      </c>
      <c r="CX7" s="287">
        <f>B31</f>
        <v>432.2</v>
      </c>
      <c r="CY7" s="249" t="s">
        <v>69</v>
      </c>
      <c r="CZ7" s="263" t="s">
        <v>43</v>
      </c>
      <c r="DA7" s="290">
        <f>B19</f>
        <v>3.7739999999999999E-8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3.6421488784670224</v>
      </c>
      <c r="DH7" s="249" t="s">
        <v>19</v>
      </c>
      <c r="DI7" s="262" t="s">
        <v>37</v>
      </c>
      <c r="DJ7" s="287">
        <f>B44</f>
        <v>1.914E-5</v>
      </c>
      <c r="DL7" s="262" t="s">
        <v>37</v>
      </c>
      <c r="DM7" s="287">
        <f>B44</f>
        <v>1.914E-5</v>
      </c>
      <c r="DO7" s="249" t="s">
        <v>36</v>
      </c>
      <c r="DP7" s="118">
        <f>(DP8*DP9*DP15*DP21*((1-EXP(-DP16*DP17))))/(DP18*DP16)</f>
        <v>3.6421488784670224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2.1999999999999999E-5</v>
      </c>
      <c r="EA7" s="262" t="s">
        <v>38</v>
      </c>
      <c r="EB7" s="287">
        <f>B45</f>
        <v>2.1999999999999999E-5</v>
      </c>
      <c r="EC7" s="263"/>
      <c r="ED7" s="262" t="s">
        <v>38</v>
      </c>
      <c r="EE7" s="287">
        <f>B45</f>
        <v>2.1999999999999999E-5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2.1999999999999999E-5</v>
      </c>
      <c r="EP7" s="262" t="s">
        <v>38</v>
      </c>
      <c r="EQ7" s="287">
        <f>B45</f>
        <v>2.1999999999999999E-5</v>
      </c>
      <c r="ER7" s="263"/>
      <c r="ES7" s="262" t="s">
        <v>38</v>
      </c>
      <c r="ET7" s="287">
        <f>B45</f>
        <v>2.1999999999999999E-5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2.1999999999999999E-5</v>
      </c>
      <c r="FD7" s="262"/>
      <c r="FE7" s="262" t="s">
        <v>38</v>
      </c>
      <c r="FF7" s="305">
        <f>B45</f>
        <v>2.1999999999999999E-5</v>
      </c>
      <c r="FG7" s="263"/>
      <c r="FH7" s="263" t="s">
        <v>38</v>
      </c>
      <c r="FI7" s="290">
        <f>B45</f>
        <v>2.1999999999999999E-5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2.1999999999999999E-5</v>
      </c>
      <c r="GH7" s="262"/>
      <c r="GI7" s="262" t="s">
        <v>38</v>
      </c>
      <c r="GJ7" s="305">
        <f>B45</f>
        <v>2.1999999999999999E-5</v>
      </c>
      <c r="GK7" s="262"/>
      <c r="GL7" s="262" t="s">
        <v>38</v>
      </c>
      <c r="GM7" s="305">
        <f>B45</f>
        <v>2.1999999999999999E-5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2.1999999999999999E-5</v>
      </c>
      <c r="GW7" s="262"/>
      <c r="GX7" s="262" t="s">
        <v>38</v>
      </c>
      <c r="GY7" s="305">
        <f>B45</f>
        <v>2.1999999999999999E-5</v>
      </c>
      <c r="GZ7" s="262"/>
      <c r="HA7" s="262" t="s">
        <v>38</v>
      </c>
      <c r="HB7" s="305">
        <f>B45</f>
        <v>2.1999999999999999E-5</v>
      </c>
      <c r="HC7" s="263"/>
      <c r="HD7" s="262" t="s">
        <v>23</v>
      </c>
      <c r="HE7" s="288">
        <f>0.693/HE8</f>
        <v>1.6034243405830633E-3</v>
      </c>
    </row>
    <row r="8" spans="1:214" x14ac:dyDescent="0.2">
      <c r="A8" s="279" t="s">
        <v>458</v>
      </c>
      <c r="B8" s="363">
        <v>1.35E-4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1.319423256E-13</v>
      </c>
      <c r="I8" s="263" t="s">
        <v>35</v>
      </c>
      <c r="J8" s="262" t="s">
        <v>71</v>
      </c>
      <c r="K8" s="287">
        <f>B23</f>
        <v>2.767285944E-8</v>
      </c>
      <c r="L8" s="262" t="s">
        <v>445</v>
      </c>
      <c r="M8" s="266" t="s">
        <v>270</v>
      </c>
      <c r="N8" s="287">
        <f>B31</f>
        <v>432.2</v>
      </c>
      <c r="O8" s="249" t="s">
        <v>69</v>
      </c>
      <c r="P8" s="266" t="s">
        <v>270</v>
      </c>
      <c r="Q8" s="287">
        <f>B31</f>
        <v>432.2</v>
      </c>
      <c r="R8" s="249" t="s">
        <v>69</v>
      </c>
      <c r="S8" s="266" t="s">
        <v>270</v>
      </c>
      <c r="T8" s="287">
        <f>B31</f>
        <v>432.2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432.2</v>
      </c>
      <c r="AK8" s="249" t="s">
        <v>69</v>
      </c>
      <c r="AL8" s="266" t="s">
        <v>270</v>
      </c>
      <c r="AM8" s="287">
        <f>B31</f>
        <v>432.2</v>
      </c>
      <c r="AN8" s="249" t="s">
        <v>69</v>
      </c>
      <c r="AO8" s="266" t="s">
        <v>270</v>
      </c>
      <c r="AP8" s="287">
        <f>B31</f>
        <v>432.2</v>
      </c>
      <c r="AQ8" s="249" t="s">
        <v>69</v>
      </c>
      <c r="AR8" s="266" t="s">
        <v>270</v>
      </c>
      <c r="AS8" s="287">
        <f>B31</f>
        <v>432.2</v>
      </c>
      <c r="AT8" s="249" t="s">
        <v>69</v>
      </c>
      <c r="AU8" s="266" t="s">
        <v>270</v>
      </c>
      <c r="AV8" s="287">
        <f>B31</f>
        <v>432.2</v>
      </c>
      <c r="AW8" s="249" t="s">
        <v>69</v>
      </c>
      <c r="AX8" s="266" t="s">
        <v>270</v>
      </c>
      <c r="AY8" s="287">
        <f>B31</f>
        <v>432.2</v>
      </c>
      <c r="AZ8" s="249" t="s">
        <v>69</v>
      </c>
      <c r="BA8" s="266" t="s">
        <v>270</v>
      </c>
      <c r="BB8" s="287">
        <f>B31</f>
        <v>432.2</v>
      </c>
      <c r="BC8" s="249" t="s">
        <v>69</v>
      </c>
      <c r="BD8" s="266" t="s">
        <v>270</v>
      </c>
      <c r="BE8" s="287">
        <f>B31</f>
        <v>432.2</v>
      </c>
      <c r="BF8" s="249" t="s">
        <v>69</v>
      </c>
      <c r="BG8" s="266" t="s">
        <v>270</v>
      </c>
      <c r="BH8" s="287">
        <f>B31</f>
        <v>432.2</v>
      </c>
      <c r="BI8" s="249" t="s">
        <v>69</v>
      </c>
      <c r="BJ8" s="266" t="s">
        <v>270</v>
      </c>
      <c r="BK8" s="287">
        <f>B31</f>
        <v>432.2</v>
      </c>
      <c r="BL8" s="249" t="s">
        <v>69</v>
      </c>
      <c r="BM8" s="266" t="s">
        <v>270</v>
      </c>
      <c r="BN8" s="287">
        <f>B31</f>
        <v>432.2</v>
      </c>
      <c r="BO8" s="249" t="s">
        <v>69</v>
      </c>
      <c r="BP8" s="266" t="s">
        <v>270</v>
      </c>
      <c r="BQ8" s="287">
        <f>B31</f>
        <v>432.2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1.319423256E-13</v>
      </c>
      <c r="BX8" s="263" t="s">
        <v>35</v>
      </c>
      <c r="BY8" s="262" t="s">
        <v>71</v>
      </c>
      <c r="BZ8" s="287">
        <f>B23</f>
        <v>2.767285944E-8</v>
      </c>
      <c r="CA8" s="262" t="s">
        <v>95</v>
      </c>
      <c r="CB8" s="266" t="s">
        <v>270</v>
      </c>
      <c r="CC8" s="287">
        <f>B31</f>
        <v>432.2</v>
      </c>
      <c r="CD8" s="249" t="s">
        <v>69</v>
      </c>
      <c r="CE8" s="266" t="s">
        <v>270</v>
      </c>
      <c r="CF8" s="287">
        <f>B31</f>
        <v>432.2</v>
      </c>
      <c r="CG8" s="249" t="s">
        <v>69</v>
      </c>
      <c r="CH8" s="266" t="s">
        <v>270</v>
      </c>
      <c r="CI8" s="287">
        <f>B31</f>
        <v>432.2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2.1999999999999999E-5</v>
      </c>
      <c r="CT8" s="262" t="s">
        <v>71</v>
      </c>
      <c r="CU8" s="287">
        <f>B23</f>
        <v>2.767285944E-8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1.319423256E-13</v>
      </c>
      <c r="DB8" s="262" t="s">
        <v>35</v>
      </c>
      <c r="DC8" s="262" t="s">
        <v>380</v>
      </c>
      <c r="DD8" s="297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432.2</v>
      </c>
      <c r="HF8" s="249" t="s">
        <v>69</v>
      </c>
    </row>
    <row r="9" spans="1:214" x14ac:dyDescent="0.2">
      <c r="A9" s="279" t="s">
        <v>459</v>
      </c>
      <c r="B9" s="363">
        <v>0.71099999999999997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1.3357000000000001E-10</v>
      </c>
      <c r="I9" s="267" t="s">
        <v>35</v>
      </c>
      <c r="J9" s="262" t="s">
        <v>438</v>
      </c>
      <c r="K9" s="287">
        <f>B30</f>
        <v>1.3357000000000001E-10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9.1019999999999999E-11</v>
      </c>
      <c r="AD9" s="287">
        <f>B22</f>
        <v>9.1019999999999999E-11</v>
      </c>
      <c r="AE9" s="287">
        <f>B22</f>
        <v>9.1019999999999999E-11</v>
      </c>
      <c r="AF9" s="287">
        <f>B22</f>
        <v>9.1019999999999999E-11</v>
      </c>
      <c r="AG9" s="287">
        <f>B22</f>
        <v>9.1019999999999999E-11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1.3357000000000001E-10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1.3357000000000001E-10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1.3357000000000001E-10</v>
      </c>
      <c r="DB9" s="263" t="s">
        <v>35</v>
      </c>
      <c r="DC9" s="262" t="s">
        <v>381</v>
      </c>
      <c r="DD9" s="297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4.2E-7</v>
      </c>
      <c r="EA9" s="262" t="s">
        <v>278</v>
      </c>
      <c r="EB9" s="287">
        <f>B37</f>
        <v>4.2E-7</v>
      </c>
      <c r="EC9" s="263"/>
      <c r="ED9" s="262" t="s">
        <v>278</v>
      </c>
      <c r="EE9" s="287">
        <f>B37</f>
        <v>4.2E-7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5.0000000000000001E-4</v>
      </c>
      <c r="EP9" s="262" t="s">
        <v>275</v>
      </c>
      <c r="EQ9" s="310">
        <f>B38</f>
        <v>5.0000000000000001E-4</v>
      </c>
      <c r="ER9" s="263"/>
      <c r="ES9" s="262" t="s">
        <v>275</v>
      </c>
      <c r="ET9" s="310">
        <f>B38</f>
        <v>5.0000000000000001E-4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3.0000000000000001E-3</v>
      </c>
      <c r="FD9" s="262"/>
      <c r="FE9" s="262" t="s">
        <v>201</v>
      </c>
      <c r="FF9" s="310">
        <f>B40</f>
        <v>3.0000000000000001E-3</v>
      </c>
      <c r="FG9" s="263"/>
      <c r="FH9" s="262" t="s">
        <v>201</v>
      </c>
      <c r="FI9" s="310">
        <f>B40</f>
        <v>3.0000000000000001E-3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6.0000000000000001E-3</v>
      </c>
      <c r="GH9" s="262"/>
      <c r="GI9" s="262" t="s">
        <v>276</v>
      </c>
      <c r="GJ9" s="310">
        <f>B39</f>
        <v>6.0000000000000001E-3</v>
      </c>
      <c r="GK9" s="262"/>
      <c r="GL9" s="262" t="s">
        <v>276</v>
      </c>
      <c r="GM9" s="310">
        <f>B39</f>
        <v>6.0000000000000001E-3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1.7000000000000001E-4</v>
      </c>
      <c r="GW9" s="262"/>
      <c r="GX9" s="262" t="s">
        <v>277</v>
      </c>
      <c r="GY9" s="310">
        <f>B41</f>
        <v>1.7000000000000001E-4</v>
      </c>
      <c r="GZ9" s="262"/>
      <c r="HA9" s="262" t="s">
        <v>277</v>
      </c>
      <c r="HB9" s="310">
        <f>B41</f>
        <v>1.7000000000000001E-4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2.2599999999999999E-4</v>
      </c>
      <c r="C10" s="185"/>
      <c r="D10" s="88" t="s">
        <v>43</v>
      </c>
      <c r="E10" s="187">
        <f>B19</f>
        <v>3.7739999999999999E-8</v>
      </c>
      <c r="F10" s="188" t="s">
        <v>35</v>
      </c>
      <c r="G10" s="266" t="s">
        <v>80</v>
      </c>
      <c r="H10" s="294">
        <f>(H5/(H6*H15))*H70*H68*H69</f>
        <v>5.1184373464373471E-10</v>
      </c>
      <c r="I10" s="271" t="s">
        <v>313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3.7739999999999999E-8</v>
      </c>
      <c r="X10" s="263" t="s">
        <v>44</v>
      </c>
      <c r="Y10" s="249" t="s">
        <v>43</v>
      </c>
      <c r="Z10" s="290">
        <f>B19</f>
        <v>3.7739999999999999E-8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3.7739999999999999E-8</v>
      </c>
      <c r="BU10" s="263" t="s">
        <v>35</v>
      </c>
      <c r="BV10" s="266" t="s">
        <v>80</v>
      </c>
      <c r="BW10" s="294">
        <f>(BW5/(BW6*BW12))*BW34*BW32*BW33</f>
        <v>2.8873236313236316E-10</v>
      </c>
      <c r="BX10" s="271" t="s">
        <v>313</v>
      </c>
      <c r="BY10" s="188" t="s">
        <v>16</v>
      </c>
      <c r="BZ10" s="109">
        <f>(BZ33*BZ11)/(1-EXP(-BZ11*BZ33))</f>
        <v>1.0209893435208997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315</v>
      </c>
      <c r="CL10" s="289">
        <f>B293</f>
        <v>241</v>
      </c>
      <c r="CM10" s="249" t="s">
        <v>309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3.7739999999999999E-8</v>
      </c>
      <c r="CY10" s="263" t="s">
        <v>35</v>
      </c>
      <c r="CZ10" s="263" t="s">
        <v>16</v>
      </c>
      <c r="DA10" s="288">
        <f>(DA38*DA11)/(1-EXP(-DA11*DA38))</f>
        <v>1.0242441803942341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1.914E-5</v>
      </c>
      <c r="DL10" s="267"/>
      <c r="DO10" s="267" t="s">
        <v>37</v>
      </c>
      <c r="DP10" s="287">
        <f>B44</f>
        <v>1.914E-5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0.66200000000000003</v>
      </c>
      <c r="C11" s="185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(H5/(H7*H16*H28))*H70*H68*H69</f>
        <v>4.0874508577610178E-13</v>
      </c>
      <c r="I11" s="271" t="s">
        <v>313</v>
      </c>
      <c r="J11" s="188" t="s">
        <v>16</v>
      </c>
      <c r="K11" s="109">
        <f>(K46*K12)/(1-EXP(-K12*K46))</f>
        <v>1.0161199409242025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(BW5/(BW8*(1/BW31)*BW15))*BW34*BW32*BW33</f>
        <v>9.9299073559641852E-3</v>
      </c>
      <c r="BX11" s="271" t="s">
        <v>313</v>
      </c>
      <c r="BY11" s="266" t="s">
        <v>23</v>
      </c>
      <c r="BZ11" s="109">
        <f>0.693/BZ12</f>
        <v>1.6034243405830633E-3</v>
      </c>
      <c r="CA11" s="88"/>
      <c r="CB11" s="249" t="s">
        <v>456</v>
      </c>
      <c r="CC11" s="287">
        <f>B3</f>
        <v>2.41E-4</v>
      </c>
      <c r="CE11" s="249" t="s">
        <v>454</v>
      </c>
      <c r="CF11" s="287">
        <f>B6</f>
        <v>1.17E-4</v>
      </c>
      <c r="CH11" s="249" t="s">
        <v>460</v>
      </c>
      <c r="CI11" s="287">
        <f>B10</f>
        <v>2.2599999999999999E-4</v>
      </c>
      <c r="CK11" s="266" t="s">
        <v>270</v>
      </c>
      <c r="CL11" s="287">
        <f>B31</f>
        <v>432.2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1.0242441803942341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1.6034243405830633E-3</v>
      </c>
      <c r="DC11" s="262" t="s">
        <v>382</v>
      </c>
      <c r="DD11" s="297">
        <f>B141</f>
        <v>55</v>
      </c>
      <c r="DE11" s="267" t="s">
        <v>254</v>
      </c>
      <c r="DF11" s="267" t="s">
        <v>55</v>
      </c>
      <c r="DG11" s="288">
        <f>DG19+DG20</f>
        <v>3.1394977168949772E-5</v>
      </c>
      <c r="DL11" s="267"/>
      <c r="DO11" s="267" t="s">
        <v>55</v>
      </c>
      <c r="DP11" s="288">
        <f>DP19+DP20</f>
        <v>3.1394977168949772E-5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1.5699999999999999E-5</v>
      </c>
      <c r="C12" s="185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(H5/(H8*(1/H45)*H21))*H70*H68*H69</f>
        <v>4.4007543963932184E-3</v>
      </c>
      <c r="I12" s="271" t="s">
        <v>313</v>
      </c>
      <c r="J12" s="266" t="s">
        <v>23</v>
      </c>
      <c r="K12" s="109">
        <f>0.693/K13</f>
        <v>1.6034243405830633E-3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432.2</v>
      </c>
      <c r="CA12" s="88" t="s">
        <v>69</v>
      </c>
      <c r="CB12" s="249" t="s">
        <v>457</v>
      </c>
      <c r="CC12" s="287">
        <f>B4</f>
        <v>0.753</v>
      </c>
      <c r="CE12" s="249" t="s">
        <v>455</v>
      </c>
      <c r="CF12" s="287">
        <f>B7</f>
        <v>0.74299999999999999</v>
      </c>
      <c r="CH12" s="249" t="s">
        <v>461</v>
      </c>
      <c r="CI12" s="287">
        <f>B11</f>
        <v>0.66200000000000003</v>
      </c>
      <c r="CK12" s="249" t="s">
        <v>23</v>
      </c>
      <c r="CL12" s="288">
        <f>693/CL11</f>
        <v>1.6034243405830635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1.6034243405830633E-3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432.2</v>
      </c>
      <c r="DB12" s="249" t="s">
        <v>69</v>
      </c>
      <c r="DC12" s="262" t="s">
        <v>383</v>
      </c>
      <c r="DD12" s="297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0.80900000000000005</v>
      </c>
      <c r="C13" s="186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>
        <f>(H14/((1/H42)*(H50+H51+H52)))</f>
        <v>5.6712813765804087E-9</v>
      </c>
      <c r="I13" s="271" t="s">
        <v>313</v>
      </c>
      <c r="J13" s="266" t="s">
        <v>270</v>
      </c>
      <c r="K13" s="189">
        <f>B31</f>
        <v>432.2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2.41E-4</v>
      </c>
      <c r="BM13" s="249" t="s">
        <v>454</v>
      </c>
      <c r="BN13" s="287">
        <f>B6</f>
        <v>1.17E-4</v>
      </c>
      <c r="BP13" s="249" t="s">
        <v>460</v>
      </c>
      <c r="BQ13" s="287">
        <f>B10</f>
        <v>2.2599999999999999E-4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>
        <f>((BZ5/(BZ6*BZ16*(1/BZ36)))*BZ10)*BZ12*BZ37*BZ38</f>
        <v>1.5067898219892263E-5</v>
      </c>
      <c r="CA13" s="271" t="s">
        <v>311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41.689032855159653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432.2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>
        <f>(DA5/(DA6*DA23))*DA12*DA50*DA51</f>
        <v>3.412291564291565E-7</v>
      </c>
      <c r="DB13" s="266" t="s">
        <v>313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584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>
        <f>(H5/(H9*(H22+H25)*H43))*H70*H68*H69</f>
        <v>7.2181438277635708E-11</v>
      </c>
      <c r="I14" s="271" t="s">
        <v>311</v>
      </c>
      <c r="J14" s="266" t="s">
        <v>80</v>
      </c>
      <c r="K14" s="294">
        <f>((K5/(K6*K19*(1/K49)))*K11)*K13*K54*K55</f>
        <v>2.6583880086603173E-5</v>
      </c>
      <c r="L14" s="271" t="s">
        <v>311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5.8031270640000001E-11</v>
      </c>
      <c r="X14" s="262" t="s">
        <v>64</v>
      </c>
      <c r="Y14" s="262" t="s">
        <v>63</v>
      </c>
      <c r="Z14" s="287">
        <f>B28</f>
        <v>5.8031270640000001E-11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0.753</v>
      </c>
      <c r="BM14" s="249" t="s">
        <v>455</v>
      </c>
      <c r="BN14" s="287">
        <f>B7</f>
        <v>0.74299999999999999</v>
      </c>
      <c r="BP14" s="249" t="s">
        <v>461</v>
      </c>
      <c r="BQ14" s="287">
        <f>B11</f>
        <v>0.66200000000000003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((BZ5/(BZ7*BZ17*(1/BZ9)*BZ35))*BZ10)*BZ12*BZ37*BZ38</f>
        <v>2.4000628608239162E-3</v>
      </c>
      <c r="CA14" s="271" t="s">
        <v>311</v>
      </c>
      <c r="CB14" s="249" t="s">
        <v>71</v>
      </c>
      <c r="CC14" s="290">
        <f>B23</f>
        <v>2.767285944E-8</v>
      </c>
      <c r="CD14" s="263" t="s">
        <v>72</v>
      </c>
      <c r="CE14" s="249" t="s">
        <v>71</v>
      </c>
      <c r="CF14" s="290">
        <f>B25</f>
        <v>1.3754695536000001E-8</v>
      </c>
      <c r="CG14" s="263" t="s">
        <v>72</v>
      </c>
      <c r="CH14" s="249" t="s">
        <v>71</v>
      </c>
      <c r="CI14" s="290">
        <f>B27</f>
        <v>2.767285944E-8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((CU5/(CU6*CU24*(1/CU47)))*CU11)*CU13*CU48*CU49</f>
        <v>1.7864285093638415E-5</v>
      </c>
      <c r="CV14" s="271" t="s">
        <v>311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(DA5/(DA7*DA24*DA46))*DA12*DA50*DA51</f>
        <v>2.7249672385073457E-10</v>
      </c>
      <c r="DB14" s="266" t="s">
        <v>313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4</v>
      </c>
      <c r="HF14" s="249" t="s">
        <v>19</v>
      </c>
    </row>
    <row r="15" spans="1:214" x14ac:dyDescent="0.2">
      <c r="A15" s="585"/>
      <c r="B15" s="586"/>
      <c r="C15" s="5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((K5/(K7*K20*(1/K10)*K48))*K11)*K13*K54*K55</f>
        <v>2.8229101082468425E-4</v>
      </c>
      <c r="L15" s="271" t="s">
        <v>311</v>
      </c>
      <c r="M15" s="249" t="s">
        <v>448</v>
      </c>
      <c r="N15" s="290">
        <f>B23</f>
        <v>2.767285944E-8</v>
      </c>
      <c r="O15" s="263" t="s">
        <v>446</v>
      </c>
      <c r="P15" s="249" t="s">
        <v>449</v>
      </c>
      <c r="Q15" s="290">
        <f>B25</f>
        <v>1.3754695536000001E-8</v>
      </c>
      <c r="R15" s="263" t="s">
        <v>446</v>
      </c>
      <c r="S15" s="249" t="s">
        <v>453</v>
      </c>
      <c r="T15" s="290">
        <f>B27</f>
        <v>2.767285944E-8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2.767285944E-8</v>
      </c>
      <c r="AK15" s="263" t="s">
        <v>72</v>
      </c>
      <c r="AL15" s="262" t="s">
        <v>449</v>
      </c>
      <c r="AM15" s="290">
        <f>B25</f>
        <v>1.3754695536000001E-8</v>
      </c>
      <c r="AN15" s="263" t="s">
        <v>72</v>
      </c>
      <c r="AO15" s="262" t="s">
        <v>452</v>
      </c>
      <c r="AP15" s="290">
        <f>B27</f>
        <v>2.767285944E-8</v>
      </c>
      <c r="AQ15" s="263" t="s">
        <v>72</v>
      </c>
      <c r="AR15" s="249" t="s">
        <v>448</v>
      </c>
      <c r="AS15" s="290">
        <f>B23</f>
        <v>2.767285944E-8</v>
      </c>
      <c r="AT15" s="263" t="s">
        <v>72</v>
      </c>
      <c r="AU15" s="262" t="s">
        <v>449</v>
      </c>
      <c r="AV15" s="290">
        <f>B25</f>
        <v>1.3754695536000001E-8</v>
      </c>
      <c r="AW15" s="263" t="s">
        <v>72</v>
      </c>
      <c r="AX15" s="262" t="s">
        <v>452</v>
      </c>
      <c r="AY15" s="290">
        <f>B27</f>
        <v>2.767285944E-8</v>
      </c>
      <c r="AZ15" s="263" t="s">
        <v>72</v>
      </c>
      <c r="BA15" s="249" t="s">
        <v>448</v>
      </c>
      <c r="BB15" s="290">
        <f>B23</f>
        <v>2.767285944E-8</v>
      </c>
      <c r="BC15" s="263" t="s">
        <v>72</v>
      </c>
      <c r="BD15" s="262" t="s">
        <v>449</v>
      </c>
      <c r="BE15" s="290">
        <f>B25</f>
        <v>1.3754695536000001E-8</v>
      </c>
      <c r="BF15" s="263" t="s">
        <v>72</v>
      </c>
      <c r="BG15" s="262" t="s">
        <v>452</v>
      </c>
      <c r="BH15" s="290">
        <f>B27</f>
        <v>2.767285944E-8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(((BZ5)/(BZ8*BZ22*(1/BZ34)*BZ25*BZ28*(1/24)*BZ31*BZ32))*BZ10)*BZ12*BZ37*BZ38</f>
        <v>0.26636949327598891</v>
      </c>
      <c r="CA15" s="271" t="s">
        <v>311</v>
      </c>
      <c r="CB15" s="95" t="s">
        <v>315</v>
      </c>
      <c r="CC15" s="289">
        <f>B293</f>
        <v>241</v>
      </c>
      <c r="CD15" s="249" t="s">
        <v>309</v>
      </c>
      <c r="CE15" s="95" t="s">
        <v>315</v>
      </c>
      <c r="CF15" s="289">
        <f>B293</f>
        <v>241</v>
      </c>
      <c r="CG15" s="249" t="s">
        <v>309</v>
      </c>
      <c r="CH15" s="95" t="s">
        <v>315</v>
      </c>
      <c r="CI15" s="289">
        <f>B293</f>
        <v>241</v>
      </c>
      <c r="CJ15" s="249" t="s">
        <v>309</v>
      </c>
      <c r="CK15" s="267" t="s">
        <v>310</v>
      </c>
      <c r="CL15" s="289">
        <f>B294</f>
        <v>2.8000000000000002E-12</v>
      </c>
      <c r="CT15" s="266" t="s">
        <v>74</v>
      </c>
      <c r="CU15" s="295">
        <f>((CU5/(CU7*CU25*(1/CU10)*CU46))*CU11)*CU13*CU48*CU49</f>
        <v>1.89698685079643E-4</v>
      </c>
      <c r="CV15" s="271" t="s">
        <v>311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(DA5/(DA8*DA25*(DA47/DA48)))*DA12*DA50*DA51</f>
        <v>2.9338362642621458</v>
      </c>
      <c r="DB15" s="266" t="s">
        <v>313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95" t="s">
        <v>315</v>
      </c>
      <c r="HE15" s="292">
        <f>B293</f>
        <v>241</v>
      </c>
      <c r="HF15" s="249" t="s">
        <v>309</v>
      </c>
    </row>
    <row r="16" spans="1:214" s="262" customFormat="1" x14ac:dyDescent="0.2">
      <c r="A16" s="585"/>
      <c r="B16" s="586"/>
      <c r="C16" s="5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((K5/(K8*K45*((K40*K44*(1/24))+(K41*K43*(1/24)))*K32*(1/K47)*K34))*K11)*K13*K54*K55</f>
        <v>1.7246936269856956E-5</v>
      </c>
      <c r="L16" s="271" t="s">
        <v>311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((W5)/((W11/W12)*W8*W9*W10*W13))*W7*W20*W21</f>
        <v>2.4524705146566112E-12</v>
      </c>
      <c r="X16" s="88" t="s">
        <v>15</v>
      </c>
      <c r="Y16" s="88" t="s">
        <v>74</v>
      </c>
      <c r="Z16" s="294">
        <f>((Z5)/((Z11/Z12)*Z8*Z9*Z10*Z13))*Z7*Z20*Z21</f>
        <v>2.4524705146566112E-12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2.41E-4</v>
      </c>
      <c r="AG16" s="305">
        <f>B3</f>
        <v>2.41E-4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2.767285944E-8</v>
      </c>
      <c r="BL16" s="263" t="s">
        <v>72</v>
      </c>
      <c r="BM16" s="262" t="s">
        <v>449</v>
      </c>
      <c r="BN16" s="290">
        <f>B25</f>
        <v>1.3754695536000001E-8</v>
      </c>
      <c r="BO16" s="263" t="s">
        <v>72</v>
      </c>
      <c r="BP16" s="262" t="s">
        <v>452</v>
      </c>
      <c r="BQ16" s="290">
        <f>B27</f>
        <v>2.767285944E-8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B16" s="267" t="s">
        <v>310</v>
      </c>
      <c r="CC16" s="293">
        <f>B294</f>
        <v>2.8000000000000002E-12</v>
      </c>
      <c r="CE16" s="267" t="s">
        <v>310</v>
      </c>
      <c r="CF16" s="293">
        <f>B294</f>
        <v>2.8000000000000002E-12</v>
      </c>
      <c r="CH16" s="267" t="s">
        <v>310</v>
      </c>
      <c r="CI16" s="289">
        <f>B294</f>
        <v>2.8000000000000002E-12</v>
      </c>
      <c r="CJ16" s="249"/>
      <c r="CK16" s="267"/>
      <c r="CL16" s="293"/>
      <c r="CO16" s="293"/>
      <c r="CR16" s="293"/>
      <c r="CT16" s="266" t="s">
        <v>117</v>
      </c>
      <c r="CU16" s="295">
        <f>((CU5*CU44*CU12)/((1-EXP(-CU12*CU44))*CU8*CU31*(1/365)*CU32*((CU38*(1/24)*CU42)+(CU39*(1/24)*CU41))*CU43))*CU13*CU48*CU49</f>
        <v>1.8998056818726221E-5</v>
      </c>
      <c r="CV16" s="271" t="s">
        <v>311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>
        <f>DG2</f>
        <v>4.7260678138170075E-7</v>
      </c>
      <c r="DB16" s="266" t="s">
        <v>313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4.9504394977168943E-2</v>
      </c>
      <c r="DH16" s="262" t="s">
        <v>82</v>
      </c>
      <c r="DJ16" s="293"/>
      <c r="DL16" s="267"/>
      <c r="DM16" s="293"/>
      <c r="DO16" s="267" t="s">
        <v>81</v>
      </c>
      <c r="DP16" s="299">
        <f>DP20+(0.693/DP22)</f>
        <v>4.9504394977168943E-2</v>
      </c>
      <c r="DQ16" s="262" t="s">
        <v>82</v>
      </c>
      <c r="DR16" s="267" t="s">
        <v>400</v>
      </c>
      <c r="DS16" s="297">
        <f>B175</f>
        <v>2</v>
      </c>
      <c r="DT16" s="249"/>
      <c r="DU16" s="267"/>
      <c r="DV16" s="293"/>
      <c r="DY16" s="293"/>
      <c r="EA16" s="267"/>
      <c r="EB16" s="293"/>
      <c r="ED16" s="267" t="s">
        <v>81</v>
      </c>
      <c r="EE16" s="299">
        <f>EE20+(0.693/EE22)</f>
        <v>4.9504394977168943E-2</v>
      </c>
      <c r="EF16" s="262" t="s">
        <v>82</v>
      </c>
      <c r="EG16" s="267" t="s">
        <v>401</v>
      </c>
      <c r="EH16" s="297">
        <f>B176</f>
        <v>2</v>
      </c>
      <c r="EI16" s="249"/>
      <c r="EJ16" s="267"/>
      <c r="EK16" s="293"/>
      <c r="EN16" s="293"/>
      <c r="EP16" s="267"/>
      <c r="EQ16" s="293"/>
      <c r="ES16" s="267" t="s">
        <v>81</v>
      </c>
      <c r="ET16" s="299">
        <f>ET20+(0.693/ET22)</f>
        <v>4.9504394977168943E-2</v>
      </c>
      <c r="EU16" s="262" t="s">
        <v>82</v>
      </c>
      <c r="EV16" s="267" t="s">
        <v>402</v>
      </c>
      <c r="EW16" s="297">
        <f>B177</f>
        <v>2</v>
      </c>
      <c r="EX16" s="249"/>
      <c r="EZ16" s="293"/>
      <c r="FC16" s="293"/>
      <c r="FF16" s="293"/>
      <c r="FH16" s="262" t="s">
        <v>81</v>
      </c>
      <c r="FI16" s="299">
        <f>FI20+(0.693/FI22)</f>
        <v>4.9504394977168943E-2</v>
      </c>
      <c r="FJ16" s="262" t="s">
        <v>82</v>
      </c>
      <c r="FK16" s="267" t="s">
        <v>403</v>
      </c>
      <c r="FL16" s="297">
        <f>B178</f>
        <v>2</v>
      </c>
      <c r="FM16" s="249"/>
      <c r="FO16" s="293"/>
      <c r="FR16" s="293"/>
      <c r="FU16" s="293"/>
      <c r="FX16" s="293"/>
      <c r="FZ16" s="267" t="s">
        <v>404</v>
      </c>
      <c r="GA16" s="297">
        <f>B179</f>
        <v>2</v>
      </c>
      <c r="GB16" s="249"/>
      <c r="GD16" s="293"/>
      <c r="GG16" s="293"/>
      <c r="GJ16" s="293"/>
      <c r="GL16" s="262" t="s">
        <v>81</v>
      </c>
      <c r="GM16" s="299">
        <f>GM20+(0.693/GM22)</f>
        <v>4.9504394977168943E-2</v>
      </c>
      <c r="GN16" s="262" t="s">
        <v>82</v>
      </c>
      <c r="GP16" s="297">
        <v>365</v>
      </c>
      <c r="GQ16" s="249" t="s">
        <v>26</v>
      </c>
      <c r="GS16" s="293"/>
      <c r="GV16" s="293"/>
      <c r="GY16" s="293"/>
      <c r="HA16" s="262" t="s">
        <v>81</v>
      </c>
      <c r="HB16" s="299">
        <f>HB20+(0.693/HB22)</f>
        <v>4.9504394977168943E-2</v>
      </c>
      <c r="HC16" s="262" t="s">
        <v>82</v>
      </c>
      <c r="HD16" s="267" t="s">
        <v>310</v>
      </c>
      <c r="HE16" s="292">
        <f>B294</f>
        <v>2.8000000000000002E-12</v>
      </c>
      <c r="HF16" s="267"/>
    </row>
    <row r="17" spans="1:214" ht="13.5" thickBot="1" x14ac:dyDescent="0.25">
      <c r="A17" s="587"/>
      <c r="B17" s="588"/>
      <c r="C17" s="588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>
        <f>(K18/(K50+K51))*K11</f>
        <v>2.820753841370876E-7</v>
      </c>
      <c r="L17" s="271" t="s">
        <v>311</v>
      </c>
      <c r="M17" s="95" t="s">
        <v>315</v>
      </c>
      <c r="N17" s="293">
        <f>B293</f>
        <v>241</v>
      </c>
      <c r="O17" s="249" t="s">
        <v>309</v>
      </c>
      <c r="P17" s="95" t="s">
        <v>315</v>
      </c>
      <c r="Q17" s="293">
        <f>B293</f>
        <v>241</v>
      </c>
      <c r="R17" s="249" t="s">
        <v>309</v>
      </c>
      <c r="S17" s="95" t="s">
        <v>315</v>
      </c>
      <c r="T17" s="293">
        <f>B293</f>
        <v>241</v>
      </c>
      <c r="U17" s="249" t="s">
        <v>309</v>
      </c>
      <c r="V17" s="88" t="s">
        <v>78</v>
      </c>
      <c r="W17" s="296">
        <f>((W5)/((W11/W12)*W8*W9*W14*(1/365)))*W7*W20*W21</f>
        <v>3.2018365990659712E-5</v>
      </c>
      <c r="X17" s="88" t="s">
        <v>15</v>
      </c>
      <c r="Y17" s="88" t="s">
        <v>78</v>
      </c>
      <c r="Z17" s="296">
        <f>((Z5)/((Z11/Z12)*Z8*Z9*Z14*(1/365)))*Z7*Z20*Z21</f>
        <v>3.2018365990659712E-5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95" t="s">
        <v>315</v>
      </c>
      <c r="AJ17" s="293">
        <f>B293</f>
        <v>241</v>
      </c>
      <c r="AK17" s="249" t="s">
        <v>309</v>
      </c>
      <c r="AL17" s="95" t="s">
        <v>315</v>
      </c>
      <c r="AM17" s="293">
        <f>B293</f>
        <v>241</v>
      </c>
      <c r="AN17" s="249" t="s">
        <v>309</v>
      </c>
      <c r="AO17" s="95" t="s">
        <v>315</v>
      </c>
      <c r="AP17" s="293">
        <f>B293</f>
        <v>241</v>
      </c>
      <c r="AQ17" s="249" t="s">
        <v>309</v>
      </c>
      <c r="AR17" s="95" t="s">
        <v>315</v>
      </c>
      <c r="AS17" s="293">
        <f>B293</f>
        <v>241</v>
      </c>
      <c r="AT17" s="249" t="s">
        <v>309</v>
      </c>
      <c r="AU17" s="95" t="s">
        <v>315</v>
      </c>
      <c r="AV17" s="293">
        <f>B293</f>
        <v>241</v>
      </c>
      <c r="AW17" s="249" t="s">
        <v>309</v>
      </c>
      <c r="AX17" s="95" t="s">
        <v>315</v>
      </c>
      <c r="AY17" s="293">
        <f>B293</f>
        <v>241</v>
      </c>
      <c r="AZ17" s="249" t="s">
        <v>309</v>
      </c>
      <c r="BA17" s="95" t="s">
        <v>315</v>
      </c>
      <c r="BB17" s="293">
        <f>B293</f>
        <v>241</v>
      </c>
      <c r="BC17" s="249" t="s">
        <v>309</v>
      </c>
      <c r="BD17" s="95" t="s">
        <v>315</v>
      </c>
      <c r="BE17" s="293">
        <f>B293</f>
        <v>241</v>
      </c>
      <c r="BF17" s="249" t="s">
        <v>309</v>
      </c>
      <c r="BG17" s="95" t="s">
        <v>315</v>
      </c>
      <c r="BH17" s="293">
        <f>B293</f>
        <v>241</v>
      </c>
      <c r="BI17" s="249" t="s">
        <v>309</v>
      </c>
      <c r="BJ17" s="95" t="s">
        <v>315</v>
      </c>
      <c r="BK17" s="293">
        <f>B293</f>
        <v>241</v>
      </c>
      <c r="BL17" s="249" t="s">
        <v>309</v>
      </c>
      <c r="BM17" s="95" t="s">
        <v>315</v>
      </c>
      <c r="BN17" s="293">
        <f>B293</f>
        <v>241</v>
      </c>
      <c r="BO17" s="249" t="s">
        <v>309</v>
      </c>
      <c r="BP17" s="95" t="s">
        <v>315</v>
      </c>
      <c r="BQ17" s="293">
        <f>B293</f>
        <v>241</v>
      </c>
      <c r="BR17" s="249" t="s">
        <v>309</v>
      </c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2.3694223076665947E-8</v>
      </c>
      <c r="CV17" s="271" t="s">
        <v>311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>
        <f>EZ2</f>
        <v>1.0025199760782737E-2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1.6034243405830633E-3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5.8031270640000001E-11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>
        <f>(K5/(K9*(K25+K28)*K39))*K13*K54*K55</f>
        <v>7.2181438277635698E-8</v>
      </c>
      <c r="L18" s="271" t="s">
        <v>311</v>
      </c>
      <c r="M18" s="267" t="s">
        <v>310</v>
      </c>
      <c r="N18" s="289">
        <f>B294</f>
        <v>2.8000000000000002E-12</v>
      </c>
      <c r="P18" s="267" t="s">
        <v>310</v>
      </c>
      <c r="Q18" s="289">
        <f>B294</f>
        <v>2.8000000000000002E-12</v>
      </c>
      <c r="S18" s="267" t="s">
        <v>310</v>
      </c>
      <c r="T18" s="289">
        <f>B294</f>
        <v>2.8000000000000002E-12</v>
      </c>
      <c r="V18" s="88" t="s">
        <v>74</v>
      </c>
      <c r="W18" s="294">
        <f>((W5*W6*W9)/((W11/W12)*(1-EXP(-W6*W9))*W10*W13*W8*W9))*W7*W20*W21</f>
        <v>2.4623145278269011E-12</v>
      </c>
      <c r="X18" s="88" t="s">
        <v>16</v>
      </c>
      <c r="Y18" s="88" t="s">
        <v>74</v>
      </c>
      <c r="Z18" s="294">
        <f>((Z5*Z6*Z9)/((Z11/Z12)*(1-EXP(-Z6*Z9))*Z10*Z13*Z8*Z9))*Z7*Z20*Z21</f>
        <v>2.4623145278269011E-12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AI18" s="267" t="s">
        <v>310</v>
      </c>
      <c r="AJ18" s="289">
        <f>B294</f>
        <v>2.8000000000000002E-12</v>
      </c>
      <c r="AL18" s="267" t="s">
        <v>310</v>
      </c>
      <c r="AM18" s="289">
        <f>B294</f>
        <v>2.8000000000000002E-12</v>
      </c>
      <c r="AO18" s="267" t="s">
        <v>310</v>
      </c>
      <c r="AP18" s="289">
        <f>B294</f>
        <v>2.8000000000000002E-12</v>
      </c>
      <c r="AR18" s="267" t="s">
        <v>310</v>
      </c>
      <c r="AS18" s="289">
        <f>B294</f>
        <v>2.8000000000000002E-12</v>
      </c>
      <c r="AU18" s="267" t="s">
        <v>310</v>
      </c>
      <c r="AV18" s="289">
        <f>B294</f>
        <v>2.8000000000000002E-12</v>
      </c>
      <c r="AX18" s="267" t="s">
        <v>310</v>
      </c>
      <c r="AY18" s="289">
        <f>B294</f>
        <v>2.8000000000000002E-12</v>
      </c>
      <c r="BA18" s="267" t="s">
        <v>310</v>
      </c>
      <c r="BB18" s="289">
        <f>B294</f>
        <v>2.8000000000000002E-12</v>
      </c>
      <c r="BD18" s="267" t="s">
        <v>310</v>
      </c>
      <c r="BE18" s="289">
        <f>B294</f>
        <v>2.8000000000000002E-12</v>
      </c>
      <c r="BG18" s="267" t="s">
        <v>310</v>
      </c>
      <c r="BH18" s="289">
        <f>B294</f>
        <v>2.8000000000000002E-12</v>
      </c>
      <c r="BJ18" s="267" t="s">
        <v>310</v>
      </c>
      <c r="BK18" s="289">
        <f>B294</f>
        <v>2.8000000000000002E-12</v>
      </c>
      <c r="BM18" s="267" t="s">
        <v>310</v>
      </c>
      <c r="BN18" s="289">
        <f>B294</f>
        <v>2.8000000000000002E-12</v>
      </c>
      <c r="BP18" s="267" t="s">
        <v>310</v>
      </c>
      <c r="BQ18" s="289">
        <f>B294</f>
        <v>2.8000000000000002E-12</v>
      </c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5.7042361368312986E-5</v>
      </c>
      <c r="CV18" s="271" t="s">
        <v>311</v>
      </c>
      <c r="CW18" s="266" t="s">
        <v>63</v>
      </c>
      <c r="CX18" s="189">
        <f>B28</f>
        <v>5.8031270640000001E-11</v>
      </c>
      <c r="CY18" s="266" t="s">
        <v>64</v>
      </c>
      <c r="CZ18" s="266" t="s">
        <v>258</v>
      </c>
      <c r="DA18" s="295">
        <f>GS2</f>
        <v>6.2075540314444188E-3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1.6034243405830633E-3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1.6034243405830633E-3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1.6034243405830633E-3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1.6034243405830633E-3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1.6034243405830633E-3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432.2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3.7739999999999999E-8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((W5*W6*W9)/((W11/W12)*(1-EXP(-W6*W9))*W14*W8*W9*(1/365)))*W7*W20*W21</f>
        <v>3.2146885055259902E-5</v>
      </c>
      <c r="X19" s="88" t="s">
        <v>16</v>
      </c>
      <c r="Y19" s="88" t="s">
        <v>78</v>
      </c>
      <c r="Z19" s="296">
        <f>((Z5*Z6*Z9)/((Z11/Z12)*(1-EXP(-Z6*Z9))*Z14*Z8*Z9*(1/365)))*Z7*Z20*Z21</f>
        <v>3.2146885055259902E-5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0.753</v>
      </c>
      <c r="AG19" s="305">
        <f>B4</f>
        <v>0.753</v>
      </c>
      <c r="AH19" s="267"/>
      <c r="BS19" s="262" t="s">
        <v>63</v>
      </c>
      <c r="BT19" s="287">
        <f>E18</f>
        <v>5.8031270640000001E-11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((CC22*CC23*CC24)/((1-EXP(-CC24*CC23))*CC27*CC31*(CC26/365)*CC29*(CC30/24)*CC28))*CC25*CC32*CC33</f>
        <v>5.6373719814240593</v>
      </c>
      <c r="CD19" s="404" t="s">
        <v>314</v>
      </c>
      <c r="CE19" s="402" t="s">
        <v>562</v>
      </c>
      <c r="CF19" s="400">
        <f>((CF22*CF23*CF24)/((1-EXP(-CF24*CF23))*CF27*CF31*(CF26/365)*CF29*(CF30/24)*CF28))*CF25*CF32*CF33</f>
        <v>0.54055813935043751</v>
      </c>
      <c r="CG19" s="398" t="s">
        <v>311</v>
      </c>
      <c r="CK19" s="410" t="s">
        <v>510</v>
      </c>
      <c r="CL19" s="400">
        <f>(CL22/(CL23*CL24*CL25*CL26))*CL28*CL27*CL32</f>
        <v>1.1197376963581948E-6</v>
      </c>
      <c r="CM19" s="404" t="s">
        <v>311</v>
      </c>
      <c r="CN19" s="402" t="s">
        <v>7</v>
      </c>
      <c r="CO19" s="400">
        <f>(CL19/(CO22*((CO27*CO29*CO30*(CO23+CO24))+(CO28*CO29))))*CL30</f>
        <v>0.74687936072545225</v>
      </c>
      <c r="CP19" s="412" t="s">
        <v>311</v>
      </c>
      <c r="CQ19" s="402" t="s">
        <v>6</v>
      </c>
      <c r="CR19" s="400">
        <f>CL19/(CR22*CR23*(1/CR24))</f>
        <v>22.394753927163894</v>
      </c>
      <c r="CS19" s="415" t="s">
        <v>313</v>
      </c>
      <c r="CT19" s="266" t="s">
        <v>258</v>
      </c>
      <c r="CU19" s="295">
        <f>GV2</f>
        <v>4.6910635520938415E-5</v>
      </c>
      <c r="CV19" s="271" t="s">
        <v>311</v>
      </c>
      <c r="CW19" s="266" t="s">
        <v>255</v>
      </c>
      <c r="CX19" s="304">
        <f>B173</f>
        <v>2</v>
      </c>
      <c r="CY19" s="88"/>
      <c r="CZ19" s="266" t="s">
        <v>184</v>
      </c>
      <c r="DA19" s="295">
        <f>EK2</f>
        <v>4.5397130992223724E-4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432.2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432.2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432.2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432.2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432.2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315</v>
      </c>
      <c r="GP19" s="292">
        <f>B293</f>
        <v>241</v>
      </c>
      <c r="GQ19" s="249" t="s">
        <v>309</v>
      </c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1.036E-10</v>
      </c>
      <c r="C20" s="263" t="s">
        <v>35</v>
      </c>
      <c r="D20" s="88" t="s">
        <v>74</v>
      </c>
      <c r="E20" s="294">
        <f>((E5)/(E10*E11))*E7*E26*E27</f>
        <v>1.2773283930503181E-13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315</v>
      </c>
      <c r="W20" s="289">
        <f>B293</f>
        <v>241</v>
      </c>
      <c r="X20" s="249" t="s">
        <v>309</v>
      </c>
      <c r="Y20" s="95" t="s">
        <v>315</v>
      </c>
      <c r="Z20" s="289">
        <f>B293</f>
        <v>241</v>
      </c>
      <c r="AA20" s="249" t="s">
        <v>309</v>
      </c>
      <c r="AB20" s="262" t="s">
        <v>71</v>
      </c>
      <c r="AC20" s="287">
        <f>B23</f>
        <v>2.767285944E-8</v>
      </c>
      <c r="AD20" s="287">
        <f>B23</f>
        <v>2.767285944E-8</v>
      </c>
      <c r="AE20" s="287">
        <f>B23</f>
        <v>2.767285944E-8</v>
      </c>
      <c r="AF20" s="287">
        <f>B23</f>
        <v>2.767285944E-8</v>
      </c>
      <c r="AG20" s="287">
        <f>B23</f>
        <v>2.767285944E-8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7.1581561355124483E-6</v>
      </c>
      <c r="CV20" s="271" t="s">
        <v>311</v>
      </c>
      <c r="CW20" s="88" t="s">
        <v>74</v>
      </c>
      <c r="CX20" s="294">
        <f>((CX5)/((CX14/CX15)*CX10*CX11))*CX7*CX26*CX27</f>
        <v>1.362483619253673E-13</v>
      </c>
      <c r="CY20" s="88" t="s">
        <v>15</v>
      </c>
      <c r="CZ20" s="266" t="s">
        <v>493</v>
      </c>
      <c r="DA20" s="295">
        <f>DV2</f>
        <v>0.32068185570205654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4.3949771689497717E-6</v>
      </c>
      <c r="DH20" s="249" t="s">
        <v>82</v>
      </c>
      <c r="DL20" s="267"/>
      <c r="DO20" s="267" t="s">
        <v>90</v>
      </c>
      <c r="DP20" s="288">
        <f>0.693/B35</f>
        <v>4.3949771689497717E-6</v>
      </c>
      <c r="DQ20" s="249" t="s">
        <v>82</v>
      </c>
      <c r="DR20" s="95" t="s">
        <v>315</v>
      </c>
      <c r="DS20" s="289">
        <f>B293</f>
        <v>241</v>
      </c>
      <c r="DT20" s="249" t="s">
        <v>309</v>
      </c>
      <c r="DU20" s="267"/>
      <c r="EA20" s="267"/>
      <c r="EB20" s="307"/>
      <c r="EC20" s="263"/>
      <c r="ED20" s="267" t="s">
        <v>90</v>
      </c>
      <c r="EE20" s="299">
        <f>0.693/B35</f>
        <v>4.3949771689497717E-6</v>
      </c>
      <c r="EF20" s="263" t="s">
        <v>82</v>
      </c>
      <c r="EG20" s="249" t="s">
        <v>315</v>
      </c>
      <c r="EH20" s="297">
        <f>B293</f>
        <v>241</v>
      </c>
      <c r="EI20" s="249" t="s">
        <v>309</v>
      </c>
      <c r="EJ20" s="267"/>
      <c r="EP20" s="267"/>
      <c r="EQ20" s="307"/>
      <c r="ER20" s="263"/>
      <c r="ES20" s="267" t="s">
        <v>90</v>
      </c>
      <c r="ET20" s="299">
        <f>0.693/B35</f>
        <v>4.3949771689497717E-6</v>
      </c>
      <c r="EU20" s="263" t="s">
        <v>82</v>
      </c>
      <c r="EV20" s="95" t="s">
        <v>315</v>
      </c>
      <c r="EW20" s="297">
        <f>B293</f>
        <v>241</v>
      </c>
      <c r="EX20" s="249" t="s">
        <v>309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4.3949771689497717E-6</v>
      </c>
      <c r="FJ20" s="263" t="s">
        <v>82</v>
      </c>
      <c r="FK20" s="95" t="s">
        <v>315</v>
      </c>
      <c r="FL20" s="297">
        <f>B293</f>
        <v>241</v>
      </c>
      <c r="FM20" s="249" t="s">
        <v>309</v>
      </c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315</v>
      </c>
      <c r="GA20" s="292">
        <f>B293</f>
        <v>241</v>
      </c>
      <c r="GB20" s="249" t="s">
        <v>309</v>
      </c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4.3949771689497717E-6</v>
      </c>
      <c r="GN20" s="263" t="s">
        <v>82</v>
      </c>
      <c r="GO20" s="267" t="s">
        <v>310</v>
      </c>
      <c r="GP20" s="292">
        <f>B294</f>
        <v>2.8000000000000002E-12</v>
      </c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4.3949771689497717E-6</v>
      </c>
      <c r="HC20" s="263" t="s">
        <v>82</v>
      </c>
    </row>
    <row r="21" spans="1:214" ht="15" thickTop="1" thickBot="1" x14ac:dyDescent="0.25">
      <c r="A21" s="262" t="s">
        <v>316</v>
      </c>
      <c r="B21" s="315">
        <v>1.8425999999999999E-10</v>
      </c>
      <c r="C21" s="262" t="s">
        <v>35</v>
      </c>
      <c r="D21" s="88" t="s">
        <v>78</v>
      </c>
      <c r="E21" s="295">
        <f>((E5)/((E14/E15)*E8*E9*E18*(1/365)*E19))*E7*E26*E27</f>
        <v>1.6676232286801932E-6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((N24*N25*N26)/((1-EXP(-N26*N25))*N29*N34*(N28/365)*N32*(((N33/24)*N31)+((N35/24)*N30))))*N27*N36*N37</f>
        <v>1.5259032315867092E-5</v>
      </c>
      <c r="O21" s="637" t="s">
        <v>314</v>
      </c>
      <c r="P21" s="639" t="s">
        <v>516</v>
      </c>
      <c r="Q21" s="647">
        <f>((Q24*Q25*Q26)/((1-EXP(-Q26*Q25))*Q29*Q34*(Q28/365)*Q32*(((Q33/24)*Q31)+((Q35/24)*Q30))))*Q27*Q36*Q37</f>
        <v>1.105726979410659E-5</v>
      </c>
      <c r="R21" s="643" t="s">
        <v>311</v>
      </c>
      <c r="V21" s="267" t="s">
        <v>310</v>
      </c>
      <c r="W21" s="289">
        <f>B295</f>
        <v>2.8000000000000001E-15</v>
      </c>
      <c r="Y21" s="267" t="s">
        <v>310</v>
      </c>
      <c r="Z21" s="289">
        <f>B295</f>
        <v>2.8000000000000001E-15</v>
      </c>
      <c r="AB21" s="262" t="s">
        <v>43</v>
      </c>
      <c r="AC21" s="290">
        <f>B19</f>
        <v>3.7739999999999999E-8</v>
      </c>
      <c r="AD21" s="290">
        <f>B19</f>
        <v>3.7739999999999999E-8</v>
      </c>
      <c r="AE21" s="290">
        <f>B19</f>
        <v>3.7739999999999999E-8</v>
      </c>
      <c r="AF21" s="290">
        <f>B19</f>
        <v>3.7739999999999999E-8</v>
      </c>
      <c r="AG21" s="290">
        <f>B19</f>
        <v>3.7739999999999999E-8</v>
      </c>
      <c r="AH21" s="263" t="s">
        <v>35</v>
      </c>
      <c r="AI21" s="381" t="s">
        <v>516</v>
      </c>
      <c r="AJ21" s="387">
        <f>((AJ24*AJ25*AJ26)/((1-EXP(-AJ26*AJ25))*AJ34*(AJ28/365)*AJ29*(AJ35/24)*AJ30*AJ32))*AJ27*AJ36*AJ37</f>
        <v>2.4964065425725268E-4</v>
      </c>
      <c r="AK21" s="629" t="s">
        <v>314</v>
      </c>
      <c r="AL21" s="383" t="s">
        <v>516</v>
      </c>
      <c r="AM21" s="387">
        <f>((AM24*AM25*AM26)/((1-EXP(-AM26*AM25))*AM34*(AM28/365)*AM29*(AM35/24)*AM30*AM32))*AM27*AM36*AM37</f>
        <v>1.8089902482409617E-4</v>
      </c>
      <c r="AN21" s="635" t="s">
        <v>311</v>
      </c>
      <c r="AR21" s="381" t="s">
        <v>516</v>
      </c>
      <c r="AS21" s="387">
        <f>((AS24*AS25*AS26)/((1-EXP(-AS26*AS25))*AS34*(AS28/365)*AS29*(AS33/24)*AS31*AS32))*AS27*AS36*AS37</f>
        <v>9.9856261702901091E-5</v>
      </c>
      <c r="AT21" s="391" t="s">
        <v>314</v>
      </c>
      <c r="AU21" s="383" t="s">
        <v>516</v>
      </c>
      <c r="AV21" s="387">
        <f>((AV24*AV25*AV26)/((1-EXP(-AV26*AV25))*AV34*(AV28/365)*AV29*(AV33/24)*AV31*AV32))*AV27*AV36*AV37</f>
        <v>7.2359609929638469E-5</v>
      </c>
      <c r="AW21" s="385" t="s">
        <v>311</v>
      </c>
      <c r="BA21" s="381" t="s">
        <v>516</v>
      </c>
      <c r="BB21" s="387">
        <f>((BB24*BB25*BB26)/((1-EXP(-BB26*BB25))*BB34*(BB28/365)*BB29*((BB33+BB35)/24)*BB31*BB32))*BB27*BB36*BB37</f>
        <v>9.9856261702901091E-5</v>
      </c>
      <c r="BC21" s="391" t="s">
        <v>314</v>
      </c>
      <c r="BD21" s="383" t="s">
        <v>516</v>
      </c>
      <c r="BE21" s="387">
        <f>((BE24*BE25*BE26)/((1-EXP(-BE26*BE25))*BE34*(BE28/365)*BE29*((BE33+BE35)/24)*BE31*BE32))*BE27*BE36*BE37</f>
        <v>7.2359609929638469E-5</v>
      </c>
      <c r="BF21" s="385" t="s">
        <v>311</v>
      </c>
      <c r="BJ21" s="381" t="s">
        <v>561</v>
      </c>
      <c r="BK21" s="389">
        <f>((BK24*BK25*BK26)/((1-EXP(-BK26*BK25))*BK31*BK35*(BK28/365)*BK33*(BK34/24)*BK32))*BK27*BK36*BK37</f>
        <v>7.8618930111800429</v>
      </c>
      <c r="BL21" s="391" t="s">
        <v>314</v>
      </c>
      <c r="BM21" s="383" t="s">
        <v>562</v>
      </c>
      <c r="BN21" s="389">
        <f>((BN24*BN25*BN26)/((1-EXP(-BN26*BN25))*BN31*BN35*(BN28/365)*BN33*(BN34/24)*BN32))*BN27*BN36*BN37</f>
        <v>0.75386372797456336</v>
      </c>
      <c r="BO21" s="385" t="s">
        <v>311</v>
      </c>
      <c r="BS21" s="88" t="s">
        <v>74</v>
      </c>
      <c r="BT21" s="294">
        <f>((BT5)/(BT10*BT11))*BT7*BT29*BT30</f>
        <v>1.7293061321296616E-12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5.5188192777551066E-3</v>
      </c>
      <c r="CV21" s="271" t="s">
        <v>311</v>
      </c>
      <c r="CW21" s="88" t="s">
        <v>78</v>
      </c>
      <c r="CX21" s="296">
        <f>((CX5)/((CX14/CX15)*CX8*CX9*CX18*(1/365)*CX19))*CX7*CX26*CX27</f>
        <v>5.558744095600645E-7</v>
      </c>
      <c r="CY21" s="88" t="s">
        <v>15</v>
      </c>
      <c r="CZ21" s="266" t="s">
        <v>492</v>
      </c>
      <c r="DA21" s="295">
        <f>GD2</f>
        <v>5.0125998803913687E-3</v>
      </c>
      <c r="DB21" s="88"/>
      <c r="DC21" s="249" t="s">
        <v>23</v>
      </c>
      <c r="DD21" s="287">
        <f>0.693/DD22</f>
        <v>1.6034243405830633E-3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R21" s="267" t="s">
        <v>310</v>
      </c>
      <c r="DS21" s="289">
        <f>B294</f>
        <v>2.8000000000000002E-12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G21" s="267" t="s">
        <v>310</v>
      </c>
      <c r="EH21" s="289">
        <f>B294</f>
        <v>2.8000000000000002E-12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V21" s="267" t="s">
        <v>310</v>
      </c>
      <c r="EW21" s="289">
        <f>B294</f>
        <v>2.8000000000000002E-12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 t="s">
        <v>310</v>
      </c>
      <c r="FL21" s="292">
        <f>B294</f>
        <v>2.8000000000000002E-12</v>
      </c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FZ21" s="267" t="s">
        <v>310</v>
      </c>
      <c r="GA21" s="289">
        <f>B294</f>
        <v>2.8000000000000002E-12</v>
      </c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9.1019999999999999E-11</v>
      </c>
      <c r="C22" s="262" t="s">
        <v>35</v>
      </c>
      <c r="D22" s="88" t="s">
        <v>74</v>
      </c>
      <c r="E22" s="295">
        <f>((E5*E9*E6)/((1-EXP(-E6*E9))*E10*E11))*E7*E26*E27</f>
        <v>1.2979188512870961E-13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((BT5)/((BT14/24)*(BT8/365)*BT9*BT19*BT20))*BT7*BT29*BT30</f>
        <v>2.257705294213185E-5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5.0000000000000002E-5</v>
      </c>
      <c r="CQ22" s="262" t="s">
        <v>265</v>
      </c>
      <c r="CR22" s="287">
        <f>CO22</f>
        <v>5.0000000000000002E-5</v>
      </c>
      <c r="CT22" s="266" t="s">
        <v>492</v>
      </c>
      <c r="CU22" s="295">
        <f>GG2</f>
        <v>2.8521180684156493E-5</v>
      </c>
      <c r="CV22" s="271" t="s">
        <v>311</v>
      </c>
      <c r="CW22" s="88" t="s">
        <v>74</v>
      </c>
      <c r="CX22" s="294">
        <f>((CX5*CX9*CX6)/((CX14/CX15)*(1-EXP(-CX6*CX9))*CX10*CX11))*CX7*CX26*CX27</f>
        <v>1.395515917903048E-13</v>
      </c>
      <c r="CY22" s="88" t="s">
        <v>16</v>
      </c>
      <c r="CZ22" s="266" t="s">
        <v>183</v>
      </c>
      <c r="DA22" s="296">
        <f>FO2</f>
        <v>5.0125998803913697E-8</v>
      </c>
      <c r="DB22" s="88"/>
      <c r="DC22" s="266" t="s">
        <v>270</v>
      </c>
      <c r="DD22" s="287">
        <f>B31</f>
        <v>432.2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2.767285944E-8</v>
      </c>
      <c r="C23" s="262" t="s">
        <v>95</v>
      </c>
      <c r="D23" s="88" t="s">
        <v>78</v>
      </c>
      <c r="E23" s="296">
        <f>((E5*E9*E6)/((E14/E15)*E8*E9*(1-EXP(-E6*E9))*E18*(1/365)*E19))*E7*E26*E27</f>
        <v>1.6945052166103458E-6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((BT5*BT28*BT6)/((1-EXP(-BT6*BT28))*BT10*BT11))*BT7*BT29*BT30</f>
        <v>1.7656031325897287E-12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1.3357000000000001E-10</v>
      </c>
      <c r="CM23" s="266" t="s">
        <v>13</v>
      </c>
      <c r="CN23" s="249" t="s">
        <v>21</v>
      </c>
      <c r="CO23" s="290">
        <f>CO25</f>
        <v>2.1999999999999999E-5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2.0536505024542775E-10</v>
      </c>
      <c r="CV23" s="271" t="s">
        <v>311</v>
      </c>
      <c r="CW23" s="88" t="s">
        <v>78</v>
      </c>
      <c r="CX23" s="296">
        <f>((CX5*CX9*CX6)/((CX14/CX15)*CX8*CX9*(1-EXP(-CX6*CX9))*CX18*(1/365)*CX19))*CX7*CX26*CX27</f>
        <v>5.6935112902197698E-7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C23" s="95" t="s">
        <v>315</v>
      </c>
      <c r="DD23" s="297">
        <f>B293</f>
        <v>241</v>
      </c>
      <c r="DE23" s="249" t="s">
        <v>309</v>
      </c>
      <c r="DF23" s="262" t="s">
        <v>17</v>
      </c>
      <c r="DG23" s="287">
        <f>B35</f>
        <v>157680</v>
      </c>
      <c r="DH23" s="249" t="s">
        <v>257</v>
      </c>
      <c r="DO23" s="262" t="s">
        <v>20</v>
      </c>
      <c r="DP23" s="305">
        <f>DP25</f>
        <v>1.914E-5</v>
      </c>
      <c r="EA23" s="262"/>
      <c r="EB23" s="293"/>
      <c r="EC23" s="263"/>
      <c r="ED23" s="262" t="s">
        <v>20</v>
      </c>
      <c r="EE23" s="305">
        <f>EE25</f>
        <v>2.1999999999999999E-5</v>
      </c>
      <c r="EF23" s="263"/>
      <c r="EP23" s="262"/>
      <c r="EQ23" s="293"/>
      <c r="ER23" s="263"/>
      <c r="ES23" s="262" t="s">
        <v>20</v>
      </c>
      <c r="ET23" s="305">
        <f>ET25</f>
        <v>2.1999999999999999E-5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1.914E-5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1.914E-5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1.914E-5</v>
      </c>
      <c r="HC23" s="263"/>
      <c r="HD23" s="219" t="s">
        <v>574</v>
      </c>
      <c r="HE23" s="348">
        <f>((HE25*HE33*HE38*HE32*10^-3*HE31*HE27)/(HE30*HE41*(1-EXP(-HE27*HE31))))*HE28*HE15*HE16</f>
        <v>6.2655529534407381E-8</v>
      </c>
      <c r="HF23" s="252" t="s">
        <v>311</v>
      </c>
    </row>
    <row r="24" spans="1:214" ht="14.25" thickTop="1" thickBot="1" x14ac:dyDescent="0.25">
      <c r="A24" s="262" t="s">
        <v>450</v>
      </c>
      <c r="B24" s="315">
        <v>1.86820992E-8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((BT5*BT28*BT6)/((BT14/24)*(BT8/365)*BT9*(1-EXP(-BT6*BT28))*BT19*BT20))*BT7*BT29*BT30</f>
        <v>2.3050930462023793E-5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1.6034243405830633E-3</v>
      </c>
      <c r="CE24" s="262" t="s">
        <v>23</v>
      </c>
      <c r="CF24" s="288">
        <f>0.693/CF25</f>
        <v>1.6034243405830633E-3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C24" s="267" t="s">
        <v>310</v>
      </c>
      <c r="DD24" s="289">
        <f>B294</f>
        <v>2.8000000000000002E-12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6.7238623693825152E-12</v>
      </c>
      <c r="HF24" s="75" t="s">
        <v>311</v>
      </c>
    </row>
    <row r="25" spans="1:214" ht="13.5" thickTop="1" x14ac:dyDescent="0.2">
      <c r="A25" s="262" t="s">
        <v>449</v>
      </c>
      <c r="B25" s="315">
        <v>1.3754695536000001E-8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2.4623143392241064E-12</v>
      </c>
      <c r="X25" s="254" t="s">
        <v>312</v>
      </c>
      <c r="Y25" s="321" t="s">
        <v>16</v>
      </c>
      <c r="Z25" s="358">
        <f>1/((1/Z38)+(1/Z39))</f>
        <v>2.4544362785614407E-12</v>
      </c>
      <c r="AA25" s="255" t="s">
        <v>312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432.2</v>
      </c>
      <c r="CD25" s="249" t="s">
        <v>69</v>
      </c>
      <c r="CE25" s="266" t="s">
        <v>270</v>
      </c>
      <c r="CF25" s="287">
        <f>B31</f>
        <v>432.2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2.1999999999999999E-5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1.914E-5</v>
      </c>
      <c r="EA25" s="262"/>
      <c r="EC25" s="263"/>
      <c r="ED25" s="262" t="s">
        <v>38</v>
      </c>
      <c r="EE25" s="287">
        <f>B45</f>
        <v>2.1999999999999999E-5</v>
      </c>
      <c r="EF25" s="263"/>
      <c r="EP25" s="262"/>
      <c r="ER25" s="263"/>
      <c r="ES25" s="263" t="s">
        <v>37</v>
      </c>
      <c r="ET25" s="287">
        <f>B45</f>
        <v>2.1999999999999999E-5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1.914E-5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1.914E-5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1.914E-5</v>
      </c>
      <c r="HC25" s="263"/>
      <c r="HD25" s="265" t="s">
        <v>22</v>
      </c>
      <c r="HE25" s="292">
        <f>B47</f>
        <v>15</v>
      </c>
      <c r="HF25" s="262" t="s">
        <v>580</v>
      </c>
    </row>
    <row r="26" spans="1:214" ht="13.5" thickBot="1" x14ac:dyDescent="0.25">
      <c r="A26" s="262" t="s">
        <v>451</v>
      </c>
      <c r="B26" s="315">
        <v>2.5781296896000001E-8</v>
      </c>
      <c r="C26" s="262" t="s">
        <v>95</v>
      </c>
      <c r="D26" s="263" t="s">
        <v>315</v>
      </c>
      <c r="E26" s="289">
        <f>B293</f>
        <v>241</v>
      </c>
      <c r="F26" s="249" t="s">
        <v>309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1.6034243405830633E-3</v>
      </c>
      <c r="P26" s="262" t="s">
        <v>23</v>
      </c>
      <c r="Q26" s="288">
        <f>0.693/Q27</f>
        <v>1.6034243405830633E-3</v>
      </c>
      <c r="V26" s="320" t="s">
        <v>15</v>
      </c>
      <c r="W26" s="359">
        <f>1/((1/W38)+(1/W39))</f>
        <v>2.4524703268078256E-12</v>
      </c>
      <c r="X26" s="258" t="s">
        <v>312</v>
      </c>
      <c r="Y26" s="322" t="s">
        <v>15</v>
      </c>
      <c r="Z26" s="360">
        <f>1/((1/Z40)+(1/Z41))</f>
        <v>2.4524703268078256E-12</v>
      </c>
      <c r="AA26" s="259" t="s">
        <v>312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1.6034243405830633E-3</v>
      </c>
      <c r="AL26" s="262" t="s">
        <v>23</v>
      </c>
      <c r="AM26" s="288">
        <f>0.693/AM27</f>
        <v>1.6034243405830633E-3</v>
      </c>
      <c r="AR26" s="262" t="s">
        <v>23</v>
      </c>
      <c r="AS26" s="288">
        <f>0.693/AS27</f>
        <v>1.6034243405830633E-3</v>
      </c>
      <c r="AU26" s="262" t="s">
        <v>23</v>
      </c>
      <c r="AV26" s="288">
        <f>0.693/AV27</f>
        <v>1.6034243405830633E-3</v>
      </c>
      <c r="BA26" s="262" t="s">
        <v>23</v>
      </c>
      <c r="BB26" s="288">
        <f>0.693/BB27</f>
        <v>1.6034243405830633E-3</v>
      </c>
      <c r="BD26" s="262" t="s">
        <v>23</v>
      </c>
      <c r="BE26" s="288">
        <f>0.693/BE27</f>
        <v>1.6034243405830633E-3</v>
      </c>
      <c r="BJ26" s="262" t="s">
        <v>23</v>
      </c>
      <c r="BK26" s="288">
        <f>0.693/BK27</f>
        <v>1.6034243405830633E-3</v>
      </c>
      <c r="BM26" s="262" t="s">
        <v>23</v>
      </c>
      <c r="BN26" s="288">
        <f>0.693/BN27</f>
        <v>1.6034243405830633E-3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95" t="s">
        <v>315</v>
      </c>
      <c r="CX26" s="194">
        <f>B293</f>
        <v>241</v>
      </c>
      <c r="CY26" s="249" t="s">
        <v>309</v>
      </c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2.1999999999999999E-5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4.694728762746415E-10</v>
      </c>
      <c r="HF26" s="262" t="s">
        <v>313</v>
      </c>
    </row>
    <row r="27" spans="1:214" ht="12.75" customHeight="1" thickTop="1" x14ac:dyDescent="0.2">
      <c r="A27" s="262" t="s">
        <v>452</v>
      </c>
      <c r="B27" s="315">
        <v>2.767285944E-8</v>
      </c>
      <c r="C27" s="262" t="s">
        <v>95</v>
      </c>
      <c r="D27" s="249" t="s">
        <v>310</v>
      </c>
      <c r="E27" s="289">
        <f>B295</f>
        <v>2.8000000000000001E-15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432.2</v>
      </c>
      <c r="O27" s="249" t="s">
        <v>69</v>
      </c>
      <c r="P27" s="266" t="s">
        <v>270</v>
      </c>
      <c r="Q27" s="287">
        <f>B31</f>
        <v>432.2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1.6034243405830633E-3</v>
      </c>
      <c r="AD27" s="288">
        <f>0.693/AD28</f>
        <v>1.6034243405830633E-3</v>
      </c>
      <c r="AE27" s="288">
        <f>0.693/AE28</f>
        <v>1.6034243405830633E-3</v>
      </c>
      <c r="AF27" s="288">
        <f>0.693/AF28</f>
        <v>1.6034243405830633E-3</v>
      </c>
      <c r="AG27" s="288">
        <f>0.693/AG28</f>
        <v>1.6034243405830633E-3</v>
      </c>
      <c r="AI27" s="266" t="s">
        <v>270</v>
      </c>
      <c r="AJ27" s="287">
        <f>B31</f>
        <v>432.2</v>
      </c>
      <c r="AK27" s="249" t="s">
        <v>69</v>
      </c>
      <c r="AL27" s="266" t="s">
        <v>270</v>
      </c>
      <c r="AM27" s="287">
        <f>B31</f>
        <v>432.2</v>
      </c>
      <c r="AN27" s="249" t="s">
        <v>69</v>
      </c>
      <c r="AR27" s="266" t="s">
        <v>270</v>
      </c>
      <c r="AS27" s="287">
        <f>B31</f>
        <v>432.2</v>
      </c>
      <c r="AT27" s="249" t="s">
        <v>69</v>
      </c>
      <c r="AU27" s="266" t="s">
        <v>270</v>
      </c>
      <c r="AV27" s="287">
        <f>B31</f>
        <v>432.2</v>
      </c>
      <c r="AW27" s="249" t="s">
        <v>69</v>
      </c>
      <c r="BA27" s="266" t="s">
        <v>270</v>
      </c>
      <c r="BB27" s="287">
        <f>B31</f>
        <v>432.2</v>
      </c>
      <c r="BC27" s="249" t="s">
        <v>69</v>
      </c>
      <c r="BD27" s="266" t="s">
        <v>270</v>
      </c>
      <c r="BE27" s="287">
        <f>B31</f>
        <v>432.2</v>
      </c>
      <c r="BF27" s="249" t="s">
        <v>69</v>
      </c>
      <c r="BJ27" s="266" t="s">
        <v>270</v>
      </c>
      <c r="BK27" s="287">
        <f>B31</f>
        <v>432.2</v>
      </c>
      <c r="BL27" s="249" t="s">
        <v>69</v>
      </c>
      <c r="BM27" s="266" t="s">
        <v>270</v>
      </c>
      <c r="BN27" s="287">
        <f>B31</f>
        <v>432.2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315</v>
      </c>
      <c r="CL27" s="289">
        <f>B293</f>
        <v>241</v>
      </c>
      <c r="CM27" s="249" t="s">
        <v>309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7" t="s">
        <v>310</v>
      </c>
      <c r="CX27" s="304">
        <f>B295</f>
        <v>2.8000000000000001E-15</v>
      </c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4.2E-7</v>
      </c>
      <c r="EP27" s="262"/>
      <c r="EQ27" s="310"/>
      <c r="ES27" s="262" t="s">
        <v>275</v>
      </c>
      <c r="ET27" s="310">
        <f>B38</f>
        <v>5.0000000000000001E-4</v>
      </c>
      <c r="FH27" s="262" t="s">
        <v>201</v>
      </c>
      <c r="FI27" s="310">
        <f>B40</f>
        <v>3.0000000000000001E-3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6.0000000000000001E-3</v>
      </c>
      <c r="GS27" s="328"/>
      <c r="GT27" s="264"/>
      <c r="GU27" s="264"/>
      <c r="GV27" s="328"/>
      <c r="GW27" s="264"/>
      <c r="HA27" s="262" t="s">
        <v>277</v>
      </c>
      <c r="HB27" s="310">
        <f>B41</f>
        <v>1.7000000000000001E-4</v>
      </c>
      <c r="HD27" s="262" t="s">
        <v>23</v>
      </c>
      <c r="HE27" s="288">
        <f>0.693/HE28</f>
        <v>1.6034243405830633E-3</v>
      </c>
    </row>
    <row r="28" spans="1:214" ht="15.75" thickBot="1" x14ac:dyDescent="0.25">
      <c r="A28" s="262" t="s">
        <v>63</v>
      </c>
      <c r="B28" s="315">
        <v>5.8031270640000001E-11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1.6034243405830633E-3</v>
      </c>
      <c r="Y28" s="262" t="s">
        <v>23</v>
      </c>
      <c r="Z28" s="288">
        <f>0.693/Z29</f>
        <v>1.6034243405830633E-3</v>
      </c>
      <c r="AB28" s="266" t="s">
        <v>270</v>
      </c>
      <c r="AC28" s="287">
        <f>B31</f>
        <v>432.2</v>
      </c>
      <c r="AD28" s="287">
        <f>B31</f>
        <v>432.2</v>
      </c>
      <c r="AE28" s="287">
        <f>B31</f>
        <v>432.2</v>
      </c>
      <c r="AF28" s="287">
        <f>B31</f>
        <v>432.2</v>
      </c>
      <c r="AG28" s="287">
        <f>B31</f>
        <v>432.2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1.5699999999999999E-5</v>
      </c>
      <c r="CE28" s="249" t="s">
        <v>458</v>
      </c>
      <c r="CF28" s="287">
        <f>B8</f>
        <v>1.35E-4</v>
      </c>
      <c r="CK28" s="266" t="s">
        <v>270</v>
      </c>
      <c r="CL28" s="287">
        <f>B31</f>
        <v>432.2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432.2</v>
      </c>
      <c r="HF28" s="249" t="s">
        <v>69</v>
      </c>
    </row>
    <row r="29" spans="1:214" ht="18.75" thickTop="1" x14ac:dyDescent="0.2">
      <c r="A29" s="266" t="s">
        <v>161</v>
      </c>
      <c r="B29" s="315">
        <v>1.319423256E-13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432.2</v>
      </c>
      <c r="X29" s="249" t="s">
        <v>69</v>
      </c>
      <c r="Y29" s="266" t="s">
        <v>270</v>
      </c>
      <c r="Z29" s="287">
        <f>B31</f>
        <v>432.2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95" t="s">
        <v>315</v>
      </c>
      <c r="BT29" s="313">
        <f>B293</f>
        <v>241</v>
      </c>
      <c r="BU29" s="249" t="s">
        <v>309</v>
      </c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0.80900000000000005</v>
      </c>
      <c r="CE29" s="249" t="s">
        <v>459</v>
      </c>
      <c r="CF29" s="287">
        <f>B9</f>
        <v>0.71099999999999997</v>
      </c>
      <c r="CK29" s="249" t="s">
        <v>23</v>
      </c>
      <c r="CL29" s="288">
        <f>693/CL28</f>
        <v>1.6034243405830635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1.3357000000000001E-10</v>
      </c>
      <c r="C30" s="267" t="s">
        <v>35</v>
      </c>
      <c r="D30" s="203" t="s">
        <v>510</v>
      </c>
      <c r="E30" s="204">
        <f>E37</f>
        <v>3.6090719138817843E-8</v>
      </c>
      <c r="F30" s="184" t="s">
        <v>311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288">
        <f>(AC26*AC27)/(1-EXP(-AC27*AC26))</f>
        <v>1.0040139170324209</v>
      </c>
      <c r="AD30" s="288">
        <f>(AD26*AD27)/(1-EXP(-AD27*AD26))</f>
        <v>1.0040139170324209</v>
      </c>
      <c r="AE30" s="288">
        <f>(AE26*AE27)/(1-EXP(-AE27*AE26))</f>
        <v>1.0040139170324209</v>
      </c>
      <c r="AF30" s="288">
        <f>(AF26*AF27)/(1-EXP(-AF27*AF26))</f>
        <v>1.0040139170324209</v>
      </c>
      <c r="AG30" s="288">
        <f>(AG26*AG27)/(1-EXP(-AG27*AG26))</f>
        <v>1.0040139170324209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7" t="s">
        <v>310</v>
      </c>
      <c r="BT30" s="137">
        <f>B295</f>
        <v>2.8000000000000001E-15</v>
      </c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41.689032855159653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315">
        <v>432.2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2.41E-4</v>
      </c>
      <c r="CB31" s="249" t="s">
        <v>71</v>
      </c>
      <c r="CC31" s="290">
        <f>B24</f>
        <v>1.86820992E-8</v>
      </c>
      <c r="CD31" s="262" t="s">
        <v>282</v>
      </c>
      <c r="CE31" s="249" t="s">
        <v>71</v>
      </c>
      <c r="CF31" s="290">
        <f>B26</f>
        <v>2.5781296896000001E-8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3.7739999999999999E-8</v>
      </c>
      <c r="X32" s="263" t="s">
        <v>44</v>
      </c>
      <c r="Y32" s="249" t="s">
        <v>43</v>
      </c>
      <c r="Z32" s="290">
        <f>B19</f>
        <v>3.7739999999999999E-8</v>
      </c>
      <c r="AA32" s="263" t="s">
        <v>44</v>
      </c>
      <c r="AB32" s="266" t="s">
        <v>80</v>
      </c>
      <c r="AC32" s="294">
        <f>((AC5/(AC9*AC14*AC8*AC11*(1/AC6)))*AC30)*AC28*AC38*AC39</f>
        <v>2.1269993380618557E-4</v>
      </c>
      <c r="AD32" s="294">
        <f>((AD5/(AD9*AD14*AD8*AD11*(1/AD6)))*AD30)*AD28*AD38*AD39</f>
        <v>2.1269993380618557E-4</v>
      </c>
      <c r="AE32" s="294">
        <f>((AE5/(AE9*AE14*AE8*AE11*(1/AE6)))*AE30)*AE28*AE38*AE39</f>
        <v>2.1269993380618557E-4</v>
      </c>
      <c r="AF32" s="294">
        <f>((AF5/(AF9*AF14*AF8*AF11*(1/AF6)))*AF30)*AF28*AF38*AF39</f>
        <v>2.1269993380618557E-4</v>
      </c>
      <c r="AG32" s="294">
        <f>((AG5/(AG9*AG14*AG8*AG11*(1/AG6)))*AG30)*AG28*AG38*AG39</f>
        <v>2.1269993380618557E-4</v>
      </c>
      <c r="AH32" s="266" t="s">
        <v>311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1.5699999999999999E-5</v>
      </c>
      <c r="BM32" s="249" t="s">
        <v>458</v>
      </c>
      <c r="BN32" s="287">
        <f>B8</f>
        <v>1.35E-4</v>
      </c>
      <c r="BV32" s="95" t="s">
        <v>315</v>
      </c>
      <c r="BW32" s="289">
        <f>B293</f>
        <v>241</v>
      </c>
      <c r="BX32" s="249" t="s">
        <v>309</v>
      </c>
      <c r="BY32" s="262" t="s">
        <v>62</v>
      </c>
      <c r="BZ32" s="305">
        <f>B4</f>
        <v>0.753</v>
      </c>
      <c r="CB32" s="95" t="s">
        <v>315</v>
      </c>
      <c r="CC32" s="289">
        <f>B293</f>
        <v>241</v>
      </c>
      <c r="CD32" s="249" t="s">
        <v>309</v>
      </c>
      <c r="CE32" s="95" t="s">
        <v>315</v>
      </c>
      <c r="CF32" s="289">
        <f>B293</f>
        <v>241</v>
      </c>
      <c r="CG32" s="249" t="s">
        <v>309</v>
      </c>
      <c r="CK32" s="267" t="s">
        <v>310</v>
      </c>
      <c r="CL32" s="289">
        <f>B294</f>
        <v>2.8000000000000002E-12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ht="13.15" customHeight="1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((AC5/(AC21*AC17*AC8*AC11*(1/AC35)*((8/1)/(24/1))*AC31))*AC30)*AC28*AC38*AC39</f>
        <v>2.0919585285129848E-3</v>
      </c>
      <c r="AD33" s="295">
        <f>((AD5/(AD21*AD17*AD8*((8/1)/(24/1))*AD11*(1/AD35)*AD31))*AD30)*AD28*AD38*AD39</f>
        <v>2.0919585285129852E-3</v>
      </c>
      <c r="AE33" s="295">
        <f>((AE5/(AE21*AE17*AE8*((8/1)/(24/1))*AE11*(1/AE35)*AE31))*AE30)*AE28*AE38*AE39</f>
        <v>2.0919585285129852E-3</v>
      </c>
      <c r="AF33" s="295">
        <f>((AF5/(AF21*AF17*AF8*AF11*(1/AF36)*(AF23/24)*AF31))*AF30)*AF28*AF38*AF39</f>
        <v>1.9050475412605155E-6</v>
      </c>
      <c r="AG33" s="295">
        <f>((AG5/(AG21*AG17*AG8*AG11*(1/AG37)*(AG23/24)*AG31))*AG30)*AG28*AG38*AG39</f>
        <v>8.8780870252776038E-5</v>
      </c>
      <c r="AH33" s="88" t="s">
        <v>311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0.80900000000000005</v>
      </c>
      <c r="BM33" s="249" t="s">
        <v>459</v>
      </c>
      <c r="BN33" s="287">
        <f>B9</f>
        <v>0.71099999999999997</v>
      </c>
      <c r="BV33" s="267" t="s">
        <v>310</v>
      </c>
      <c r="BW33" s="289">
        <f>B295</f>
        <v>2.8000000000000001E-15</v>
      </c>
      <c r="BY33" s="269" t="s">
        <v>111</v>
      </c>
      <c r="BZ33" s="298">
        <f>BZ25</f>
        <v>26</v>
      </c>
      <c r="CA33" s="249" t="s">
        <v>69</v>
      </c>
      <c r="CB33" s="267" t="s">
        <v>310</v>
      </c>
      <c r="CC33" s="289">
        <f>B294</f>
        <v>2.8000000000000002E-12</v>
      </c>
      <c r="CE33" s="267" t="s">
        <v>310</v>
      </c>
      <c r="CF33" s="289">
        <f>B294</f>
        <v>2.8000000000000002E-12</v>
      </c>
      <c r="CK33" s="267"/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1.3357000000000001E-10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1.86820992E-8</v>
      </c>
      <c r="O34" s="263" t="s">
        <v>447</v>
      </c>
      <c r="P34" s="249" t="s">
        <v>451</v>
      </c>
      <c r="Q34" s="290">
        <f>B26</f>
        <v>2.5781296896000001E-8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((AC5/(AC20*(AC8/365)*AC11*((AC23+AC24)/24)*AC16*AC19))*AC30)*AC28*AC38*AC39</f>
        <v>6.7413510010397345E-5</v>
      </c>
      <c r="AD34" s="296">
        <f>((AD5/(AD20*(AD8/365)*AD11*(AD24/24)*AD18*AD19))*AD30)*AD28*AD38*AD39</f>
        <v>1.6853377502599337E-4</v>
      </c>
      <c r="AE34" s="296">
        <f>((AE5/(AE20*(AE8/365)*AE11*(AE23/24)*AE16*AE19))*AE30)*AE28*AE38*AE39</f>
        <v>6.7413510010397345E-5</v>
      </c>
      <c r="AF34" s="296">
        <f>((AF5/(AF20*(AF8/365)*AF11*(AF23/24)*AF16*AF19))*AF30)*AF28*AF38*AF39</f>
        <v>0.37147955899994678</v>
      </c>
      <c r="AG34" s="296">
        <f>((AG5/(AG20*(AG8/365)*AG11*(AG23/24)*AG16*AG19))*AG30)*AG28*AG38*AG39</f>
        <v>0.37147955899994678</v>
      </c>
      <c r="AH34" s="266" t="s">
        <v>311</v>
      </c>
      <c r="AI34" s="262" t="s">
        <v>450</v>
      </c>
      <c r="AJ34" s="290">
        <f>B24</f>
        <v>1.86820992E-8</v>
      </c>
      <c r="AK34" s="262" t="s">
        <v>282</v>
      </c>
      <c r="AL34" s="262" t="s">
        <v>451</v>
      </c>
      <c r="AM34" s="290">
        <f>B26</f>
        <v>2.5781296896000001E-8</v>
      </c>
      <c r="AN34" s="263" t="s">
        <v>72</v>
      </c>
      <c r="AR34" s="262" t="s">
        <v>450</v>
      </c>
      <c r="AS34" s="290">
        <f>B24</f>
        <v>1.86820992E-8</v>
      </c>
      <c r="AT34" s="262" t="s">
        <v>282</v>
      </c>
      <c r="AU34" s="262" t="s">
        <v>451</v>
      </c>
      <c r="AV34" s="290">
        <f>B26</f>
        <v>2.5781296896000001E-8</v>
      </c>
      <c r="AW34" s="263" t="s">
        <v>72</v>
      </c>
      <c r="BA34" s="262" t="s">
        <v>450</v>
      </c>
      <c r="BB34" s="290">
        <f>B24</f>
        <v>1.86820992E-8</v>
      </c>
      <c r="BC34" s="262" t="s">
        <v>282</v>
      </c>
      <c r="BD34" s="262" t="s">
        <v>451</v>
      </c>
      <c r="BE34" s="290">
        <f>B26</f>
        <v>2.5781296896000001E-8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V34" s="249" t="s">
        <v>270</v>
      </c>
      <c r="BW34" s="287">
        <f>B31</f>
        <v>432.2</v>
      </c>
      <c r="BX34" s="249" t="s">
        <v>69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4</v>
      </c>
      <c r="HF34" s="249" t="s">
        <v>19</v>
      </c>
    </row>
    <row r="35" spans="1:214" ht="13.15" customHeight="1" x14ac:dyDescent="0.2">
      <c r="A35" s="266" t="s">
        <v>270</v>
      </c>
      <c r="B35" s="315">
        <v>157680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1.86820992E-8</v>
      </c>
      <c r="BL35" s="262" t="s">
        <v>282</v>
      </c>
      <c r="BM35" s="262" t="s">
        <v>451</v>
      </c>
      <c r="BN35" s="290">
        <f>B26</f>
        <v>2.5781296896000001E-8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ht="13.5" customHeight="1" x14ac:dyDescent="0.2">
      <c r="A36" s="262" t="s">
        <v>122</v>
      </c>
      <c r="B36" s="314">
        <v>240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95" t="s">
        <v>315</v>
      </c>
      <c r="N36" s="361">
        <f>B293</f>
        <v>241</v>
      </c>
      <c r="O36" s="249" t="s">
        <v>309</v>
      </c>
      <c r="P36" s="95" t="s">
        <v>315</v>
      </c>
      <c r="Q36" s="361">
        <f>B293</f>
        <v>241</v>
      </c>
      <c r="R36" s="249" t="s">
        <v>309</v>
      </c>
      <c r="V36" s="262" t="s">
        <v>63</v>
      </c>
      <c r="W36" s="287">
        <f>B28</f>
        <v>5.8031270640000001E-11</v>
      </c>
      <c r="X36" s="262" t="s">
        <v>64</v>
      </c>
      <c r="Y36" s="262" t="s">
        <v>63</v>
      </c>
      <c r="Z36" s="287">
        <f>B28</f>
        <v>5.8031270640000001E-11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315</v>
      </c>
      <c r="AJ36" s="289">
        <f>B293</f>
        <v>241</v>
      </c>
      <c r="AK36" s="249" t="s">
        <v>309</v>
      </c>
      <c r="AL36" s="95" t="s">
        <v>315</v>
      </c>
      <c r="AM36" s="289">
        <f>B293</f>
        <v>241</v>
      </c>
      <c r="AN36" s="249" t="s">
        <v>309</v>
      </c>
      <c r="AR36" s="95" t="s">
        <v>315</v>
      </c>
      <c r="AS36" s="289">
        <f>B293</f>
        <v>241</v>
      </c>
      <c r="AT36" s="249" t="s">
        <v>309</v>
      </c>
      <c r="AU36" s="95" t="s">
        <v>315</v>
      </c>
      <c r="AV36" s="289">
        <f>B293</f>
        <v>241</v>
      </c>
      <c r="AW36" s="249" t="s">
        <v>309</v>
      </c>
      <c r="BA36" s="95" t="s">
        <v>315</v>
      </c>
      <c r="BB36" s="289">
        <f>B293</f>
        <v>241</v>
      </c>
      <c r="BC36" s="249" t="s">
        <v>309</v>
      </c>
      <c r="BD36" s="95" t="s">
        <v>315</v>
      </c>
      <c r="BE36" s="289">
        <f>B293</f>
        <v>241</v>
      </c>
      <c r="BJ36" s="95" t="s">
        <v>315</v>
      </c>
      <c r="BK36" s="289">
        <f>B293</f>
        <v>241</v>
      </c>
      <c r="BL36" s="249" t="s">
        <v>309</v>
      </c>
      <c r="BM36" s="95" t="s">
        <v>315</v>
      </c>
      <c r="BN36" s="289">
        <f>B293</f>
        <v>241</v>
      </c>
      <c r="BO36" s="249" t="s">
        <v>309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x14ac:dyDescent="0.2">
      <c r="A37" s="262" t="s">
        <v>278</v>
      </c>
      <c r="B37" s="315">
        <v>4.2E-7</v>
      </c>
      <c r="C37" s="263" t="s">
        <v>298</v>
      </c>
      <c r="D37" s="262" t="s">
        <v>80</v>
      </c>
      <c r="E37" s="300">
        <f>(E32/(E34*E33*E35*E36))*E7*E38*E39</f>
        <v>3.6090719138817843E-8</v>
      </c>
      <c r="F37" s="263" t="s">
        <v>311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M37" s="267" t="s">
        <v>310</v>
      </c>
      <c r="N37" s="289">
        <f>B294</f>
        <v>2.8000000000000002E-12</v>
      </c>
      <c r="P37" s="267" t="s">
        <v>310</v>
      </c>
      <c r="Q37" s="289">
        <f>B294</f>
        <v>2.8000000000000002E-12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AI37" s="267" t="s">
        <v>310</v>
      </c>
      <c r="AJ37" s="289">
        <f>B294</f>
        <v>2.8000000000000002E-12</v>
      </c>
      <c r="AL37" s="267" t="s">
        <v>310</v>
      </c>
      <c r="AM37" s="289">
        <f>B294</f>
        <v>2.8000000000000002E-12</v>
      </c>
      <c r="AR37" s="267" t="s">
        <v>310</v>
      </c>
      <c r="AS37" s="289">
        <f>B294</f>
        <v>2.8000000000000002E-12</v>
      </c>
      <c r="AU37" s="267" t="s">
        <v>310</v>
      </c>
      <c r="AV37" s="289">
        <f>B294</f>
        <v>2.8000000000000002E-12</v>
      </c>
      <c r="BA37" s="267" t="s">
        <v>310</v>
      </c>
      <c r="BB37" s="289">
        <f>B294</f>
        <v>2.8000000000000002E-12</v>
      </c>
      <c r="BD37" s="267" t="s">
        <v>310</v>
      </c>
      <c r="BE37" s="289">
        <f>B294</f>
        <v>2.8000000000000002E-12</v>
      </c>
      <c r="BJ37" s="267" t="s">
        <v>310</v>
      </c>
      <c r="BK37" s="289">
        <f>B294</f>
        <v>2.8000000000000002E-12</v>
      </c>
      <c r="BM37" s="267" t="s">
        <v>310</v>
      </c>
      <c r="BN37" s="289">
        <f>B294</f>
        <v>2.8000000000000002E-12</v>
      </c>
      <c r="BY37" s="95" t="s">
        <v>315</v>
      </c>
      <c r="BZ37" s="297">
        <f>B293</f>
        <v>241</v>
      </c>
      <c r="CA37" s="249" t="s">
        <v>309</v>
      </c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5.0000000000000001E-4</v>
      </c>
      <c r="C38" s="263" t="s">
        <v>298</v>
      </c>
      <c r="D38" s="95" t="s">
        <v>315</v>
      </c>
      <c r="E38" s="289">
        <f>B293</f>
        <v>241</v>
      </c>
      <c r="F38" s="249" t="s">
        <v>309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((W27)/((W33/W34)*W30*W31*W32*W35))*W29*W42*W43</f>
        <v>2.4524705146566112E-12</v>
      </c>
      <c r="X38" s="88" t="s">
        <v>15</v>
      </c>
      <c r="Y38" s="88" t="s">
        <v>74</v>
      </c>
      <c r="Z38" s="294">
        <f>((Z27*Z31*Z28)/((1-EXP(-Z28))*Z31*Z32*Z30*Z44*(Z33/Z34)*Z35))*Z29*Z46*Z47</f>
        <v>2.4544372155510955E-12</v>
      </c>
      <c r="AA38" s="88" t="s">
        <v>16</v>
      </c>
      <c r="AB38" s="95" t="s">
        <v>315</v>
      </c>
      <c r="AC38" s="297">
        <f>B293</f>
        <v>241</v>
      </c>
      <c r="AD38" s="297">
        <f>B293</f>
        <v>241</v>
      </c>
      <c r="AE38" s="297">
        <f>B293</f>
        <v>241</v>
      </c>
      <c r="AF38" s="297">
        <f>B293</f>
        <v>241</v>
      </c>
      <c r="AG38" s="297">
        <f>B293</f>
        <v>241</v>
      </c>
      <c r="AH38" s="249" t="s">
        <v>309</v>
      </c>
      <c r="AL38" s="262"/>
      <c r="AM38" s="293"/>
      <c r="AN38" s="262"/>
      <c r="BD38" s="262"/>
      <c r="BE38" s="293"/>
      <c r="BF38" s="262"/>
      <c r="BY38" s="267" t="s">
        <v>310</v>
      </c>
      <c r="BZ38" s="289">
        <f>B294</f>
        <v>2.8000000000000002E-12</v>
      </c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x14ac:dyDescent="0.2">
      <c r="A39" s="262" t="s">
        <v>276</v>
      </c>
      <c r="B39" s="315">
        <v>6.0000000000000001E-3</v>
      </c>
      <c r="C39" s="263" t="s">
        <v>298</v>
      </c>
      <c r="D39" s="267" t="s">
        <v>310</v>
      </c>
      <c r="E39" s="289">
        <f>B294</f>
        <v>2.8000000000000002E-12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((W27)/((W33/W34)*W30*W31*W36*(1/365)))*W29*W42*W43</f>
        <v>3.2018365990659712E-5</v>
      </c>
      <c r="X39" s="88" t="s">
        <v>15</v>
      </c>
      <c r="Y39" s="88" t="s">
        <v>78</v>
      </c>
      <c r="Z39" s="296">
        <f>((Z27*Z31*Z28)/((1-EXP(-Z28*Z31))*Z36*Z30*Z44*(Z33/Z34)*Z37*(Z44/Z45)))*Z29*Z46*Z47</f>
        <v>6.4293770110519819E-6</v>
      </c>
      <c r="AA39" s="88" t="s">
        <v>16</v>
      </c>
      <c r="AB39" s="267" t="s">
        <v>310</v>
      </c>
      <c r="AC39" s="289">
        <f>B294</f>
        <v>2.8000000000000002E-12</v>
      </c>
      <c r="AD39" s="289">
        <f>B294</f>
        <v>2.8000000000000002E-12</v>
      </c>
      <c r="AE39" s="289">
        <f>B294</f>
        <v>2.8000000000000002E-12</v>
      </c>
      <c r="AF39" s="289">
        <f>B294</f>
        <v>2.8000000000000002E-12</v>
      </c>
      <c r="AG39" s="289">
        <f>B294</f>
        <v>2.8000000000000002E-12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3.0000000000000001E-3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((W27*W28*W31)/((W33/W34)*(1-EXP(-W28*W31))*W32*W35*W30*W31))*W29*W42*W43</f>
        <v>2.4623145278269011E-12</v>
      </c>
      <c r="X40" s="88" t="s">
        <v>16</v>
      </c>
      <c r="Y40" s="88" t="s">
        <v>74</v>
      </c>
      <c r="Z40" s="294">
        <f>(Z27/((Z32*Z30*Z44*(Z33/Z34)*Z35)))*Z29*Z46*Z47</f>
        <v>2.4524705146566112E-12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1.7000000000000001E-4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((W27*W28*W31)/((W33/W34)*(1-EXP(-W28*W31))*W36*W30*W31*(1/365)))*W29*W42*W43</f>
        <v>3.2146885055259902E-5</v>
      </c>
      <c r="X41" s="88" t="s">
        <v>16</v>
      </c>
      <c r="Y41" s="88" t="s">
        <v>78</v>
      </c>
      <c r="Z41" s="296">
        <f>(Z27/(Z36*Z30*(1/Z45)*Z44*(Z33/Z34)*Z37))*Z29*Z46*Z47</f>
        <v>3.2018365990659712E-5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ht="13.9" customHeight="1" x14ac:dyDescent="0.2">
      <c r="A42" s="249" t="s">
        <v>265</v>
      </c>
      <c r="B42" s="315">
        <v>5.0000000000000002E-5</v>
      </c>
      <c r="C42" s="263" t="s">
        <v>298</v>
      </c>
      <c r="D42" s="203" t="s">
        <v>510</v>
      </c>
      <c r="E42" s="204">
        <f>E52</f>
        <v>1.5037799641174102E-10</v>
      </c>
      <c r="F42" s="184" t="s">
        <v>313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315</v>
      </c>
      <c r="W42" s="289">
        <f>B293</f>
        <v>241</v>
      </c>
      <c r="X42" s="249" t="s">
        <v>309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2.41E-4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3.15" customHeight="1" thickBot="1" x14ac:dyDescent="0.25">
      <c r="A43" s="262" t="s">
        <v>264</v>
      </c>
      <c r="B43" s="315">
        <v>6.0000000000000001E-3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V43" s="267" t="s">
        <v>310</v>
      </c>
      <c r="W43" s="289">
        <f>B295</f>
        <v>2.8000000000000001E-15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0.753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1.914E-5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2.41E-4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ht="12.75" customHeight="1" x14ac:dyDescent="0.2">
      <c r="A45" s="249" t="s">
        <v>38</v>
      </c>
      <c r="B45" s="315">
        <v>2.1999999999999999E-5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0.753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97">
        <v>4</v>
      </c>
      <c r="C46" s="249" t="s">
        <v>19</v>
      </c>
      <c r="D46" s="262" t="s">
        <v>438</v>
      </c>
      <c r="E46" s="287">
        <f>B30</f>
        <v>1.3357000000000001E-10</v>
      </c>
      <c r="F46" s="262" t="s">
        <v>289</v>
      </c>
      <c r="G46" s="249" t="s">
        <v>20</v>
      </c>
      <c r="H46" s="287">
        <f>H48</f>
        <v>1.914E-5</v>
      </c>
      <c r="I46" s="263"/>
      <c r="J46" s="269" t="s">
        <v>107</v>
      </c>
      <c r="K46" s="292">
        <f>K34</f>
        <v>20</v>
      </c>
      <c r="L46" s="269" t="s">
        <v>69</v>
      </c>
      <c r="Y46" s="95" t="s">
        <v>315</v>
      </c>
      <c r="Z46" s="289">
        <f>B293</f>
        <v>241</v>
      </c>
      <c r="AA46" s="249" t="s">
        <v>309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15</v>
      </c>
      <c r="C47" s="262" t="s">
        <v>14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Y47" s="267" t="s">
        <v>310</v>
      </c>
      <c r="Z47" s="289">
        <f>B295</f>
        <v>2.8000000000000001E-15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1.914E-5</v>
      </c>
      <c r="K48" s="289">
        <v>1000</v>
      </c>
      <c r="L48" s="249" t="s">
        <v>115</v>
      </c>
      <c r="CT48" s="95" t="s">
        <v>315</v>
      </c>
      <c r="CU48" s="289">
        <f>B293</f>
        <v>241</v>
      </c>
      <c r="CV48" s="249" t="s">
        <v>309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249" customFormat="1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N49" s="289"/>
      <c r="Q49" s="289"/>
      <c r="T49" s="289"/>
      <c r="W49" s="289"/>
      <c r="Z49" s="289"/>
      <c r="AC49" s="289"/>
      <c r="AD49" s="289"/>
      <c r="AE49" s="289"/>
      <c r="AF49" s="289"/>
      <c r="AG49" s="289"/>
      <c r="AJ49" s="289"/>
      <c r="AM49" s="289"/>
      <c r="AP49" s="289"/>
      <c r="AS49" s="289"/>
      <c r="AV49" s="289"/>
      <c r="AY49" s="289"/>
      <c r="BB49" s="289"/>
      <c r="BE49" s="289"/>
      <c r="BH49" s="289"/>
      <c r="BK49" s="289"/>
      <c r="BN49" s="289"/>
      <c r="BQ49" s="289"/>
      <c r="BT49" s="289"/>
      <c r="BW49" s="289"/>
      <c r="BY49" s="262"/>
      <c r="BZ49" s="293"/>
      <c r="CC49" s="289"/>
      <c r="CF49" s="289"/>
      <c r="CI49" s="289"/>
      <c r="CL49" s="289"/>
      <c r="CO49" s="289"/>
      <c r="CR49" s="289"/>
      <c r="CT49" s="267" t="s">
        <v>310</v>
      </c>
      <c r="CU49" s="289">
        <f>B294</f>
        <v>2.8000000000000002E-12</v>
      </c>
      <c r="CX49" s="289"/>
      <c r="DA49" s="292">
        <v>1000</v>
      </c>
      <c r="DB49" s="267" t="s">
        <v>115</v>
      </c>
      <c r="DD49" s="289"/>
      <c r="DG49" s="289"/>
      <c r="DJ49" s="289"/>
      <c r="DM49" s="289"/>
      <c r="DP49" s="289"/>
      <c r="DS49" s="289"/>
      <c r="DV49" s="289"/>
      <c r="DW49" s="264"/>
      <c r="DX49" s="264"/>
      <c r="DY49" s="328"/>
      <c r="DZ49" s="264"/>
    </row>
    <row r="50" spans="1:130" s="249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240</v>
      </c>
      <c r="F50" s="263" t="s">
        <v>19</v>
      </c>
      <c r="G50" s="249" t="s">
        <v>18</v>
      </c>
      <c r="H50" s="288">
        <f>(H53*H54*H48*((1-EXP(-H55*H56))))/(H57*H55)</f>
        <v>6.6877504027585484E-4</v>
      </c>
      <c r="I50" s="249" t="s">
        <v>19</v>
      </c>
      <c r="J50" s="249" t="s">
        <v>20</v>
      </c>
      <c r="K50" s="287">
        <f>K52</f>
        <v>1.914E-5</v>
      </c>
      <c r="N50" s="289"/>
      <c r="Q50" s="289"/>
      <c r="T50" s="289"/>
      <c r="W50" s="289"/>
      <c r="Z50" s="289"/>
      <c r="AC50" s="289"/>
      <c r="AD50" s="289"/>
      <c r="AE50" s="289"/>
      <c r="AF50" s="289"/>
      <c r="AG50" s="289"/>
      <c r="AJ50" s="289"/>
      <c r="AM50" s="289"/>
      <c r="AP50" s="289"/>
      <c r="AS50" s="289"/>
      <c r="AV50" s="289"/>
      <c r="AY50" s="289"/>
      <c r="BB50" s="289"/>
      <c r="BE50" s="289"/>
      <c r="BH50" s="289"/>
      <c r="BK50" s="289"/>
      <c r="BN50" s="289"/>
      <c r="BQ50" s="289"/>
      <c r="BT50" s="289"/>
      <c r="BW50" s="289"/>
      <c r="BY50" s="263"/>
      <c r="BZ50" s="307"/>
      <c r="CC50" s="289"/>
      <c r="CF50" s="289"/>
      <c r="CI50" s="289"/>
      <c r="CL50" s="289"/>
      <c r="CO50" s="289"/>
      <c r="CR50" s="289"/>
      <c r="CT50" s="263"/>
      <c r="CU50" s="307"/>
      <c r="CX50" s="289"/>
      <c r="CZ50" s="95" t="s">
        <v>315</v>
      </c>
      <c r="DA50" s="289">
        <f>B293</f>
        <v>241</v>
      </c>
      <c r="DB50" s="249" t="s">
        <v>309</v>
      </c>
      <c r="DD50" s="289"/>
      <c r="DG50" s="289"/>
      <c r="DJ50" s="289"/>
      <c r="DM50" s="289"/>
      <c r="DP50" s="289"/>
      <c r="DS50" s="289"/>
      <c r="DV50" s="289"/>
      <c r="DW50" s="264"/>
      <c r="DX50" s="264"/>
      <c r="DY50" s="328"/>
      <c r="DZ50" s="264"/>
    </row>
    <row r="51" spans="1:130" s="249" customFormat="1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9.0847184154504852</v>
      </c>
      <c r="I51" s="249" t="s">
        <v>19</v>
      </c>
      <c r="J51" s="262" t="s">
        <v>28</v>
      </c>
      <c r="K51" s="293">
        <f>K53</f>
        <v>0.26</v>
      </c>
      <c r="N51" s="289"/>
      <c r="Q51" s="289"/>
      <c r="T51" s="289"/>
      <c r="W51" s="289"/>
      <c r="Z51" s="289"/>
      <c r="AC51" s="289"/>
      <c r="AD51" s="289"/>
      <c r="AE51" s="289"/>
      <c r="AF51" s="289"/>
      <c r="AG51" s="289"/>
      <c r="AJ51" s="289"/>
      <c r="AM51" s="289"/>
      <c r="AP51" s="289"/>
      <c r="AS51" s="289"/>
      <c r="AV51" s="289"/>
      <c r="AY51" s="289"/>
      <c r="BB51" s="289"/>
      <c r="BE51" s="289"/>
      <c r="BH51" s="289"/>
      <c r="BK51" s="289"/>
      <c r="BN51" s="289"/>
      <c r="BQ51" s="289"/>
      <c r="BT51" s="289"/>
      <c r="BW51" s="287"/>
      <c r="BY51" s="262"/>
      <c r="BZ51" s="293"/>
      <c r="CC51" s="289"/>
      <c r="CF51" s="289"/>
      <c r="CI51" s="289"/>
      <c r="CL51" s="289"/>
      <c r="CO51" s="289"/>
      <c r="CR51" s="289"/>
      <c r="CT51" s="262"/>
      <c r="CU51" s="293"/>
      <c r="CX51" s="289"/>
      <c r="CZ51" s="267" t="s">
        <v>310</v>
      </c>
      <c r="DA51" s="289">
        <f>B294</f>
        <v>2.8000000000000002E-12</v>
      </c>
      <c r="DD51" s="289"/>
      <c r="DG51" s="289"/>
      <c r="DJ51" s="289"/>
      <c r="DM51" s="289"/>
      <c r="DP51" s="289"/>
      <c r="DS51" s="289"/>
      <c r="DV51" s="289"/>
      <c r="DW51" s="264"/>
      <c r="DX51" s="264"/>
      <c r="DY51" s="328"/>
      <c r="DZ51" s="264"/>
    </row>
    <row r="52" spans="1:130" s="249" customFormat="1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>
        <f>(E44/(E46*E45*E47*E48*E50*E51*(1/E49)))*E7*E53*E54</f>
        <v>1.5037799641174102E-10</v>
      </c>
      <c r="F52" s="249" t="s">
        <v>313</v>
      </c>
      <c r="G52" s="249" t="s">
        <v>36</v>
      </c>
      <c r="H52" s="288">
        <f>(H53*H54*H58*H64*((1-EXP(-H59*H60))))/(H61*H59)</f>
        <v>3.6421488784670224</v>
      </c>
      <c r="I52" s="249" t="s">
        <v>19</v>
      </c>
      <c r="J52" s="263" t="s">
        <v>37</v>
      </c>
      <c r="K52" s="290">
        <f>B44</f>
        <v>1.914E-5</v>
      </c>
      <c r="N52" s="289"/>
      <c r="Q52" s="289"/>
      <c r="T52" s="289"/>
      <c r="W52" s="289"/>
      <c r="Z52" s="289"/>
      <c r="AC52" s="289"/>
      <c r="AD52" s="289"/>
      <c r="AE52" s="289"/>
      <c r="AF52" s="289"/>
      <c r="AG52" s="289"/>
      <c r="AJ52" s="289"/>
      <c r="AM52" s="289"/>
      <c r="AP52" s="289"/>
      <c r="AS52" s="289"/>
      <c r="AV52" s="289"/>
      <c r="AY52" s="289"/>
      <c r="BB52" s="289"/>
      <c r="BE52" s="289"/>
      <c r="BH52" s="289"/>
      <c r="BK52" s="289"/>
      <c r="BN52" s="289"/>
      <c r="BQ52" s="289"/>
      <c r="BT52" s="289"/>
      <c r="BW52" s="287"/>
      <c r="BZ52" s="289"/>
      <c r="CC52" s="289"/>
      <c r="CF52" s="289"/>
      <c r="CI52" s="289"/>
      <c r="CL52" s="289"/>
      <c r="CO52" s="289"/>
      <c r="CR52" s="289"/>
      <c r="CU52" s="289"/>
      <c r="CX52" s="289"/>
      <c r="CZ52" s="267"/>
      <c r="DA52" s="289"/>
      <c r="DD52" s="289"/>
      <c r="DG52" s="289"/>
      <c r="DJ52" s="289"/>
      <c r="DM52" s="289"/>
      <c r="DP52" s="289"/>
      <c r="DS52" s="289"/>
      <c r="DV52" s="289"/>
      <c r="DW52" s="264"/>
      <c r="DX52" s="264"/>
      <c r="DY52" s="328"/>
      <c r="DZ52" s="264"/>
    </row>
    <row r="53" spans="1:130" s="249" customFormat="1" x14ac:dyDescent="0.2">
      <c r="A53" s="262" t="s">
        <v>320</v>
      </c>
      <c r="B53" s="283">
        <v>55</v>
      </c>
      <c r="C53" s="263" t="s">
        <v>54</v>
      </c>
      <c r="D53" s="95" t="s">
        <v>315</v>
      </c>
      <c r="E53" s="289">
        <f>B293</f>
        <v>241</v>
      </c>
      <c r="F53" s="249" t="s">
        <v>309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N53" s="289"/>
      <c r="Q53" s="289"/>
      <c r="T53" s="289"/>
      <c r="W53" s="289"/>
      <c r="Z53" s="289"/>
      <c r="AC53" s="289"/>
      <c r="AD53" s="289"/>
      <c r="AE53" s="289"/>
      <c r="AF53" s="289"/>
      <c r="AG53" s="289"/>
      <c r="AJ53" s="289"/>
      <c r="AM53" s="289"/>
      <c r="AP53" s="289"/>
      <c r="AS53" s="289"/>
      <c r="AV53" s="289"/>
      <c r="AY53" s="289"/>
      <c r="BB53" s="289"/>
      <c r="BE53" s="289"/>
      <c r="BH53" s="289"/>
      <c r="BK53" s="289"/>
      <c r="BN53" s="289"/>
      <c r="BQ53" s="289"/>
      <c r="BT53" s="289"/>
      <c r="BV53" s="262"/>
      <c r="BW53" s="289"/>
      <c r="BZ53" s="289"/>
      <c r="CC53" s="289"/>
      <c r="CF53" s="289"/>
      <c r="CI53" s="289"/>
      <c r="CL53" s="289"/>
      <c r="CO53" s="289"/>
      <c r="CR53" s="289"/>
      <c r="CU53" s="289"/>
      <c r="CX53" s="289"/>
      <c r="CZ53" s="267"/>
      <c r="DA53" s="289"/>
      <c r="DD53" s="289"/>
      <c r="DG53" s="289"/>
      <c r="DJ53" s="289"/>
      <c r="DM53" s="289"/>
      <c r="DP53" s="289"/>
      <c r="DS53" s="289"/>
      <c r="DV53" s="289"/>
      <c r="DY53" s="289"/>
    </row>
    <row r="54" spans="1:130" s="249" customFormat="1" x14ac:dyDescent="0.2">
      <c r="A54" s="262" t="s">
        <v>321</v>
      </c>
      <c r="B54" s="283">
        <v>55</v>
      </c>
      <c r="C54" s="263" t="s">
        <v>54</v>
      </c>
      <c r="D54" s="267" t="s">
        <v>310</v>
      </c>
      <c r="E54" s="289">
        <f>B295</f>
        <v>2.8000000000000001E-15</v>
      </c>
      <c r="G54" s="262" t="s">
        <v>46</v>
      </c>
      <c r="H54" s="287">
        <f>B86</f>
        <v>0.25</v>
      </c>
      <c r="I54" s="249" t="s">
        <v>47</v>
      </c>
      <c r="J54" s="267" t="s">
        <v>315</v>
      </c>
      <c r="K54" s="289">
        <f>B293</f>
        <v>241</v>
      </c>
      <c r="L54" s="249" t="s">
        <v>309</v>
      </c>
      <c r="N54" s="289"/>
      <c r="Q54" s="289"/>
      <c r="T54" s="289"/>
      <c r="W54" s="289"/>
      <c r="Z54" s="289"/>
      <c r="AC54" s="289"/>
      <c r="AD54" s="289"/>
      <c r="AE54" s="289"/>
      <c r="AF54" s="289"/>
      <c r="AG54" s="289"/>
      <c r="AJ54" s="289"/>
      <c r="AM54" s="289"/>
      <c r="AP54" s="289"/>
      <c r="AS54" s="289"/>
      <c r="AV54" s="289"/>
      <c r="AY54" s="289"/>
      <c r="BB54" s="289"/>
      <c r="BE54" s="289"/>
      <c r="BH54" s="289"/>
      <c r="BK54" s="289"/>
      <c r="BN54" s="289"/>
      <c r="BQ54" s="289"/>
      <c r="BT54" s="289"/>
      <c r="BV54" s="262"/>
      <c r="BW54" s="289"/>
      <c r="BZ54" s="289"/>
      <c r="CC54" s="289"/>
      <c r="CF54" s="289"/>
      <c r="CI54" s="289"/>
      <c r="CL54" s="289"/>
      <c r="CO54" s="289"/>
      <c r="CR54" s="289"/>
      <c r="CU54" s="289"/>
      <c r="CX54" s="289"/>
      <c r="CZ54" s="267"/>
      <c r="DA54" s="289"/>
      <c r="DD54" s="289"/>
      <c r="DG54" s="289"/>
      <c r="DJ54" s="289"/>
      <c r="DM54" s="289"/>
      <c r="DP54" s="289"/>
      <c r="DS54" s="289"/>
      <c r="DV54" s="289"/>
      <c r="DY54" s="289"/>
    </row>
    <row r="55" spans="1:130" s="249" customFormat="1" x14ac:dyDescent="0.2">
      <c r="A55" s="262" t="s">
        <v>322</v>
      </c>
      <c r="B55" s="283">
        <v>5</v>
      </c>
      <c r="C55" s="262" t="s">
        <v>30</v>
      </c>
      <c r="E55" s="289"/>
      <c r="G55" s="267" t="s">
        <v>55</v>
      </c>
      <c r="H55" s="303">
        <f>H62+H63</f>
        <v>3.1394977168949772E-5</v>
      </c>
      <c r="J55" s="267" t="s">
        <v>310</v>
      </c>
      <c r="K55" s="289">
        <f>B294</f>
        <v>2.8000000000000002E-12</v>
      </c>
      <c r="N55" s="289"/>
      <c r="Q55" s="289"/>
      <c r="T55" s="289"/>
      <c r="W55" s="289"/>
      <c r="Z55" s="289"/>
      <c r="AC55" s="289"/>
      <c r="AD55" s="289"/>
      <c r="AE55" s="289"/>
      <c r="AF55" s="289"/>
      <c r="AG55" s="289"/>
      <c r="AJ55" s="289"/>
      <c r="AM55" s="289"/>
      <c r="AP55" s="289"/>
      <c r="AS55" s="289"/>
      <c r="AV55" s="289"/>
      <c r="AY55" s="289"/>
      <c r="BB55" s="289"/>
      <c r="BE55" s="289"/>
      <c r="BH55" s="289"/>
      <c r="BK55" s="289"/>
      <c r="BN55" s="289"/>
      <c r="BQ55" s="289"/>
      <c r="BT55" s="289"/>
      <c r="BV55" s="267"/>
      <c r="BW55" s="289"/>
      <c r="BZ55" s="289"/>
      <c r="CC55" s="289"/>
      <c r="CF55" s="289"/>
      <c r="CI55" s="289"/>
      <c r="CL55" s="289"/>
      <c r="CO55" s="289"/>
      <c r="CR55" s="289"/>
      <c r="CU55" s="289"/>
      <c r="CX55" s="289"/>
      <c r="CZ55" s="267"/>
      <c r="DA55" s="289"/>
      <c r="DD55" s="289"/>
      <c r="DG55" s="289"/>
      <c r="DJ55" s="289"/>
      <c r="DM55" s="289"/>
      <c r="DP55" s="289"/>
      <c r="DS55" s="289"/>
      <c r="DV55" s="289"/>
      <c r="DY55" s="289"/>
    </row>
    <row r="56" spans="1:130" s="249" customFormat="1" x14ac:dyDescent="0.2">
      <c r="A56" s="262" t="s">
        <v>323</v>
      </c>
      <c r="B56" s="283">
        <v>5</v>
      </c>
      <c r="C56" s="262" t="s">
        <v>30</v>
      </c>
      <c r="E56" s="289"/>
      <c r="G56" s="267" t="s">
        <v>60</v>
      </c>
      <c r="H56" s="289">
        <f>B87</f>
        <v>10950</v>
      </c>
      <c r="I56" s="249" t="s">
        <v>61</v>
      </c>
      <c r="K56" s="289"/>
      <c r="N56" s="289"/>
      <c r="Q56" s="289"/>
      <c r="T56" s="289"/>
      <c r="W56" s="289"/>
      <c r="Z56" s="289"/>
      <c r="AC56" s="289"/>
      <c r="AD56" s="289"/>
      <c r="AE56" s="289"/>
      <c r="AF56" s="289"/>
      <c r="AG56" s="289"/>
      <c r="AJ56" s="289"/>
      <c r="AM56" s="289"/>
      <c r="AP56" s="289"/>
      <c r="AS56" s="289"/>
      <c r="AV56" s="289"/>
      <c r="AY56" s="289"/>
      <c r="BB56" s="289"/>
      <c r="BE56" s="289"/>
      <c r="BH56" s="289"/>
      <c r="BK56" s="289"/>
      <c r="BN56" s="289"/>
      <c r="BQ56" s="289"/>
      <c r="BT56" s="289"/>
      <c r="BV56" s="267"/>
      <c r="BW56" s="289"/>
      <c r="BZ56" s="289"/>
      <c r="CC56" s="289"/>
      <c r="CF56" s="289"/>
      <c r="CI56" s="289"/>
      <c r="CL56" s="289"/>
      <c r="CO56" s="289"/>
      <c r="CR56" s="289"/>
      <c r="CU56" s="289"/>
      <c r="CX56" s="289"/>
      <c r="CZ56" s="267"/>
      <c r="DA56" s="289"/>
      <c r="DD56" s="289"/>
      <c r="DG56" s="289"/>
      <c r="DJ56" s="289"/>
      <c r="DM56" s="289"/>
      <c r="DP56" s="289"/>
      <c r="DS56" s="289"/>
      <c r="DV56" s="289"/>
      <c r="DY56" s="289"/>
    </row>
    <row r="57" spans="1:130" s="249" customFormat="1" x14ac:dyDescent="0.2">
      <c r="A57" s="262" t="s">
        <v>337</v>
      </c>
      <c r="B57" s="283">
        <v>55</v>
      </c>
      <c r="C57" s="249" t="s">
        <v>54</v>
      </c>
      <c r="E57" s="289"/>
      <c r="G57" s="267" t="s">
        <v>65</v>
      </c>
      <c r="H57" s="289">
        <f>B88</f>
        <v>240</v>
      </c>
      <c r="I57" s="249" t="s">
        <v>66</v>
      </c>
      <c r="K57" s="289"/>
      <c r="N57" s="289"/>
      <c r="Q57" s="289"/>
      <c r="T57" s="289"/>
      <c r="W57" s="289"/>
      <c r="Z57" s="289"/>
      <c r="AC57" s="289"/>
      <c r="AD57" s="289"/>
      <c r="AE57" s="289"/>
      <c r="AF57" s="289"/>
      <c r="AG57" s="289"/>
      <c r="AJ57" s="289"/>
      <c r="AM57" s="289"/>
      <c r="AP57" s="289"/>
      <c r="AS57" s="289"/>
      <c r="AV57" s="289"/>
      <c r="AY57" s="289"/>
      <c r="BB57" s="289"/>
      <c r="BE57" s="289"/>
      <c r="BH57" s="289"/>
      <c r="BK57" s="289"/>
      <c r="BN57" s="289"/>
      <c r="BQ57" s="289"/>
      <c r="BT57" s="289"/>
      <c r="BV57" s="267"/>
      <c r="BW57" s="289"/>
      <c r="BZ57" s="289"/>
      <c r="CC57" s="289"/>
      <c r="CF57" s="289"/>
      <c r="CI57" s="289"/>
      <c r="CL57" s="289"/>
      <c r="CO57" s="289"/>
      <c r="CR57" s="289"/>
      <c r="CU57" s="289"/>
      <c r="CX57" s="289"/>
      <c r="CZ57" s="267"/>
      <c r="DA57" s="293"/>
      <c r="DB57" s="262"/>
      <c r="DD57" s="289"/>
      <c r="DG57" s="289"/>
      <c r="DJ57" s="289"/>
      <c r="DM57" s="289"/>
      <c r="DP57" s="289"/>
      <c r="DS57" s="289"/>
      <c r="DV57" s="289"/>
      <c r="DY57" s="289"/>
    </row>
    <row r="58" spans="1:130" s="249" customFormat="1" x14ac:dyDescent="0.2">
      <c r="A58" s="249" t="s">
        <v>357</v>
      </c>
      <c r="B58" s="283">
        <v>55</v>
      </c>
      <c r="C58" s="249" t="s">
        <v>54</v>
      </c>
      <c r="E58" s="289"/>
      <c r="G58" s="267" t="s">
        <v>76</v>
      </c>
      <c r="H58" s="289">
        <f>B89</f>
        <v>0.42</v>
      </c>
      <c r="I58" s="249" t="s">
        <v>47</v>
      </c>
      <c r="K58" s="289"/>
      <c r="N58" s="289"/>
      <c r="Q58" s="289"/>
      <c r="T58" s="289"/>
      <c r="W58" s="289"/>
      <c r="Z58" s="289"/>
      <c r="AC58" s="289"/>
      <c r="AD58" s="289"/>
      <c r="AE58" s="289"/>
      <c r="AF58" s="289"/>
      <c r="AG58" s="289"/>
      <c r="AJ58" s="289"/>
      <c r="AM58" s="289"/>
      <c r="AP58" s="289"/>
      <c r="AS58" s="289"/>
      <c r="AV58" s="289"/>
      <c r="AY58" s="289"/>
      <c r="BB58" s="289"/>
      <c r="BE58" s="289"/>
      <c r="BH58" s="289"/>
      <c r="BK58" s="289"/>
      <c r="BN58" s="289"/>
      <c r="BQ58" s="289"/>
      <c r="BT58" s="289"/>
      <c r="BV58" s="267"/>
      <c r="BW58" s="289"/>
      <c r="BZ58" s="289"/>
      <c r="CC58" s="289"/>
      <c r="CF58" s="289"/>
      <c r="CI58" s="289"/>
      <c r="CL58" s="289"/>
      <c r="CO58" s="289"/>
      <c r="CR58" s="289"/>
      <c r="CU58" s="289"/>
      <c r="CX58" s="289"/>
      <c r="CZ58" s="267"/>
      <c r="DA58" s="293"/>
      <c r="DB58" s="262"/>
      <c r="DD58" s="289"/>
      <c r="DG58" s="289"/>
      <c r="DJ58" s="289"/>
      <c r="DM58" s="289"/>
      <c r="DP58" s="289"/>
      <c r="DS58" s="289"/>
      <c r="DV58" s="289"/>
      <c r="DY58" s="289"/>
    </row>
    <row r="59" spans="1:130" s="249" customFormat="1" x14ac:dyDescent="0.2">
      <c r="A59" s="249" t="s">
        <v>336</v>
      </c>
      <c r="B59" s="283">
        <v>55</v>
      </c>
      <c r="C59" s="249" t="s">
        <v>54</v>
      </c>
      <c r="E59" s="289"/>
      <c r="G59" s="267" t="s">
        <v>81</v>
      </c>
      <c r="H59" s="299">
        <f>H63+(0.693/H65)</f>
        <v>4.9504394977168943E-2</v>
      </c>
      <c r="I59" s="262" t="s">
        <v>82</v>
      </c>
      <c r="K59" s="289"/>
      <c r="N59" s="289"/>
      <c r="Q59" s="289"/>
      <c r="T59" s="289"/>
      <c r="W59" s="289"/>
      <c r="Z59" s="289"/>
      <c r="AC59" s="289"/>
      <c r="AD59" s="289"/>
      <c r="AE59" s="289"/>
      <c r="AF59" s="289"/>
      <c r="AG59" s="289"/>
      <c r="AJ59" s="289"/>
      <c r="AM59" s="289"/>
      <c r="AP59" s="289"/>
      <c r="AS59" s="289"/>
      <c r="AV59" s="289"/>
      <c r="AY59" s="289"/>
      <c r="BB59" s="289"/>
      <c r="BE59" s="289"/>
      <c r="BH59" s="289"/>
      <c r="BK59" s="289"/>
      <c r="BN59" s="289"/>
      <c r="BQ59" s="289"/>
      <c r="BT59" s="289"/>
      <c r="BV59" s="267"/>
      <c r="BW59" s="289"/>
      <c r="BZ59" s="289"/>
      <c r="CC59" s="289"/>
      <c r="CF59" s="289"/>
      <c r="CI59" s="289"/>
      <c r="CL59" s="289"/>
      <c r="CO59" s="289"/>
      <c r="CR59" s="289"/>
      <c r="CU59" s="289"/>
      <c r="CX59" s="289"/>
      <c r="CZ59" s="267"/>
      <c r="DA59" s="293"/>
      <c r="DB59" s="262"/>
      <c r="DD59" s="289"/>
      <c r="DG59" s="289"/>
      <c r="DJ59" s="289"/>
      <c r="DM59" s="289"/>
      <c r="DP59" s="289"/>
      <c r="DS59" s="289"/>
      <c r="DV59" s="289"/>
      <c r="DY59" s="289"/>
    </row>
    <row r="60" spans="1:130" s="249" customFormat="1" x14ac:dyDescent="0.2">
      <c r="A60" s="262" t="s">
        <v>332</v>
      </c>
      <c r="B60" s="283">
        <v>55</v>
      </c>
      <c r="C60" s="267" t="s">
        <v>254</v>
      </c>
      <c r="E60" s="289"/>
      <c r="G60" s="267" t="s">
        <v>85</v>
      </c>
      <c r="H60" s="293">
        <f>B90</f>
        <v>60</v>
      </c>
      <c r="I60" s="262" t="s">
        <v>61</v>
      </c>
      <c r="K60" s="289"/>
      <c r="N60" s="289"/>
      <c r="Q60" s="289"/>
      <c r="T60" s="289"/>
      <c r="W60" s="289"/>
      <c r="Z60" s="289"/>
      <c r="AC60" s="289"/>
      <c r="AD60" s="289"/>
      <c r="AE60" s="289"/>
      <c r="AF60" s="289"/>
      <c r="AG60" s="289"/>
      <c r="AJ60" s="289"/>
      <c r="AM60" s="289"/>
      <c r="AP60" s="289"/>
      <c r="AS60" s="289"/>
      <c r="AV60" s="289"/>
      <c r="AY60" s="289"/>
      <c r="BB60" s="289"/>
      <c r="BE60" s="289"/>
      <c r="BH60" s="289"/>
      <c r="BK60" s="289"/>
      <c r="BN60" s="289"/>
      <c r="BQ60" s="289"/>
      <c r="BT60" s="289"/>
      <c r="BV60" s="267"/>
      <c r="BW60" s="289"/>
      <c r="BZ60" s="289"/>
      <c r="CC60" s="289"/>
      <c r="CF60" s="289"/>
      <c r="CI60" s="289"/>
      <c r="CL60" s="289"/>
      <c r="CO60" s="289"/>
      <c r="CR60" s="289"/>
      <c r="CU60" s="289"/>
      <c r="CX60" s="289"/>
      <c r="CZ60" s="267"/>
      <c r="DA60" s="289"/>
      <c r="DD60" s="289"/>
      <c r="DG60" s="289"/>
      <c r="DJ60" s="289"/>
      <c r="DM60" s="289"/>
      <c r="DP60" s="289"/>
      <c r="DS60" s="289"/>
      <c r="DV60" s="289"/>
      <c r="DY60" s="289"/>
    </row>
    <row r="61" spans="1:130" s="249" customFormat="1" x14ac:dyDescent="0.2">
      <c r="A61" s="262" t="s">
        <v>333</v>
      </c>
      <c r="B61" s="283">
        <v>55</v>
      </c>
      <c r="C61" s="267" t="s">
        <v>254</v>
      </c>
      <c r="E61" s="289"/>
      <c r="G61" s="267" t="s">
        <v>87</v>
      </c>
      <c r="H61" s="293">
        <f>B91</f>
        <v>2</v>
      </c>
      <c r="I61" s="262" t="s">
        <v>66</v>
      </c>
      <c r="K61" s="289"/>
      <c r="N61" s="289"/>
      <c r="Q61" s="289"/>
      <c r="T61" s="289"/>
      <c r="W61" s="289"/>
      <c r="Z61" s="289"/>
      <c r="AC61" s="289"/>
      <c r="AD61" s="289"/>
      <c r="AE61" s="289"/>
      <c r="AF61" s="289"/>
      <c r="AG61" s="289"/>
      <c r="AJ61" s="289"/>
      <c r="AM61" s="289"/>
      <c r="AP61" s="289"/>
      <c r="AS61" s="289"/>
      <c r="AV61" s="289"/>
      <c r="AY61" s="289"/>
      <c r="BB61" s="289"/>
      <c r="BE61" s="289"/>
      <c r="BH61" s="289"/>
      <c r="BK61" s="289"/>
      <c r="BN61" s="289"/>
      <c r="BQ61" s="289"/>
      <c r="BT61" s="289"/>
      <c r="BV61" s="267"/>
      <c r="BW61" s="293"/>
      <c r="BX61" s="262"/>
      <c r="BZ61" s="289"/>
      <c r="CC61" s="289"/>
      <c r="CF61" s="289"/>
      <c r="CI61" s="289"/>
      <c r="CL61" s="289"/>
      <c r="CO61" s="289"/>
      <c r="CR61" s="289"/>
      <c r="CU61" s="289"/>
      <c r="CX61" s="289"/>
      <c r="CZ61" s="267"/>
      <c r="DA61" s="287"/>
      <c r="DD61" s="289"/>
      <c r="DG61" s="289"/>
      <c r="DJ61" s="289"/>
      <c r="DM61" s="289"/>
      <c r="DP61" s="289"/>
      <c r="DS61" s="289"/>
      <c r="DV61" s="289"/>
      <c r="DY61" s="289"/>
    </row>
    <row r="62" spans="1:130" s="249" customFormat="1" x14ac:dyDescent="0.2">
      <c r="A62" s="262" t="s">
        <v>334</v>
      </c>
      <c r="B62" s="283">
        <v>55</v>
      </c>
      <c r="C62" s="267" t="s">
        <v>254</v>
      </c>
      <c r="E62" s="289"/>
      <c r="G62" s="267" t="s">
        <v>89</v>
      </c>
      <c r="H62" s="289">
        <f>B92</f>
        <v>2.6999999999999999E-5</v>
      </c>
      <c r="I62" s="249" t="s">
        <v>82</v>
      </c>
      <c r="K62" s="289"/>
      <c r="N62" s="289"/>
      <c r="Q62" s="289"/>
      <c r="T62" s="289"/>
      <c r="W62" s="289"/>
      <c r="Z62" s="289"/>
      <c r="AC62" s="289"/>
      <c r="AD62" s="289"/>
      <c r="AE62" s="289"/>
      <c r="AF62" s="289"/>
      <c r="AG62" s="289"/>
      <c r="AJ62" s="289"/>
      <c r="AM62" s="289"/>
      <c r="AP62" s="289"/>
      <c r="AS62" s="289"/>
      <c r="AV62" s="289"/>
      <c r="AY62" s="289"/>
      <c r="BB62" s="289"/>
      <c r="BE62" s="289"/>
      <c r="BH62" s="289"/>
      <c r="BK62" s="289"/>
      <c r="BN62" s="289"/>
      <c r="BQ62" s="289"/>
      <c r="BT62" s="289"/>
      <c r="BV62" s="267"/>
      <c r="BW62" s="293"/>
      <c r="BX62" s="262"/>
      <c r="BZ62" s="289"/>
      <c r="CC62" s="289"/>
      <c r="CF62" s="289"/>
      <c r="CI62" s="289"/>
      <c r="CL62" s="289"/>
      <c r="CO62" s="289"/>
      <c r="CR62" s="289"/>
      <c r="CU62" s="289"/>
      <c r="CX62" s="289"/>
      <c r="CZ62" s="267"/>
      <c r="DA62" s="289"/>
      <c r="DD62" s="289"/>
      <c r="DG62" s="289"/>
      <c r="DJ62" s="289"/>
      <c r="DM62" s="289"/>
      <c r="DP62" s="289"/>
      <c r="DS62" s="289"/>
      <c r="DV62" s="289"/>
      <c r="DY62" s="289"/>
    </row>
    <row r="63" spans="1:130" s="249" customFormat="1" x14ac:dyDescent="0.2">
      <c r="A63" s="262" t="s">
        <v>335</v>
      </c>
      <c r="B63" s="283">
        <v>55</v>
      </c>
      <c r="C63" s="267" t="s">
        <v>254</v>
      </c>
      <c r="E63" s="289"/>
      <c r="G63" s="267" t="s">
        <v>90</v>
      </c>
      <c r="H63" s="288">
        <f>0.693/H67</f>
        <v>4.3949771689497717E-6</v>
      </c>
      <c r="I63" s="249" t="s">
        <v>82</v>
      </c>
      <c r="K63" s="289"/>
      <c r="N63" s="289"/>
      <c r="Q63" s="289"/>
      <c r="T63" s="289"/>
      <c r="W63" s="289"/>
      <c r="Z63" s="289"/>
      <c r="AC63" s="289"/>
      <c r="AD63" s="289"/>
      <c r="AE63" s="289"/>
      <c r="AF63" s="289"/>
      <c r="AG63" s="289"/>
      <c r="AJ63" s="289"/>
      <c r="AM63" s="289"/>
      <c r="AP63" s="289"/>
      <c r="AS63" s="289"/>
      <c r="AV63" s="289"/>
      <c r="AY63" s="289"/>
      <c r="BB63" s="289"/>
      <c r="BE63" s="289"/>
      <c r="BH63" s="289"/>
      <c r="BK63" s="289"/>
      <c r="BN63" s="289"/>
      <c r="BQ63" s="289"/>
      <c r="BT63" s="289"/>
      <c r="BV63" s="267"/>
      <c r="BW63" s="293"/>
      <c r="BX63" s="262"/>
      <c r="BZ63" s="289"/>
      <c r="CC63" s="289"/>
      <c r="CF63" s="289"/>
      <c r="CI63" s="289"/>
      <c r="CL63" s="289"/>
      <c r="CO63" s="289"/>
      <c r="CR63" s="289"/>
      <c r="CU63" s="289"/>
      <c r="CX63" s="289"/>
      <c r="CZ63" s="267"/>
      <c r="DA63" s="289"/>
      <c r="DD63" s="289"/>
      <c r="DG63" s="289"/>
      <c r="DJ63" s="289"/>
      <c r="DM63" s="289"/>
      <c r="DP63" s="289"/>
      <c r="DS63" s="289"/>
      <c r="DV63" s="289"/>
      <c r="DY63" s="289"/>
    </row>
    <row r="64" spans="1:130" s="249" customFormat="1" x14ac:dyDescent="0.2">
      <c r="A64" s="262" t="s">
        <v>343</v>
      </c>
      <c r="B64" s="283">
        <v>5</v>
      </c>
      <c r="C64" s="264" t="s">
        <v>69</v>
      </c>
      <c r="E64" s="289"/>
      <c r="G64" s="267" t="s">
        <v>91</v>
      </c>
      <c r="H64" s="289">
        <f>B93</f>
        <v>1</v>
      </c>
      <c r="I64" s="249" t="s">
        <v>47</v>
      </c>
      <c r="K64" s="289"/>
      <c r="N64" s="289"/>
      <c r="Q64" s="289"/>
      <c r="T64" s="289"/>
      <c r="W64" s="289"/>
      <c r="Z64" s="289"/>
      <c r="AC64" s="289"/>
      <c r="AD64" s="289"/>
      <c r="AE64" s="289"/>
      <c r="AF64" s="289"/>
      <c r="AG64" s="289"/>
      <c r="AI64" s="275"/>
      <c r="AJ64" s="353"/>
      <c r="AK64" s="275"/>
      <c r="AM64" s="289"/>
      <c r="AP64" s="289"/>
      <c r="AS64" s="289"/>
      <c r="AV64" s="289"/>
      <c r="AY64" s="289"/>
      <c r="BB64" s="289"/>
      <c r="BE64" s="289"/>
      <c r="BH64" s="289"/>
      <c r="BK64" s="289"/>
      <c r="BN64" s="289"/>
      <c r="BQ64" s="289"/>
      <c r="BT64" s="289"/>
      <c r="BV64" s="267"/>
      <c r="BW64" s="289"/>
      <c r="BZ64" s="289"/>
      <c r="CC64" s="289"/>
      <c r="CF64" s="289"/>
      <c r="CI64" s="289"/>
      <c r="CL64" s="289"/>
      <c r="CO64" s="289"/>
      <c r="CR64" s="289"/>
      <c r="CU64" s="289"/>
      <c r="CX64" s="289"/>
      <c r="DA64" s="289"/>
      <c r="DD64" s="289"/>
      <c r="DG64" s="289"/>
      <c r="DJ64" s="289"/>
      <c r="DM64" s="289"/>
      <c r="DP64" s="289"/>
      <c r="DS64" s="289"/>
      <c r="DV64" s="289"/>
      <c r="DY64" s="289"/>
    </row>
    <row r="65" spans="1:105" s="249" customFormat="1" x14ac:dyDescent="0.2">
      <c r="A65" s="262" t="s">
        <v>342</v>
      </c>
      <c r="B65" s="283">
        <v>15</v>
      </c>
      <c r="C65" s="264" t="s">
        <v>69</v>
      </c>
      <c r="E65" s="289"/>
      <c r="G65" s="267" t="s">
        <v>92</v>
      </c>
      <c r="H65" s="289">
        <f>B94</f>
        <v>14</v>
      </c>
      <c r="I65" s="249" t="s">
        <v>93</v>
      </c>
      <c r="K65" s="289"/>
      <c r="N65" s="289"/>
      <c r="Q65" s="289"/>
      <c r="T65" s="289"/>
      <c r="W65" s="289"/>
      <c r="Z65" s="289"/>
      <c r="AC65" s="289"/>
      <c r="AD65" s="289"/>
      <c r="AE65" s="289"/>
      <c r="AF65" s="289"/>
      <c r="AG65" s="289"/>
      <c r="AI65" s="275"/>
      <c r="AJ65" s="353"/>
      <c r="AK65" s="275"/>
      <c r="AM65" s="289"/>
      <c r="AP65" s="289"/>
      <c r="AS65" s="289"/>
      <c r="AV65" s="289"/>
      <c r="AY65" s="289"/>
      <c r="BB65" s="289"/>
      <c r="BE65" s="289"/>
      <c r="BH65" s="289"/>
      <c r="BK65" s="289"/>
      <c r="BN65" s="289"/>
      <c r="BQ65" s="289"/>
      <c r="BT65" s="289"/>
      <c r="BV65" s="267"/>
      <c r="BW65" s="289"/>
      <c r="BZ65" s="289"/>
      <c r="CC65" s="289"/>
      <c r="CF65" s="289"/>
      <c r="CI65" s="289"/>
      <c r="CL65" s="289"/>
      <c r="CO65" s="289"/>
      <c r="CR65" s="289"/>
      <c r="CU65" s="289"/>
      <c r="CX65" s="289"/>
      <c r="DA65" s="289"/>
    </row>
    <row r="66" spans="1:105" s="249" customFormat="1" x14ac:dyDescent="0.2">
      <c r="A66" s="262" t="s">
        <v>341</v>
      </c>
      <c r="B66" s="283">
        <v>20</v>
      </c>
      <c r="C66" s="264" t="s">
        <v>69</v>
      </c>
      <c r="E66" s="289"/>
      <c r="G66" s="249" t="s">
        <v>38</v>
      </c>
      <c r="H66" s="287">
        <f>B45</f>
        <v>2.1999999999999999E-5</v>
      </c>
      <c r="K66" s="289"/>
      <c r="N66" s="289"/>
      <c r="Q66" s="289"/>
      <c r="T66" s="289"/>
      <c r="W66" s="289"/>
      <c r="Z66" s="289"/>
      <c r="AC66" s="289"/>
      <c r="AD66" s="289"/>
      <c r="AE66" s="289"/>
      <c r="AF66" s="289"/>
      <c r="AG66" s="289"/>
      <c r="AI66" s="275"/>
      <c r="AJ66" s="353"/>
      <c r="AK66" s="275"/>
      <c r="AM66" s="289"/>
      <c r="AP66" s="289"/>
      <c r="AS66" s="289"/>
      <c r="AV66" s="289"/>
      <c r="AY66" s="289"/>
      <c r="BB66" s="289"/>
      <c r="BE66" s="289"/>
      <c r="BH66" s="289"/>
      <c r="BK66" s="289"/>
      <c r="BN66" s="289"/>
      <c r="BQ66" s="289"/>
      <c r="BT66" s="289"/>
      <c r="BV66" s="267"/>
      <c r="BW66" s="289"/>
      <c r="BZ66" s="289"/>
      <c r="CC66" s="289"/>
      <c r="CF66" s="289"/>
      <c r="CI66" s="289"/>
      <c r="CL66" s="289"/>
      <c r="CO66" s="289"/>
      <c r="CR66" s="289"/>
      <c r="CU66" s="289"/>
      <c r="CX66" s="289"/>
      <c r="CZ66" s="262"/>
      <c r="DA66" s="287"/>
    </row>
    <row r="67" spans="1:105" s="249" customFormat="1" x14ac:dyDescent="0.2">
      <c r="A67" s="262" t="s">
        <v>340</v>
      </c>
      <c r="B67" s="283">
        <v>55</v>
      </c>
      <c r="C67" s="264" t="s">
        <v>26</v>
      </c>
      <c r="E67" s="289"/>
      <c r="G67" s="262" t="s">
        <v>273</v>
      </c>
      <c r="H67" s="287">
        <f>B35</f>
        <v>157680</v>
      </c>
      <c r="I67" s="249" t="s">
        <v>257</v>
      </c>
      <c r="K67" s="289"/>
      <c r="N67" s="289"/>
      <c r="Q67" s="289"/>
      <c r="T67" s="289"/>
      <c r="W67" s="289"/>
      <c r="Z67" s="289"/>
      <c r="AC67" s="289"/>
      <c r="AD67" s="289"/>
      <c r="AE67" s="289"/>
      <c r="AF67" s="289"/>
      <c r="AG67" s="289"/>
      <c r="AI67" s="275"/>
      <c r="AJ67" s="353"/>
      <c r="AK67" s="275"/>
      <c r="AM67" s="289"/>
      <c r="AP67" s="289"/>
      <c r="AS67" s="289"/>
      <c r="AV67" s="289"/>
      <c r="AY67" s="289"/>
      <c r="BB67" s="289"/>
      <c r="BE67" s="289"/>
      <c r="BH67" s="289"/>
      <c r="BK67" s="289"/>
      <c r="BN67" s="289"/>
      <c r="BQ67" s="289"/>
      <c r="BT67" s="289"/>
      <c r="BV67" s="267"/>
      <c r="BW67" s="289"/>
      <c r="BZ67" s="289"/>
      <c r="CC67" s="289"/>
      <c r="CF67" s="289"/>
      <c r="CI67" s="289"/>
      <c r="CL67" s="289"/>
      <c r="CO67" s="289"/>
      <c r="CR67" s="289"/>
      <c r="CU67" s="289"/>
      <c r="CX67" s="289"/>
      <c r="DA67" s="289"/>
    </row>
    <row r="68" spans="1:105" s="249" customFormat="1" x14ac:dyDescent="0.2">
      <c r="A68" s="262" t="s">
        <v>339</v>
      </c>
      <c r="B68" s="283">
        <v>55</v>
      </c>
      <c r="C68" s="264" t="s">
        <v>26</v>
      </c>
      <c r="E68" s="289"/>
      <c r="G68" s="95" t="s">
        <v>315</v>
      </c>
      <c r="H68" s="297">
        <f>B293</f>
        <v>241</v>
      </c>
      <c r="I68" s="249" t="s">
        <v>309</v>
      </c>
      <c r="K68" s="289"/>
      <c r="N68" s="289"/>
      <c r="Q68" s="289"/>
      <c r="T68" s="289"/>
      <c r="W68" s="289"/>
      <c r="Z68" s="289"/>
      <c r="AC68" s="289"/>
      <c r="AD68" s="289"/>
      <c r="AE68" s="289"/>
      <c r="AF68" s="289"/>
      <c r="AG68" s="289"/>
      <c r="AI68" s="275"/>
      <c r="AJ68" s="353"/>
      <c r="AK68" s="275"/>
      <c r="AM68" s="289"/>
      <c r="AP68" s="289"/>
      <c r="AS68" s="289"/>
      <c r="AV68" s="289"/>
      <c r="AY68" s="289"/>
      <c r="BB68" s="289"/>
      <c r="BE68" s="289"/>
      <c r="BH68" s="289"/>
      <c r="BK68" s="289"/>
      <c r="BN68" s="289"/>
      <c r="BQ68" s="289"/>
      <c r="BT68" s="289"/>
      <c r="BW68" s="289"/>
      <c r="BZ68" s="289"/>
      <c r="CC68" s="289"/>
      <c r="CF68" s="289"/>
      <c r="CI68" s="289"/>
      <c r="CL68" s="289"/>
      <c r="CO68" s="289"/>
      <c r="CR68" s="289"/>
      <c r="CU68" s="289"/>
      <c r="CX68" s="289"/>
      <c r="DA68" s="289"/>
    </row>
    <row r="69" spans="1:105" s="249" customFormat="1" x14ac:dyDescent="0.2">
      <c r="A69" s="262" t="s">
        <v>338</v>
      </c>
      <c r="B69" s="283">
        <v>55</v>
      </c>
      <c r="C69" s="264" t="s">
        <v>26</v>
      </c>
      <c r="E69" s="289"/>
      <c r="G69" s="267" t="s">
        <v>310</v>
      </c>
      <c r="H69" s="289">
        <f>B295</f>
        <v>2.8000000000000001E-15</v>
      </c>
      <c r="K69" s="289"/>
      <c r="N69" s="289"/>
      <c r="Q69" s="289"/>
      <c r="T69" s="289"/>
      <c r="W69" s="289"/>
      <c r="Z69" s="289"/>
      <c r="AC69" s="289"/>
      <c r="AD69" s="289"/>
      <c r="AE69" s="289"/>
      <c r="AF69" s="289"/>
      <c r="AG69" s="289"/>
      <c r="AI69" s="275"/>
      <c r="AJ69" s="353"/>
      <c r="AK69" s="275"/>
      <c r="AM69" s="289"/>
      <c r="AP69" s="289"/>
      <c r="AS69" s="289"/>
      <c r="AV69" s="289"/>
      <c r="AY69" s="289"/>
      <c r="BB69" s="289"/>
      <c r="BE69" s="289"/>
      <c r="BH69" s="289"/>
      <c r="BK69" s="289"/>
      <c r="BN69" s="289"/>
      <c r="BQ69" s="289"/>
      <c r="BT69" s="289"/>
      <c r="BV69" s="262"/>
      <c r="BW69" s="287"/>
      <c r="BZ69" s="289"/>
      <c r="CC69" s="289"/>
      <c r="CF69" s="289"/>
      <c r="CI69" s="289"/>
      <c r="CL69" s="289"/>
      <c r="CO69" s="289"/>
      <c r="CR69" s="289"/>
      <c r="CU69" s="289"/>
      <c r="CX69" s="289"/>
      <c r="DA69" s="289"/>
    </row>
    <row r="70" spans="1:105" s="249" customFormat="1" x14ac:dyDescent="0.2">
      <c r="A70" s="249" t="s">
        <v>344</v>
      </c>
      <c r="B70" s="284">
        <v>2</v>
      </c>
      <c r="C70" s="92" t="s">
        <v>104</v>
      </c>
      <c r="E70" s="289"/>
      <c r="G70" s="249" t="s">
        <v>270</v>
      </c>
      <c r="H70" s="287">
        <f>B31</f>
        <v>432.2</v>
      </c>
      <c r="I70" s="249" t="s">
        <v>69</v>
      </c>
      <c r="K70" s="289"/>
      <c r="N70" s="289"/>
      <c r="Q70" s="289"/>
      <c r="T70" s="289"/>
      <c r="W70" s="289"/>
      <c r="Z70" s="289"/>
      <c r="AC70" s="289"/>
      <c r="AD70" s="289"/>
      <c r="AE70" s="289"/>
      <c r="AF70" s="289"/>
      <c r="AG70" s="289"/>
      <c r="AI70" s="275"/>
      <c r="AJ70" s="353"/>
      <c r="AK70" s="275"/>
      <c r="AM70" s="289"/>
      <c r="AP70" s="289"/>
      <c r="AS70" s="289"/>
      <c r="AV70" s="289"/>
      <c r="AY70" s="289"/>
      <c r="BB70" s="289"/>
      <c r="BE70" s="289"/>
      <c r="BH70" s="289"/>
      <c r="BK70" s="289"/>
      <c r="BN70" s="289"/>
      <c r="BQ70" s="289"/>
      <c r="BT70" s="289"/>
      <c r="BV70" s="262"/>
      <c r="BW70" s="289"/>
      <c r="BZ70" s="289"/>
      <c r="CC70" s="289"/>
      <c r="CF70" s="289"/>
      <c r="CI70" s="289"/>
      <c r="CL70" s="289"/>
      <c r="CO70" s="289"/>
      <c r="CR70" s="289"/>
      <c r="CU70" s="289"/>
      <c r="CX70" s="289"/>
      <c r="DA70" s="289"/>
    </row>
    <row r="71" spans="1:105" s="249" customFormat="1" x14ac:dyDescent="0.2">
      <c r="A71" s="249" t="s">
        <v>345</v>
      </c>
      <c r="B71" s="284">
        <v>2</v>
      </c>
      <c r="C71" s="92" t="s">
        <v>104</v>
      </c>
      <c r="E71" s="289"/>
      <c r="H71" s="289"/>
      <c r="K71" s="289"/>
      <c r="N71" s="289"/>
      <c r="Q71" s="289"/>
      <c r="T71" s="289"/>
      <c r="W71" s="289"/>
      <c r="Z71" s="289"/>
      <c r="AC71" s="289"/>
      <c r="AD71" s="289"/>
      <c r="AE71" s="289"/>
      <c r="AF71" s="289"/>
      <c r="AG71" s="289"/>
      <c r="AI71" s="275"/>
      <c r="AJ71" s="353"/>
      <c r="AK71" s="275"/>
      <c r="AM71" s="289"/>
      <c r="AP71" s="289"/>
      <c r="AS71" s="289"/>
      <c r="AV71" s="289"/>
      <c r="AY71" s="289"/>
      <c r="BB71" s="289"/>
      <c r="BE71" s="289"/>
      <c r="BH71" s="289"/>
      <c r="BK71" s="289"/>
      <c r="BN71" s="289"/>
      <c r="BQ71" s="289"/>
      <c r="BT71" s="289"/>
      <c r="BV71" s="262"/>
      <c r="BW71" s="289"/>
      <c r="BZ71" s="289"/>
      <c r="CC71" s="289"/>
      <c r="CF71" s="289"/>
      <c r="CI71" s="289"/>
      <c r="CL71" s="289"/>
      <c r="CO71" s="289"/>
      <c r="CR71" s="289"/>
      <c r="CU71" s="289"/>
      <c r="CX71" s="289"/>
      <c r="DA71" s="289"/>
    </row>
    <row r="72" spans="1:105" s="249" customFormat="1" x14ac:dyDescent="0.2">
      <c r="A72" s="262" t="s">
        <v>347</v>
      </c>
      <c r="B72" s="283">
        <v>15</v>
      </c>
      <c r="C72" s="264" t="s">
        <v>224</v>
      </c>
      <c r="E72" s="289"/>
      <c r="H72" s="289"/>
      <c r="K72" s="289"/>
      <c r="N72" s="289"/>
      <c r="Q72" s="289"/>
      <c r="T72" s="289"/>
      <c r="W72" s="289"/>
      <c r="Z72" s="289"/>
      <c r="AC72" s="289"/>
      <c r="AD72" s="289"/>
      <c r="AE72" s="289"/>
      <c r="AF72" s="277"/>
      <c r="AG72" s="353"/>
      <c r="AH72" s="275"/>
      <c r="AI72" s="275"/>
      <c r="AJ72" s="353"/>
      <c r="AK72" s="275"/>
      <c r="AM72" s="289"/>
      <c r="AP72" s="289"/>
      <c r="AS72" s="289"/>
      <c r="AV72" s="289"/>
      <c r="AY72" s="289"/>
      <c r="BB72" s="289"/>
      <c r="BE72" s="289"/>
      <c r="BH72" s="289"/>
      <c r="BK72" s="289"/>
      <c r="BN72" s="289"/>
      <c r="BQ72" s="289"/>
      <c r="BT72" s="289"/>
      <c r="BW72" s="289"/>
      <c r="BZ72" s="289"/>
      <c r="CC72" s="289"/>
      <c r="CF72" s="289"/>
      <c r="CI72" s="289"/>
      <c r="CL72" s="289"/>
      <c r="CO72" s="289"/>
      <c r="CR72" s="289"/>
      <c r="CU72" s="289"/>
      <c r="CX72" s="289"/>
      <c r="DA72" s="289"/>
    </row>
    <row r="73" spans="1:105" s="249" customFormat="1" x14ac:dyDescent="0.2">
      <c r="A73" s="262" t="s">
        <v>348</v>
      </c>
      <c r="B73" s="283">
        <v>15</v>
      </c>
      <c r="C73" s="264" t="s">
        <v>224</v>
      </c>
      <c r="E73" s="289"/>
      <c r="H73" s="289"/>
      <c r="K73" s="289"/>
      <c r="N73" s="289"/>
      <c r="Q73" s="289"/>
      <c r="T73" s="289"/>
      <c r="W73" s="289"/>
      <c r="Z73" s="289"/>
      <c r="AC73" s="289"/>
      <c r="AD73" s="289"/>
      <c r="AE73" s="289"/>
      <c r="AF73" s="277"/>
      <c r="AG73" s="353"/>
      <c r="AH73" s="275"/>
      <c r="AI73" s="275"/>
      <c r="AJ73" s="353"/>
      <c r="AK73" s="275"/>
      <c r="AM73" s="289"/>
      <c r="AP73" s="289"/>
      <c r="AS73" s="289"/>
      <c r="AV73" s="289"/>
      <c r="AY73" s="289"/>
      <c r="BB73" s="289"/>
      <c r="BE73" s="289"/>
      <c r="BH73" s="289"/>
      <c r="BK73" s="289"/>
      <c r="BN73" s="289"/>
      <c r="BQ73" s="289"/>
      <c r="BT73" s="289"/>
      <c r="BW73" s="289"/>
      <c r="BZ73" s="289"/>
      <c r="CC73" s="289"/>
      <c r="CF73" s="289"/>
      <c r="CI73" s="289"/>
      <c r="CL73" s="289"/>
      <c r="CO73" s="289"/>
      <c r="CR73" s="289"/>
      <c r="CU73" s="289"/>
      <c r="CX73" s="289"/>
      <c r="DA73" s="289"/>
    </row>
    <row r="74" spans="1:105" s="249" customFormat="1" x14ac:dyDescent="0.2">
      <c r="A74" s="262" t="s">
        <v>346</v>
      </c>
      <c r="B74" s="283">
        <v>15</v>
      </c>
      <c r="C74" s="264" t="s">
        <v>224</v>
      </c>
      <c r="E74" s="289"/>
      <c r="H74" s="289"/>
      <c r="K74" s="289"/>
      <c r="N74" s="289"/>
      <c r="Q74" s="289"/>
      <c r="T74" s="289"/>
      <c r="W74" s="289"/>
      <c r="Z74" s="289"/>
      <c r="AC74" s="289"/>
      <c r="AD74" s="289"/>
      <c r="AE74" s="289"/>
      <c r="AF74" s="277"/>
      <c r="AG74" s="353"/>
      <c r="AH74" s="275"/>
      <c r="AI74" s="275"/>
      <c r="AJ74" s="353"/>
      <c r="AK74" s="275"/>
      <c r="AM74" s="289"/>
      <c r="AP74" s="289"/>
      <c r="AS74" s="289"/>
      <c r="AV74" s="289"/>
      <c r="AY74" s="289"/>
      <c r="BB74" s="289"/>
      <c r="BE74" s="289"/>
      <c r="BH74" s="289"/>
      <c r="BK74" s="289"/>
      <c r="BN74" s="289"/>
      <c r="BQ74" s="289"/>
      <c r="BT74" s="289"/>
      <c r="BW74" s="289"/>
      <c r="BZ74" s="289"/>
      <c r="CC74" s="289"/>
      <c r="CF74" s="289"/>
      <c r="CI74" s="289"/>
      <c r="CL74" s="289"/>
      <c r="CO74" s="289"/>
      <c r="CR74" s="289"/>
      <c r="CU74" s="289"/>
      <c r="CX74" s="289"/>
      <c r="DA74" s="289"/>
    </row>
    <row r="75" spans="1:105" s="249" customFormat="1" x14ac:dyDescent="0.2">
      <c r="A75" s="249" t="s">
        <v>349</v>
      </c>
      <c r="B75" s="284">
        <v>2</v>
      </c>
      <c r="C75" s="92" t="s">
        <v>98</v>
      </c>
      <c r="E75" s="289"/>
      <c r="H75" s="289"/>
      <c r="K75" s="289"/>
      <c r="N75" s="289"/>
      <c r="Q75" s="289"/>
      <c r="T75" s="289"/>
      <c r="W75" s="289"/>
      <c r="Z75" s="289"/>
      <c r="AC75" s="289"/>
      <c r="AD75" s="289"/>
      <c r="AE75" s="289"/>
      <c r="AF75" s="277"/>
      <c r="AG75" s="353"/>
      <c r="AH75" s="275"/>
      <c r="AI75" s="275"/>
      <c r="AJ75" s="353"/>
      <c r="AK75" s="275"/>
      <c r="AM75" s="289"/>
      <c r="AP75" s="289"/>
      <c r="AS75" s="289"/>
      <c r="AV75" s="289"/>
      <c r="AY75" s="289"/>
      <c r="BB75" s="289"/>
      <c r="BE75" s="289"/>
      <c r="BH75" s="289"/>
      <c r="BK75" s="289"/>
      <c r="BN75" s="289"/>
      <c r="BQ75" s="289"/>
      <c r="BT75" s="289"/>
      <c r="BW75" s="289"/>
      <c r="BZ75" s="289"/>
      <c r="CC75" s="289"/>
      <c r="CF75" s="289"/>
      <c r="CI75" s="289"/>
      <c r="CL75" s="289"/>
      <c r="CO75" s="289"/>
      <c r="CR75" s="289"/>
      <c r="CU75" s="289"/>
      <c r="CX75" s="289"/>
      <c r="DA75" s="289"/>
    </row>
    <row r="76" spans="1:105" s="249" customFormat="1" x14ac:dyDescent="0.2">
      <c r="A76" s="249" t="s">
        <v>350</v>
      </c>
      <c r="B76" s="284">
        <v>2</v>
      </c>
      <c r="C76" s="92" t="s">
        <v>98</v>
      </c>
      <c r="E76" s="289"/>
      <c r="H76" s="289"/>
      <c r="K76" s="289"/>
      <c r="N76" s="289"/>
      <c r="Q76" s="289"/>
      <c r="T76" s="289"/>
      <c r="W76" s="289"/>
      <c r="Z76" s="289"/>
      <c r="AC76" s="289"/>
      <c r="AD76" s="289"/>
      <c r="AE76" s="289"/>
      <c r="AF76" s="277"/>
      <c r="AG76" s="353"/>
      <c r="AH76" s="275"/>
      <c r="AI76" s="275"/>
      <c r="AJ76" s="353"/>
      <c r="AK76" s="275"/>
      <c r="AM76" s="289"/>
      <c r="AP76" s="289"/>
      <c r="AS76" s="289"/>
      <c r="AV76" s="289"/>
      <c r="AY76" s="289"/>
      <c r="BB76" s="289"/>
      <c r="BE76" s="289"/>
      <c r="BH76" s="289"/>
      <c r="BK76" s="289"/>
      <c r="BN76" s="289"/>
      <c r="BQ76" s="289"/>
      <c r="BT76" s="289"/>
      <c r="BW76" s="289"/>
      <c r="BZ76" s="289"/>
      <c r="CC76" s="289"/>
      <c r="CF76" s="289"/>
      <c r="CI76" s="289"/>
      <c r="CL76" s="289"/>
      <c r="CO76" s="289"/>
      <c r="CR76" s="289"/>
      <c r="CU76" s="289"/>
      <c r="CX76" s="289"/>
      <c r="DA76" s="289"/>
    </row>
    <row r="77" spans="1:105" s="249" customFormat="1" x14ac:dyDescent="0.2">
      <c r="A77" s="262" t="s">
        <v>103</v>
      </c>
      <c r="B77" s="283">
        <v>0.4</v>
      </c>
      <c r="E77" s="289"/>
      <c r="H77" s="289"/>
      <c r="K77" s="289"/>
      <c r="N77" s="289"/>
      <c r="Q77" s="289"/>
      <c r="T77" s="289"/>
      <c r="W77" s="289"/>
      <c r="Z77" s="289"/>
      <c r="AC77" s="289"/>
      <c r="AD77" s="289"/>
      <c r="AE77" s="289"/>
      <c r="AF77" s="277"/>
      <c r="AG77" s="353"/>
      <c r="AH77" s="275"/>
      <c r="AI77" s="275"/>
      <c r="AJ77" s="353"/>
      <c r="AK77" s="275"/>
      <c r="AM77" s="289"/>
      <c r="AP77" s="289"/>
      <c r="AS77" s="289"/>
      <c r="AV77" s="289"/>
      <c r="AY77" s="289"/>
      <c r="BB77" s="289"/>
      <c r="BE77" s="289"/>
      <c r="BH77" s="289"/>
      <c r="BK77" s="289"/>
      <c r="BN77" s="289"/>
      <c r="BQ77" s="289"/>
      <c r="BT77" s="289"/>
      <c r="BW77" s="289"/>
      <c r="BZ77" s="289"/>
      <c r="CC77" s="289"/>
      <c r="CF77" s="289"/>
      <c r="CI77" s="289"/>
      <c r="CL77" s="289"/>
      <c r="CO77" s="289"/>
      <c r="CR77" s="289"/>
      <c r="CU77" s="289"/>
      <c r="CX77" s="289"/>
      <c r="DA77" s="289"/>
    </row>
    <row r="78" spans="1:105" s="249" customFormat="1" ht="12.75" customHeight="1" x14ac:dyDescent="0.2">
      <c r="A78" s="249" t="s">
        <v>353</v>
      </c>
      <c r="B78" s="284">
        <v>1</v>
      </c>
      <c r="C78" s="247"/>
      <c r="E78" s="289"/>
      <c r="H78" s="289"/>
      <c r="K78" s="289"/>
      <c r="N78" s="289"/>
      <c r="Q78" s="289"/>
      <c r="T78" s="289"/>
      <c r="W78" s="289"/>
      <c r="Z78" s="289"/>
      <c r="AC78" s="289"/>
      <c r="AD78" s="289"/>
      <c r="AE78" s="289"/>
      <c r="AF78" s="277"/>
      <c r="AG78" s="353"/>
      <c r="AJ78" s="289"/>
      <c r="AM78" s="289"/>
      <c r="AP78" s="289"/>
      <c r="AS78" s="289"/>
      <c r="AV78" s="289"/>
      <c r="AY78" s="289"/>
      <c r="BB78" s="289"/>
      <c r="BE78" s="289"/>
      <c r="BH78" s="289"/>
      <c r="BK78" s="289"/>
      <c r="BN78" s="289"/>
      <c r="BQ78" s="289"/>
      <c r="BT78" s="289"/>
      <c r="BW78" s="289"/>
      <c r="BZ78" s="289"/>
      <c r="CC78" s="289"/>
      <c r="CF78" s="289"/>
      <c r="CI78" s="289"/>
      <c r="CL78" s="289"/>
      <c r="CO78" s="289"/>
      <c r="CR78" s="289"/>
      <c r="CU78" s="289"/>
      <c r="CX78" s="289"/>
      <c r="DA78" s="289"/>
    </row>
    <row r="79" spans="1:105" s="249" customFormat="1" x14ac:dyDescent="0.2">
      <c r="A79" s="249" t="s">
        <v>158</v>
      </c>
      <c r="B79" s="284">
        <v>0.4</v>
      </c>
      <c r="C79" s="247"/>
      <c r="E79" s="289"/>
      <c r="H79" s="289"/>
      <c r="K79" s="289"/>
      <c r="N79" s="289"/>
      <c r="Q79" s="289"/>
      <c r="T79" s="289"/>
      <c r="W79" s="289"/>
      <c r="Z79" s="289"/>
      <c r="AC79" s="289"/>
      <c r="AD79" s="289"/>
      <c r="AE79" s="289"/>
      <c r="AF79" s="277"/>
      <c r="AG79" s="353"/>
      <c r="AH79" s="275"/>
      <c r="AI79" s="275"/>
      <c r="AJ79" s="353"/>
      <c r="AK79" s="275"/>
      <c r="AM79" s="289"/>
      <c r="AP79" s="289"/>
      <c r="AS79" s="289"/>
      <c r="AV79" s="289"/>
      <c r="AY79" s="289"/>
      <c r="BB79" s="289"/>
      <c r="BE79" s="289"/>
      <c r="BH79" s="289"/>
      <c r="BK79" s="289"/>
      <c r="BN79" s="289"/>
      <c r="BQ79" s="289"/>
      <c r="BT79" s="289"/>
      <c r="BW79" s="289"/>
      <c r="BZ79" s="289"/>
      <c r="CC79" s="289"/>
      <c r="CF79" s="289"/>
      <c r="CI79" s="289"/>
      <c r="CL79" s="289"/>
      <c r="CO79" s="289"/>
      <c r="CR79" s="289"/>
      <c r="CU79" s="289"/>
      <c r="CX79" s="289"/>
      <c r="DA79" s="289"/>
    </row>
    <row r="80" spans="1:105" s="249" customFormat="1" x14ac:dyDescent="0.2">
      <c r="A80" s="249" t="s">
        <v>159</v>
      </c>
      <c r="B80" s="282">
        <f>B3</f>
        <v>2.41E-4</v>
      </c>
      <c r="C80" s="247"/>
      <c r="E80" s="289"/>
      <c r="H80" s="289"/>
      <c r="K80" s="289"/>
      <c r="N80" s="289"/>
      <c r="Q80" s="289"/>
      <c r="T80" s="289"/>
      <c r="W80" s="289"/>
      <c r="Z80" s="289"/>
      <c r="AC80" s="289"/>
      <c r="AD80" s="289"/>
      <c r="AE80" s="289"/>
      <c r="AF80" s="277"/>
      <c r="AG80" s="353"/>
      <c r="AH80" s="275"/>
      <c r="AI80" s="275"/>
      <c r="AJ80" s="353"/>
      <c r="AK80" s="275"/>
      <c r="AM80" s="289"/>
      <c r="AP80" s="289"/>
      <c r="AS80" s="289"/>
      <c r="AV80" s="289"/>
      <c r="AY80" s="289"/>
      <c r="BB80" s="289"/>
      <c r="BE80" s="289"/>
      <c r="BH80" s="289"/>
      <c r="BK80" s="289"/>
      <c r="BN80" s="289"/>
      <c r="BQ80" s="289"/>
      <c r="BT80" s="289"/>
      <c r="BW80" s="289"/>
      <c r="BZ80" s="289"/>
      <c r="CC80" s="289"/>
      <c r="CF80" s="289"/>
      <c r="CI80" s="289"/>
      <c r="CL80" s="289"/>
      <c r="CO80" s="289"/>
      <c r="CR80" s="289"/>
      <c r="CU80" s="289"/>
      <c r="CX80" s="289"/>
      <c r="DA80" s="289"/>
    </row>
    <row r="81" spans="1:37" s="249" customFormat="1" x14ac:dyDescent="0.2">
      <c r="A81" s="249" t="s">
        <v>62</v>
      </c>
      <c r="B81" s="282">
        <f>B4</f>
        <v>0.753</v>
      </c>
      <c r="C81" s="247"/>
      <c r="E81" s="289"/>
      <c r="H81" s="289"/>
      <c r="K81" s="289"/>
      <c r="N81" s="289"/>
      <c r="Q81" s="289"/>
      <c r="T81" s="289"/>
      <c r="W81" s="289"/>
      <c r="Z81" s="28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249" customFormat="1" x14ac:dyDescent="0.2">
      <c r="A82" s="262" t="s">
        <v>124</v>
      </c>
      <c r="B82" s="284">
        <v>1</v>
      </c>
      <c r="C82" s="263" t="s">
        <v>125</v>
      </c>
      <c r="E82" s="289"/>
      <c r="H82" s="289"/>
      <c r="K82" s="289"/>
      <c r="N82" s="289"/>
      <c r="Q82" s="289"/>
      <c r="T82" s="289"/>
      <c r="W82" s="289"/>
      <c r="Z82" s="28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249" customFormat="1" x14ac:dyDescent="0.2">
      <c r="A83" s="249" t="s">
        <v>83</v>
      </c>
      <c r="B83" s="284">
        <v>0.5</v>
      </c>
      <c r="C83" s="249" t="s">
        <v>84</v>
      </c>
      <c r="E83" s="289"/>
      <c r="H83" s="289"/>
      <c r="K83" s="289"/>
      <c r="N83" s="289"/>
      <c r="Q83" s="289"/>
      <c r="T83" s="289"/>
      <c r="W83" s="289"/>
      <c r="Z83" s="289"/>
      <c r="AC83" s="289"/>
      <c r="AD83" s="289"/>
      <c r="AE83" s="289"/>
      <c r="AF83" s="277"/>
      <c r="AG83" s="353"/>
      <c r="AJ83" s="289"/>
    </row>
    <row r="84" spans="1:37" s="249" customFormat="1" x14ac:dyDescent="0.2">
      <c r="A84" s="249" t="s">
        <v>355</v>
      </c>
      <c r="B84" s="284">
        <v>0.25</v>
      </c>
      <c r="C84" s="247"/>
      <c r="E84" s="289"/>
      <c r="H84" s="289"/>
      <c r="K84" s="289"/>
      <c r="N84" s="289"/>
      <c r="Q84" s="289"/>
      <c r="T84" s="289"/>
      <c r="W84" s="289"/>
      <c r="Z84" s="28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249" customFormat="1" x14ac:dyDescent="0.2">
      <c r="A85" s="262" t="s">
        <v>41</v>
      </c>
      <c r="B85" s="284">
        <v>3.62</v>
      </c>
      <c r="C85" s="249" t="s">
        <v>42</v>
      </c>
      <c r="E85" s="289"/>
      <c r="H85" s="289"/>
      <c r="K85" s="289"/>
      <c r="N85" s="289"/>
      <c r="Q85" s="289"/>
      <c r="T85" s="289"/>
      <c r="W85" s="289"/>
      <c r="Z85" s="289"/>
      <c r="AC85" s="289"/>
      <c r="AD85" s="289"/>
      <c r="AE85" s="289"/>
      <c r="AF85" s="277"/>
      <c r="AG85" s="353"/>
      <c r="AJ85" s="289"/>
    </row>
    <row r="86" spans="1:37" s="249" customFormat="1" x14ac:dyDescent="0.2">
      <c r="A86" s="262" t="s">
        <v>46</v>
      </c>
      <c r="B86" s="284">
        <v>0.25</v>
      </c>
      <c r="C86" s="249" t="s">
        <v>47</v>
      </c>
      <c r="E86" s="289"/>
      <c r="H86" s="289"/>
      <c r="K86" s="289"/>
      <c r="N86" s="289"/>
      <c r="Q86" s="289"/>
      <c r="T86" s="289"/>
      <c r="W86" s="289"/>
      <c r="Z86" s="28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249" customFormat="1" x14ac:dyDescent="0.2">
      <c r="A87" s="267" t="s">
        <v>60</v>
      </c>
      <c r="B87" s="284">
        <v>10950</v>
      </c>
      <c r="C87" s="249" t="s">
        <v>61</v>
      </c>
      <c r="E87" s="289"/>
      <c r="H87" s="289"/>
      <c r="K87" s="289"/>
      <c r="N87" s="289"/>
      <c r="Q87" s="289"/>
      <c r="T87" s="289"/>
      <c r="W87" s="289"/>
      <c r="Z87" s="289"/>
      <c r="AC87" s="289"/>
      <c r="AD87" s="289"/>
      <c r="AE87" s="289"/>
      <c r="AF87" s="289"/>
      <c r="AG87" s="289"/>
      <c r="AJ87" s="289"/>
    </row>
    <row r="88" spans="1:37" s="249" customFormat="1" x14ac:dyDescent="0.2">
      <c r="A88" s="267" t="s">
        <v>65</v>
      </c>
      <c r="B88" s="284">
        <v>240</v>
      </c>
      <c r="C88" s="249" t="s">
        <v>66</v>
      </c>
      <c r="E88" s="289"/>
      <c r="H88" s="289"/>
      <c r="K88" s="289"/>
      <c r="N88" s="289"/>
      <c r="Q88" s="289"/>
      <c r="T88" s="289"/>
      <c r="W88" s="289"/>
      <c r="Z88" s="289"/>
      <c r="AC88" s="289"/>
      <c r="AD88" s="289"/>
      <c r="AE88" s="289"/>
      <c r="AF88" s="289"/>
      <c r="AG88" s="289"/>
      <c r="AJ88" s="289"/>
    </row>
    <row r="89" spans="1:37" s="249" customFormat="1" x14ac:dyDescent="0.2">
      <c r="A89" s="267" t="s">
        <v>76</v>
      </c>
      <c r="B89" s="284">
        <v>0.42</v>
      </c>
      <c r="C89" s="249" t="s">
        <v>47</v>
      </c>
      <c r="E89" s="289"/>
      <c r="H89" s="289"/>
      <c r="K89" s="289"/>
      <c r="N89" s="289"/>
      <c r="Q89" s="289"/>
      <c r="T89" s="289"/>
      <c r="W89" s="289"/>
      <c r="Z89" s="289"/>
      <c r="AC89" s="289"/>
      <c r="AD89" s="289"/>
      <c r="AE89" s="289"/>
      <c r="AF89" s="289"/>
      <c r="AG89" s="289"/>
      <c r="AJ89" s="289"/>
    </row>
    <row r="90" spans="1:37" s="249" customFormat="1" x14ac:dyDescent="0.2">
      <c r="A90" s="267" t="s">
        <v>85</v>
      </c>
      <c r="B90" s="284">
        <v>60</v>
      </c>
      <c r="C90" s="262" t="s">
        <v>61</v>
      </c>
      <c r="E90" s="289"/>
      <c r="H90" s="289"/>
      <c r="K90" s="289"/>
      <c r="N90" s="289"/>
      <c r="Q90" s="289"/>
      <c r="T90" s="289"/>
      <c r="W90" s="289"/>
      <c r="Z90" s="289"/>
      <c r="AC90" s="289"/>
      <c r="AD90" s="289"/>
      <c r="AE90" s="289"/>
      <c r="AF90" s="289"/>
      <c r="AG90" s="289"/>
      <c r="AJ90" s="289"/>
    </row>
    <row r="91" spans="1:37" s="249" customFormat="1" x14ac:dyDescent="0.2">
      <c r="A91" s="267" t="s">
        <v>87</v>
      </c>
      <c r="B91" s="284">
        <v>2</v>
      </c>
      <c r="C91" s="262" t="s">
        <v>66</v>
      </c>
      <c r="E91" s="289"/>
      <c r="H91" s="289"/>
      <c r="K91" s="289"/>
      <c r="N91" s="289"/>
      <c r="Q91" s="289"/>
      <c r="T91" s="289"/>
      <c r="W91" s="289"/>
      <c r="Z91" s="289"/>
      <c r="AC91" s="289"/>
      <c r="AD91" s="289"/>
      <c r="AE91" s="289"/>
      <c r="AF91" s="289"/>
      <c r="AG91" s="289"/>
      <c r="AJ91" s="289"/>
    </row>
    <row r="92" spans="1:37" s="249" customFormat="1" x14ac:dyDescent="0.2">
      <c r="A92" s="267" t="s">
        <v>89</v>
      </c>
      <c r="B92" s="284">
        <v>2.6999999999999999E-5</v>
      </c>
      <c r="C92" s="249" t="s">
        <v>82</v>
      </c>
      <c r="E92" s="289"/>
      <c r="H92" s="289"/>
      <c r="K92" s="289"/>
      <c r="N92" s="289"/>
      <c r="Q92" s="289"/>
      <c r="T92" s="289"/>
      <c r="W92" s="289"/>
      <c r="Z92" s="289"/>
      <c r="AC92" s="289"/>
      <c r="AD92" s="289"/>
      <c r="AE92" s="289"/>
      <c r="AF92" s="289"/>
      <c r="AG92" s="289"/>
      <c r="AJ92" s="289"/>
    </row>
    <row r="93" spans="1:37" s="249" customFormat="1" x14ac:dyDescent="0.2">
      <c r="A93" s="267" t="s">
        <v>91</v>
      </c>
      <c r="B93" s="284">
        <v>1</v>
      </c>
      <c r="C93" s="249" t="s">
        <v>47</v>
      </c>
      <c r="E93" s="289"/>
      <c r="H93" s="289"/>
      <c r="K93" s="289"/>
      <c r="N93" s="289"/>
      <c r="Q93" s="289"/>
      <c r="T93" s="289"/>
      <c r="W93" s="289"/>
      <c r="Z93" s="289"/>
      <c r="AC93" s="289"/>
      <c r="AD93" s="289"/>
      <c r="AE93" s="289"/>
      <c r="AF93" s="289"/>
      <c r="AG93" s="289"/>
      <c r="AJ93" s="289"/>
    </row>
    <row r="94" spans="1:37" s="249" customFormat="1" x14ac:dyDescent="0.2">
      <c r="A94" s="267" t="s">
        <v>92</v>
      </c>
      <c r="B94" s="284">
        <v>14</v>
      </c>
      <c r="C94" s="249" t="s">
        <v>93</v>
      </c>
      <c r="E94" s="289"/>
      <c r="H94" s="289"/>
      <c r="K94" s="289"/>
      <c r="N94" s="289"/>
      <c r="Q94" s="289"/>
      <c r="T94" s="289"/>
      <c r="W94" s="289"/>
      <c r="Z94" s="289"/>
      <c r="AC94" s="289"/>
      <c r="AD94" s="289"/>
      <c r="AE94" s="289"/>
      <c r="AF94" s="289"/>
      <c r="AG94" s="289"/>
      <c r="AJ94" s="289"/>
    </row>
    <row r="95" spans="1:37" s="249" customFormat="1" x14ac:dyDescent="0.2">
      <c r="A95" s="262" t="s">
        <v>356</v>
      </c>
      <c r="B95" s="283">
        <v>1</v>
      </c>
      <c r="E95" s="289"/>
      <c r="H95" s="289"/>
      <c r="K95" s="289"/>
      <c r="N95" s="289"/>
      <c r="Q95" s="289"/>
      <c r="T95" s="289"/>
      <c r="W95" s="289"/>
      <c r="Z95" s="289"/>
      <c r="AC95" s="289"/>
      <c r="AD95" s="289"/>
      <c r="AE95" s="289"/>
      <c r="AF95" s="289"/>
      <c r="AG95" s="289"/>
      <c r="AJ95" s="289"/>
    </row>
    <row r="96" spans="1:37" s="249" customFormat="1" x14ac:dyDescent="0.2">
      <c r="A96" s="262" t="s">
        <v>351</v>
      </c>
      <c r="B96" s="283">
        <v>1.752</v>
      </c>
      <c r="C96" s="264" t="s">
        <v>224</v>
      </c>
      <c r="E96" s="289"/>
      <c r="H96" s="289"/>
      <c r="K96" s="289"/>
      <c r="N96" s="289"/>
      <c r="Q96" s="289"/>
      <c r="T96" s="289"/>
      <c r="W96" s="289"/>
      <c r="Z96" s="289"/>
      <c r="AC96" s="289"/>
      <c r="AD96" s="289"/>
      <c r="AE96" s="289"/>
      <c r="AF96" s="289"/>
      <c r="AG96" s="289"/>
      <c r="AJ96" s="289"/>
    </row>
    <row r="97" spans="1:3" s="249" customFormat="1" x14ac:dyDescent="0.2">
      <c r="A97" s="262" t="s">
        <v>352</v>
      </c>
      <c r="B97" s="283">
        <v>16.416</v>
      </c>
      <c r="C97" s="264" t="s">
        <v>224</v>
      </c>
    </row>
    <row r="98" spans="1:3" s="249" customFormat="1" ht="15" x14ac:dyDescent="0.2">
      <c r="A98" s="517" t="s">
        <v>5</v>
      </c>
      <c r="B98" s="517"/>
      <c r="C98" s="517"/>
    </row>
    <row r="99" spans="1:3" s="249" customFormat="1" x14ac:dyDescent="0.2">
      <c r="A99" s="262" t="s">
        <v>358</v>
      </c>
      <c r="B99" s="284">
        <v>55</v>
      </c>
      <c r="C99" s="267" t="s">
        <v>359</v>
      </c>
    </row>
    <row r="100" spans="1:3" s="249" customFormat="1" x14ac:dyDescent="0.2">
      <c r="A100" s="262" t="s">
        <v>360</v>
      </c>
      <c r="B100" s="284">
        <v>55</v>
      </c>
      <c r="C100" s="267" t="s">
        <v>359</v>
      </c>
    </row>
    <row r="101" spans="1:3" s="249" customFormat="1" x14ac:dyDescent="0.2">
      <c r="A101" s="262" t="s">
        <v>305</v>
      </c>
      <c r="B101" s="283">
        <v>5</v>
      </c>
      <c r="C101" s="262" t="s">
        <v>361</v>
      </c>
    </row>
    <row r="102" spans="1:3" s="249" customFormat="1" x14ac:dyDescent="0.2">
      <c r="A102" s="262" t="s">
        <v>306</v>
      </c>
      <c r="B102" s="283">
        <v>5</v>
      </c>
      <c r="C102" s="262" t="s">
        <v>361</v>
      </c>
    </row>
    <row r="103" spans="1:3" s="249" customFormat="1" x14ac:dyDescent="0.2">
      <c r="A103" s="262" t="s">
        <v>362</v>
      </c>
      <c r="B103" s="284">
        <v>55</v>
      </c>
      <c r="C103" s="263" t="s">
        <v>54</v>
      </c>
    </row>
    <row r="104" spans="1:3" s="249" customFormat="1" x14ac:dyDescent="0.2">
      <c r="A104" s="262" t="s">
        <v>363</v>
      </c>
      <c r="B104" s="284">
        <v>55</v>
      </c>
      <c r="C104" s="263" t="s">
        <v>54</v>
      </c>
    </row>
    <row r="105" spans="1:3" s="249" customFormat="1" x14ac:dyDescent="0.2">
      <c r="A105" s="249" t="s">
        <v>187</v>
      </c>
      <c r="B105" s="284">
        <v>1</v>
      </c>
      <c r="C105" s="249" t="s">
        <v>254</v>
      </c>
    </row>
    <row r="106" spans="1:3" s="249" customFormat="1" x14ac:dyDescent="0.2">
      <c r="A106" s="249" t="s">
        <v>188</v>
      </c>
      <c r="B106" s="284">
        <v>1</v>
      </c>
      <c r="C106" s="249" t="s">
        <v>254</v>
      </c>
    </row>
    <row r="107" spans="1:3" s="249" customFormat="1" x14ac:dyDescent="0.2">
      <c r="A107" s="94" t="s">
        <v>373</v>
      </c>
      <c r="B107" s="283">
        <v>6</v>
      </c>
      <c r="C107" s="270" t="s">
        <v>69</v>
      </c>
    </row>
    <row r="108" spans="1:3" s="249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249" customFormat="1" x14ac:dyDescent="0.2">
      <c r="A109" s="94" t="s">
        <v>59</v>
      </c>
      <c r="B109" s="283">
        <v>26</v>
      </c>
      <c r="C109" s="270" t="s">
        <v>69</v>
      </c>
    </row>
    <row r="110" spans="1:3" s="249" customFormat="1" x14ac:dyDescent="0.2">
      <c r="A110" s="94" t="s">
        <v>371</v>
      </c>
      <c r="B110" s="107">
        <v>75</v>
      </c>
      <c r="C110" s="94" t="s">
        <v>26</v>
      </c>
    </row>
    <row r="111" spans="1:3" s="249" customFormat="1" x14ac:dyDescent="0.2">
      <c r="A111" s="94" t="s">
        <v>370</v>
      </c>
      <c r="B111" s="283">
        <v>75</v>
      </c>
      <c r="C111" s="94" t="s">
        <v>26</v>
      </c>
    </row>
    <row r="112" spans="1:3" s="249" customFormat="1" x14ac:dyDescent="0.2">
      <c r="A112" s="94" t="s">
        <v>157</v>
      </c>
      <c r="B112" s="283">
        <v>75</v>
      </c>
      <c r="C112" s="94" t="s">
        <v>26</v>
      </c>
    </row>
    <row r="113" spans="1:3" s="249" customFormat="1" x14ac:dyDescent="0.2">
      <c r="A113" s="94" t="s">
        <v>105</v>
      </c>
      <c r="B113" s="283">
        <v>1</v>
      </c>
      <c r="C113" s="92" t="s">
        <v>224</v>
      </c>
    </row>
    <row r="114" spans="1:3" s="249" customFormat="1" x14ac:dyDescent="0.2">
      <c r="A114" s="92" t="s">
        <v>368</v>
      </c>
      <c r="B114" s="284">
        <v>1</v>
      </c>
      <c r="C114" s="92" t="s">
        <v>224</v>
      </c>
    </row>
    <row r="115" spans="1:3" s="249" customFormat="1" x14ac:dyDescent="0.2">
      <c r="A115" s="92" t="s">
        <v>369</v>
      </c>
      <c r="B115" s="284">
        <v>1</v>
      </c>
      <c r="C115" s="92" t="s">
        <v>224</v>
      </c>
    </row>
    <row r="116" spans="1:3" s="249" customFormat="1" x14ac:dyDescent="0.2">
      <c r="A116" s="249" t="s">
        <v>366</v>
      </c>
      <c r="B116" s="284">
        <v>1</v>
      </c>
      <c r="C116" s="249" t="s">
        <v>104</v>
      </c>
    </row>
    <row r="117" spans="1:3" s="249" customFormat="1" x14ac:dyDescent="0.2">
      <c r="A117" s="249" t="s">
        <v>367</v>
      </c>
      <c r="B117" s="284">
        <v>1</v>
      </c>
      <c r="C117" s="249" t="s">
        <v>104</v>
      </c>
    </row>
    <row r="118" spans="1:3" s="249" customFormat="1" x14ac:dyDescent="0.2">
      <c r="A118" s="94" t="s">
        <v>364</v>
      </c>
      <c r="B118" s="284">
        <v>1</v>
      </c>
      <c r="C118" s="92" t="s">
        <v>98</v>
      </c>
    </row>
    <row r="119" spans="1:3" s="249" customFormat="1" x14ac:dyDescent="0.2">
      <c r="A119" s="94" t="s">
        <v>365</v>
      </c>
      <c r="B119" s="284">
        <v>1</v>
      </c>
      <c r="C119" s="92" t="s">
        <v>98</v>
      </c>
    </row>
    <row r="120" spans="1:3" s="249" customFormat="1" x14ac:dyDescent="0.2">
      <c r="A120" s="263" t="s">
        <v>192</v>
      </c>
      <c r="B120" s="283">
        <v>1</v>
      </c>
      <c r="C120" s="249" t="s">
        <v>283</v>
      </c>
    </row>
    <row r="121" spans="1:3" s="249" customFormat="1" x14ac:dyDescent="0.2">
      <c r="A121" s="263" t="s">
        <v>189</v>
      </c>
      <c r="B121" s="283">
        <v>1</v>
      </c>
      <c r="C121" s="249" t="s">
        <v>283</v>
      </c>
    </row>
    <row r="122" spans="1:3" s="249" customFormat="1" x14ac:dyDescent="0.2">
      <c r="A122" s="263" t="s">
        <v>190</v>
      </c>
      <c r="B122" s="283">
        <v>1</v>
      </c>
      <c r="C122" s="249" t="s">
        <v>47</v>
      </c>
    </row>
    <row r="123" spans="1:3" s="249" customFormat="1" x14ac:dyDescent="0.2">
      <c r="A123" s="263" t="s">
        <v>191</v>
      </c>
      <c r="B123" s="283">
        <v>1</v>
      </c>
      <c r="C123" s="249" t="s">
        <v>47</v>
      </c>
    </row>
    <row r="124" spans="1:3" s="249" customFormat="1" x14ac:dyDescent="0.2">
      <c r="A124" s="263" t="s">
        <v>199</v>
      </c>
      <c r="B124" s="283">
        <v>1</v>
      </c>
      <c r="C124" s="249" t="s">
        <v>30</v>
      </c>
    </row>
    <row r="125" spans="1:3" s="249" customFormat="1" x14ac:dyDescent="0.2">
      <c r="A125" s="249" t="s">
        <v>193</v>
      </c>
      <c r="B125" s="283">
        <v>1</v>
      </c>
      <c r="C125" s="249" t="s">
        <v>283</v>
      </c>
    </row>
    <row r="126" spans="1:3" s="249" customFormat="1" x14ac:dyDescent="0.2">
      <c r="A126" s="249" t="s">
        <v>196</v>
      </c>
      <c r="B126" s="283">
        <v>1</v>
      </c>
      <c r="C126" s="249" t="s">
        <v>283</v>
      </c>
    </row>
    <row r="127" spans="1:3" s="249" customFormat="1" x14ac:dyDescent="0.2">
      <c r="A127" s="268" t="s">
        <v>197</v>
      </c>
      <c r="B127" s="283">
        <v>1</v>
      </c>
      <c r="C127" s="249" t="s">
        <v>47</v>
      </c>
    </row>
    <row r="128" spans="1:3" s="249" customFormat="1" x14ac:dyDescent="0.2">
      <c r="A128" s="262" t="s">
        <v>198</v>
      </c>
      <c r="B128" s="283">
        <v>1</v>
      </c>
      <c r="C128" s="249" t="s">
        <v>47</v>
      </c>
    </row>
    <row r="129" spans="1:3" s="249" customFormat="1" x14ac:dyDescent="0.2">
      <c r="A129" s="263" t="s">
        <v>200</v>
      </c>
      <c r="B129" s="283">
        <v>1</v>
      </c>
      <c r="C129" s="249" t="s">
        <v>30</v>
      </c>
    </row>
    <row r="130" spans="1:3" s="249" customFormat="1" x14ac:dyDescent="0.2">
      <c r="A130" s="262" t="s">
        <v>255</v>
      </c>
      <c r="B130" s="284">
        <v>1</v>
      </c>
    </row>
    <row r="131" spans="1:3" s="249" customFormat="1" x14ac:dyDescent="0.2">
      <c r="A131" s="249" t="s">
        <v>83</v>
      </c>
      <c r="B131" s="284">
        <v>0.5</v>
      </c>
    </row>
    <row r="132" spans="1:3" s="249" customFormat="1" ht="15" x14ac:dyDescent="0.2">
      <c r="A132" s="518" t="s">
        <v>180</v>
      </c>
      <c r="B132" s="518"/>
      <c r="C132" s="518"/>
    </row>
    <row r="133" spans="1:3" s="249" customFormat="1" x14ac:dyDescent="0.2">
      <c r="A133" s="262" t="s">
        <v>374</v>
      </c>
      <c r="B133" s="283">
        <v>55</v>
      </c>
      <c r="C133" s="263" t="s">
        <v>54</v>
      </c>
    </row>
    <row r="134" spans="1:3" s="249" customFormat="1" x14ac:dyDescent="0.2">
      <c r="A134" s="262" t="s">
        <v>375</v>
      </c>
      <c r="B134" s="283">
        <v>55</v>
      </c>
      <c r="C134" s="263" t="s">
        <v>54</v>
      </c>
    </row>
    <row r="135" spans="1:3" s="249" customFormat="1" x14ac:dyDescent="0.2">
      <c r="A135" s="262" t="s">
        <v>376</v>
      </c>
      <c r="B135" s="283">
        <v>55</v>
      </c>
      <c r="C135" s="267" t="s">
        <v>359</v>
      </c>
    </row>
    <row r="136" spans="1:3" s="249" customFormat="1" x14ac:dyDescent="0.2">
      <c r="A136" s="262" t="s">
        <v>377</v>
      </c>
      <c r="B136" s="283">
        <v>55</v>
      </c>
      <c r="C136" s="267" t="s">
        <v>359</v>
      </c>
    </row>
    <row r="137" spans="1:3" s="249" customFormat="1" x14ac:dyDescent="0.2">
      <c r="A137" s="267" t="s">
        <v>378</v>
      </c>
      <c r="B137" s="284">
        <v>5</v>
      </c>
      <c r="C137" s="262" t="s">
        <v>30</v>
      </c>
    </row>
    <row r="138" spans="1:3" s="249" customFormat="1" x14ac:dyDescent="0.2">
      <c r="A138" s="267" t="s">
        <v>379</v>
      </c>
      <c r="B138" s="284">
        <v>5</v>
      </c>
      <c r="C138" s="262" t="s">
        <v>30</v>
      </c>
    </row>
    <row r="139" spans="1:3" s="249" customFormat="1" x14ac:dyDescent="0.2">
      <c r="A139" s="262" t="s">
        <v>380</v>
      </c>
      <c r="B139" s="283">
        <v>55</v>
      </c>
      <c r="C139" s="267" t="s">
        <v>254</v>
      </c>
    </row>
    <row r="140" spans="1:3" s="249" customFormat="1" x14ac:dyDescent="0.2">
      <c r="A140" s="262" t="s">
        <v>381</v>
      </c>
      <c r="B140" s="283">
        <v>55</v>
      </c>
      <c r="C140" s="267" t="s">
        <v>254</v>
      </c>
    </row>
    <row r="141" spans="1:3" s="249" customFormat="1" x14ac:dyDescent="0.2">
      <c r="A141" s="262" t="s">
        <v>382</v>
      </c>
      <c r="B141" s="283">
        <v>55</v>
      </c>
      <c r="C141" s="267" t="s">
        <v>254</v>
      </c>
    </row>
    <row r="142" spans="1:3" s="249" customFormat="1" x14ac:dyDescent="0.2">
      <c r="A142" s="262" t="s">
        <v>383</v>
      </c>
      <c r="B142" s="283">
        <v>55</v>
      </c>
      <c r="C142" s="267" t="s">
        <v>254</v>
      </c>
    </row>
    <row r="143" spans="1:3" s="249" customFormat="1" x14ac:dyDescent="0.2">
      <c r="A143" s="262" t="s">
        <v>479</v>
      </c>
      <c r="B143" s="283">
        <v>55</v>
      </c>
      <c r="C143" s="267" t="s">
        <v>254</v>
      </c>
    </row>
    <row r="144" spans="1:3" s="249" customFormat="1" x14ac:dyDescent="0.2">
      <c r="A144" s="262" t="s">
        <v>480</v>
      </c>
      <c r="B144" s="283">
        <v>55</v>
      </c>
      <c r="C144" s="267" t="s">
        <v>254</v>
      </c>
    </row>
    <row r="145" spans="1:3" s="249" customFormat="1" x14ac:dyDescent="0.2">
      <c r="A145" s="262" t="s">
        <v>481</v>
      </c>
      <c r="B145" s="283">
        <v>55</v>
      </c>
      <c r="C145" s="267" t="s">
        <v>254</v>
      </c>
    </row>
    <row r="146" spans="1:3" s="249" customFormat="1" x14ac:dyDescent="0.2">
      <c r="A146" s="262" t="s">
        <v>482</v>
      </c>
      <c r="B146" s="283">
        <v>55</v>
      </c>
      <c r="C146" s="267" t="s">
        <v>254</v>
      </c>
    </row>
    <row r="147" spans="1:3" s="249" customFormat="1" x14ac:dyDescent="0.2">
      <c r="A147" s="262" t="s">
        <v>326</v>
      </c>
      <c r="B147" s="283">
        <v>55</v>
      </c>
      <c r="C147" s="262" t="s">
        <v>254</v>
      </c>
    </row>
    <row r="148" spans="1:3" s="249" customFormat="1" x14ac:dyDescent="0.2">
      <c r="A148" s="262" t="s">
        <v>327</v>
      </c>
      <c r="B148" s="283">
        <v>55</v>
      </c>
      <c r="C148" s="262" t="s">
        <v>254</v>
      </c>
    </row>
    <row r="149" spans="1:3" s="249" customFormat="1" x14ac:dyDescent="0.2">
      <c r="A149" s="262" t="s">
        <v>483</v>
      </c>
      <c r="B149" s="283">
        <v>55</v>
      </c>
      <c r="C149" s="267" t="s">
        <v>254</v>
      </c>
    </row>
    <row r="150" spans="1:3" s="249" customFormat="1" x14ac:dyDescent="0.2">
      <c r="A150" s="262" t="s">
        <v>484</v>
      </c>
      <c r="B150" s="283">
        <v>55</v>
      </c>
      <c r="C150" s="267" t="s">
        <v>254</v>
      </c>
    </row>
    <row r="151" spans="1:3" s="249" customFormat="1" x14ac:dyDescent="0.2">
      <c r="A151" s="262" t="s">
        <v>324</v>
      </c>
      <c r="B151" s="283">
        <v>55</v>
      </c>
      <c r="C151" s="262" t="s">
        <v>254</v>
      </c>
    </row>
    <row r="152" spans="1:3" s="249" customFormat="1" x14ac:dyDescent="0.2">
      <c r="A152" s="262" t="s">
        <v>325</v>
      </c>
      <c r="B152" s="283">
        <v>55</v>
      </c>
      <c r="C152" s="262" t="s">
        <v>254</v>
      </c>
    </row>
    <row r="153" spans="1:3" s="249" customFormat="1" x14ac:dyDescent="0.2">
      <c r="A153" s="262" t="s">
        <v>328</v>
      </c>
      <c r="B153" s="283">
        <v>55</v>
      </c>
      <c r="C153" s="262" t="s">
        <v>254</v>
      </c>
    </row>
    <row r="154" spans="1:3" s="249" customFormat="1" x14ac:dyDescent="0.2">
      <c r="A154" s="262" t="s">
        <v>329</v>
      </c>
      <c r="B154" s="283">
        <v>55</v>
      </c>
      <c r="C154" s="262" t="s">
        <v>254</v>
      </c>
    </row>
    <row r="155" spans="1:3" s="249" customFormat="1" x14ac:dyDescent="0.2">
      <c r="A155" s="262" t="s">
        <v>384</v>
      </c>
      <c r="B155" s="284">
        <v>10</v>
      </c>
      <c r="C155" s="93" t="s">
        <v>69</v>
      </c>
    </row>
    <row r="156" spans="1:3" s="249" customFormat="1" x14ac:dyDescent="0.2">
      <c r="A156" s="262" t="s">
        <v>385</v>
      </c>
      <c r="B156" s="284">
        <v>20</v>
      </c>
      <c r="C156" s="93" t="s">
        <v>69</v>
      </c>
    </row>
    <row r="157" spans="1:3" s="249" customFormat="1" x14ac:dyDescent="0.2">
      <c r="A157" s="262" t="s">
        <v>386</v>
      </c>
      <c r="B157" s="284">
        <v>30</v>
      </c>
      <c r="C157" s="93" t="s">
        <v>69</v>
      </c>
    </row>
    <row r="158" spans="1:3" s="249" customFormat="1" x14ac:dyDescent="0.2">
      <c r="A158" s="262" t="s">
        <v>387</v>
      </c>
      <c r="B158" s="284">
        <v>55</v>
      </c>
      <c r="C158" s="262" t="s">
        <v>26</v>
      </c>
    </row>
    <row r="159" spans="1:3" s="249" customFormat="1" x14ac:dyDescent="0.2">
      <c r="A159" s="262" t="s">
        <v>388</v>
      </c>
      <c r="B159" s="284">
        <v>55</v>
      </c>
      <c r="C159" s="262" t="s">
        <v>26</v>
      </c>
    </row>
    <row r="160" spans="1:3" s="249" customFormat="1" x14ac:dyDescent="0.2">
      <c r="A160" s="262" t="s">
        <v>389</v>
      </c>
      <c r="B160" s="283">
        <v>15</v>
      </c>
      <c r="C160" s="263" t="s">
        <v>224</v>
      </c>
    </row>
    <row r="161" spans="1:3" s="249" customFormat="1" x14ac:dyDescent="0.2">
      <c r="A161" s="262" t="s">
        <v>390</v>
      </c>
      <c r="B161" s="283">
        <v>15</v>
      </c>
      <c r="C161" s="263" t="s">
        <v>224</v>
      </c>
    </row>
    <row r="162" spans="1:3" s="249" customFormat="1" x14ac:dyDescent="0.2">
      <c r="A162" s="262" t="s">
        <v>396</v>
      </c>
      <c r="B162" s="283">
        <v>15</v>
      </c>
      <c r="C162" s="263" t="s">
        <v>224</v>
      </c>
    </row>
    <row r="163" spans="1:3" s="249" customFormat="1" x14ac:dyDescent="0.2">
      <c r="A163" s="249" t="s">
        <v>393</v>
      </c>
      <c r="B163" s="283">
        <v>2</v>
      </c>
      <c r="C163" s="267" t="s">
        <v>395</v>
      </c>
    </row>
    <row r="164" spans="1:3" s="249" customFormat="1" x14ac:dyDescent="0.2">
      <c r="A164" s="249" t="s">
        <v>394</v>
      </c>
      <c r="B164" s="283">
        <v>2</v>
      </c>
      <c r="C164" s="267" t="s">
        <v>395</v>
      </c>
    </row>
    <row r="165" spans="1:3" s="249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249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249" customFormat="1" x14ac:dyDescent="0.2">
      <c r="A167" s="262" t="s">
        <v>397</v>
      </c>
      <c r="B167" s="283">
        <v>2</v>
      </c>
      <c r="C167" s="267" t="s">
        <v>166</v>
      </c>
    </row>
    <row r="168" spans="1:3" s="249" customFormat="1" x14ac:dyDescent="0.2">
      <c r="A168" s="262" t="s">
        <v>398</v>
      </c>
      <c r="B168" s="283">
        <v>2</v>
      </c>
      <c r="C168" s="267" t="s">
        <v>166</v>
      </c>
    </row>
    <row r="169" spans="1:3" s="249" customFormat="1" x14ac:dyDescent="0.2">
      <c r="A169" s="262" t="s">
        <v>103</v>
      </c>
      <c r="B169" s="283">
        <v>0.4</v>
      </c>
      <c r="C169" s="247"/>
    </row>
    <row r="170" spans="1:3" s="249" customFormat="1" x14ac:dyDescent="0.2">
      <c r="A170" s="262" t="s">
        <v>158</v>
      </c>
      <c r="B170" s="283">
        <v>0.4</v>
      </c>
      <c r="C170" s="247"/>
    </row>
    <row r="171" spans="1:3" s="249" customFormat="1" x14ac:dyDescent="0.2">
      <c r="A171" s="262" t="s">
        <v>159</v>
      </c>
      <c r="B171" s="282">
        <f>B3</f>
        <v>2.41E-4</v>
      </c>
      <c r="C171" s="247"/>
    </row>
    <row r="172" spans="1:3" s="249" customFormat="1" x14ac:dyDescent="0.2">
      <c r="A172" s="262" t="s">
        <v>62</v>
      </c>
      <c r="B172" s="282">
        <f>B4</f>
        <v>0.753</v>
      </c>
      <c r="C172" s="247"/>
    </row>
    <row r="173" spans="1:3" s="249" customFormat="1" x14ac:dyDescent="0.2">
      <c r="A173" s="262" t="s">
        <v>255</v>
      </c>
      <c r="B173" s="284">
        <v>2</v>
      </c>
      <c r="C173" s="247"/>
    </row>
    <row r="174" spans="1:3" s="249" customFormat="1" x14ac:dyDescent="0.2">
      <c r="A174" s="267" t="s">
        <v>399</v>
      </c>
      <c r="B174" s="283">
        <v>2</v>
      </c>
      <c r="C174" s="247"/>
    </row>
    <row r="175" spans="1:3" s="249" customFormat="1" x14ac:dyDescent="0.2">
      <c r="A175" s="267" t="s">
        <v>400</v>
      </c>
      <c r="B175" s="283">
        <v>2</v>
      </c>
      <c r="C175" s="247"/>
    </row>
    <row r="176" spans="1:3" s="249" customFormat="1" x14ac:dyDescent="0.2">
      <c r="A176" s="267" t="s">
        <v>401</v>
      </c>
      <c r="B176" s="283">
        <v>2</v>
      </c>
      <c r="C176" s="247"/>
    </row>
    <row r="177" spans="1:3" s="249" customFormat="1" x14ac:dyDescent="0.2">
      <c r="A177" s="267" t="s">
        <v>402</v>
      </c>
      <c r="B177" s="283">
        <v>2</v>
      </c>
      <c r="C177" s="247"/>
    </row>
    <row r="178" spans="1:3" s="249" customFormat="1" x14ac:dyDescent="0.2">
      <c r="A178" s="267" t="s">
        <v>403</v>
      </c>
      <c r="B178" s="283">
        <v>2</v>
      </c>
      <c r="C178" s="247"/>
    </row>
    <row r="179" spans="1:3" s="249" customFormat="1" x14ac:dyDescent="0.2">
      <c r="A179" s="267" t="s">
        <v>404</v>
      </c>
      <c r="B179" s="283">
        <v>2</v>
      </c>
      <c r="C179" s="247"/>
    </row>
    <row r="180" spans="1:3" s="249" customFormat="1" x14ac:dyDescent="0.2">
      <c r="A180" s="267" t="s">
        <v>405</v>
      </c>
      <c r="B180" s="284">
        <v>2</v>
      </c>
      <c r="C180" s="247"/>
    </row>
    <row r="181" spans="1:3" s="249" customFormat="1" x14ac:dyDescent="0.2">
      <c r="A181" s="262" t="s">
        <v>41</v>
      </c>
      <c r="B181" s="284">
        <v>3.62</v>
      </c>
      <c r="C181" s="249" t="s">
        <v>42</v>
      </c>
    </row>
    <row r="182" spans="1:3" s="249" customFormat="1" x14ac:dyDescent="0.2">
      <c r="A182" s="262" t="s">
        <v>46</v>
      </c>
      <c r="B182" s="284">
        <v>0.25</v>
      </c>
      <c r="C182" s="249" t="s">
        <v>47</v>
      </c>
    </row>
    <row r="183" spans="1:3" s="249" customFormat="1" x14ac:dyDescent="0.2">
      <c r="A183" s="267" t="s">
        <v>60</v>
      </c>
      <c r="B183" s="284">
        <v>10950</v>
      </c>
      <c r="C183" s="249" t="s">
        <v>61</v>
      </c>
    </row>
    <row r="184" spans="1:3" s="249" customFormat="1" x14ac:dyDescent="0.2">
      <c r="A184" s="267" t="s">
        <v>65</v>
      </c>
      <c r="B184" s="284">
        <v>240</v>
      </c>
      <c r="C184" s="249" t="s">
        <v>66</v>
      </c>
    </row>
    <row r="185" spans="1:3" s="249" customFormat="1" x14ac:dyDescent="0.2">
      <c r="A185" s="267" t="s">
        <v>76</v>
      </c>
      <c r="B185" s="284">
        <v>0.42</v>
      </c>
      <c r="C185" s="249" t="s">
        <v>47</v>
      </c>
    </row>
    <row r="186" spans="1:3" s="249" customFormat="1" x14ac:dyDescent="0.2">
      <c r="A186" s="267" t="s">
        <v>85</v>
      </c>
      <c r="B186" s="284">
        <v>60</v>
      </c>
      <c r="C186" s="262" t="s">
        <v>61</v>
      </c>
    </row>
    <row r="187" spans="1:3" s="249" customFormat="1" x14ac:dyDescent="0.2">
      <c r="A187" s="267" t="s">
        <v>87</v>
      </c>
      <c r="B187" s="284">
        <v>2</v>
      </c>
      <c r="C187" s="262" t="s">
        <v>66</v>
      </c>
    </row>
    <row r="188" spans="1:3" s="249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249" customFormat="1" x14ac:dyDescent="0.2">
      <c r="A189" s="267" t="s">
        <v>91</v>
      </c>
      <c r="B189" s="284">
        <v>1</v>
      </c>
      <c r="C189" s="249" t="s">
        <v>47</v>
      </c>
    </row>
    <row r="190" spans="1:3" s="249" customFormat="1" x14ac:dyDescent="0.2">
      <c r="A190" s="267" t="s">
        <v>92</v>
      </c>
      <c r="B190" s="284">
        <v>14</v>
      </c>
      <c r="C190" s="249" t="s">
        <v>93</v>
      </c>
    </row>
    <row r="191" spans="1:3" s="249" customFormat="1" x14ac:dyDescent="0.2">
      <c r="A191" s="262" t="s">
        <v>29</v>
      </c>
      <c r="B191" s="284">
        <v>92</v>
      </c>
      <c r="C191" s="262" t="s">
        <v>30</v>
      </c>
    </row>
    <row r="192" spans="1:3" s="249" customFormat="1" x14ac:dyDescent="0.2">
      <c r="A192" s="249" t="s">
        <v>287</v>
      </c>
      <c r="B192" s="283">
        <v>1.03</v>
      </c>
      <c r="C192" s="249" t="s">
        <v>288</v>
      </c>
    </row>
    <row r="193" spans="1:3" s="249" customFormat="1" x14ac:dyDescent="0.2">
      <c r="A193" s="262" t="s">
        <v>406</v>
      </c>
      <c r="B193" s="284">
        <v>20.3</v>
      </c>
      <c r="C193" s="249" t="s">
        <v>283</v>
      </c>
    </row>
    <row r="194" spans="1:3" s="249" customFormat="1" x14ac:dyDescent="0.2">
      <c r="A194" s="262" t="s">
        <v>407</v>
      </c>
      <c r="B194" s="284">
        <v>0.4</v>
      </c>
      <c r="C194" s="249" t="s">
        <v>283</v>
      </c>
    </row>
    <row r="195" spans="1:3" s="249" customFormat="1" x14ac:dyDescent="0.2">
      <c r="A195" s="262" t="s">
        <v>408</v>
      </c>
      <c r="B195" s="284">
        <v>1</v>
      </c>
      <c r="C195" s="247"/>
    </row>
    <row r="196" spans="1:3" s="249" customFormat="1" x14ac:dyDescent="0.2">
      <c r="A196" s="262" t="s">
        <v>409</v>
      </c>
      <c r="B196" s="284">
        <v>1</v>
      </c>
      <c r="C196" s="247"/>
    </row>
    <row r="197" spans="1:3" s="249" customFormat="1" x14ac:dyDescent="0.2">
      <c r="A197" s="262" t="s">
        <v>31</v>
      </c>
      <c r="B197" s="284">
        <v>53</v>
      </c>
      <c r="C197" s="262" t="s">
        <v>30</v>
      </c>
    </row>
    <row r="198" spans="1:3" s="249" customFormat="1" x14ac:dyDescent="0.2">
      <c r="A198" s="262" t="s">
        <v>410</v>
      </c>
      <c r="B198" s="284">
        <v>11.77</v>
      </c>
      <c r="C198" s="249" t="s">
        <v>283</v>
      </c>
    </row>
    <row r="199" spans="1:3" s="249" customFormat="1" x14ac:dyDescent="0.2">
      <c r="A199" s="262" t="s">
        <v>411</v>
      </c>
      <c r="B199" s="284">
        <v>0.5</v>
      </c>
      <c r="C199" s="249" t="s">
        <v>283</v>
      </c>
    </row>
    <row r="200" spans="1:3" s="249" customFormat="1" x14ac:dyDescent="0.2">
      <c r="A200" s="262" t="s">
        <v>412</v>
      </c>
      <c r="B200" s="284">
        <v>1</v>
      </c>
      <c r="C200" s="247"/>
    </row>
    <row r="201" spans="1:3" s="249" customFormat="1" x14ac:dyDescent="0.2">
      <c r="A201" s="262" t="s">
        <v>413</v>
      </c>
      <c r="B201" s="284">
        <v>1</v>
      </c>
      <c r="C201" s="247"/>
    </row>
    <row r="202" spans="1:3" s="249" customFormat="1" x14ac:dyDescent="0.2">
      <c r="A202" s="262" t="s">
        <v>173</v>
      </c>
      <c r="B202" s="283">
        <v>0.4</v>
      </c>
      <c r="C202" s="262" t="s">
        <v>30</v>
      </c>
    </row>
    <row r="203" spans="1:3" s="249" customFormat="1" x14ac:dyDescent="0.2">
      <c r="A203" s="262" t="s">
        <v>177</v>
      </c>
      <c r="B203" s="284">
        <v>0.2</v>
      </c>
      <c r="C203" s="249" t="s">
        <v>283</v>
      </c>
    </row>
    <row r="204" spans="1:3" s="249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249" customFormat="1" x14ac:dyDescent="0.2">
      <c r="A205" s="262" t="s">
        <v>178</v>
      </c>
      <c r="B205" s="283">
        <v>1</v>
      </c>
      <c r="C205" s="247"/>
    </row>
    <row r="206" spans="1:3" s="249" customFormat="1" x14ac:dyDescent="0.2">
      <c r="A206" s="262" t="s">
        <v>179</v>
      </c>
      <c r="B206" s="283">
        <v>1</v>
      </c>
      <c r="C206" s="247"/>
    </row>
    <row r="207" spans="1:3" s="249" customFormat="1" x14ac:dyDescent="0.2">
      <c r="A207" s="262" t="s">
        <v>414</v>
      </c>
      <c r="B207" s="283">
        <v>0.4</v>
      </c>
      <c r="C207" s="262" t="s">
        <v>30</v>
      </c>
    </row>
    <row r="208" spans="1:3" s="249" customFormat="1" x14ac:dyDescent="0.2">
      <c r="A208" s="262" t="s">
        <v>415</v>
      </c>
      <c r="B208" s="284">
        <v>0.2</v>
      </c>
      <c r="C208" s="249" t="s">
        <v>283</v>
      </c>
    </row>
    <row r="209" spans="1:3" s="249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249" customFormat="1" x14ac:dyDescent="0.2">
      <c r="A210" s="262" t="s">
        <v>417</v>
      </c>
      <c r="B210" s="284">
        <v>1</v>
      </c>
      <c r="C210" s="247"/>
    </row>
    <row r="211" spans="1:3" s="249" customFormat="1" x14ac:dyDescent="0.2">
      <c r="A211" s="262" t="s">
        <v>418</v>
      </c>
      <c r="B211" s="284">
        <v>1</v>
      </c>
      <c r="C211" s="247"/>
    </row>
    <row r="212" spans="1:3" s="249" customFormat="1" x14ac:dyDescent="0.2">
      <c r="A212" s="262" t="s">
        <v>174</v>
      </c>
      <c r="B212" s="284">
        <v>11.4</v>
      </c>
      <c r="C212" s="262" t="s">
        <v>30</v>
      </c>
    </row>
    <row r="213" spans="1:3" s="249" customFormat="1" x14ac:dyDescent="0.2">
      <c r="A213" s="262" t="s">
        <v>419</v>
      </c>
      <c r="B213" s="284">
        <v>4.7</v>
      </c>
      <c r="C213" s="249" t="s">
        <v>283</v>
      </c>
    </row>
    <row r="214" spans="1:3" s="249" customFormat="1" x14ac:dyDescent="0.2">
      <c r="A214" s="262" t="s">
        <v>420</v>
      </c>
      <c r="B214" s="284">
        <v>0.37</v>
      </c>
      <c r="C214" s="249" t="s">
        <v>283</v>
      </c>
    </row>
    <row r="215" spans="1:3" s="249" customFormat="1" x14ac:dyDescent="0.2">
      <c r="A215" s="262" t="s">
        <v>421</v>
      </c>
      <c r="B215" s="284">
        <v>1</v>
      </c>
      <c r="C215" s="247"/>
    </row>
    <row r="216" spans="1:3" s="249" customFormat="1" x14ac:dyDescent="0.2">
      <c r="A216" s="262" t="s">
        <v>422</v>
      </c>
      <c r="B216" s="284">
        <v>1</v>
      </c>
      <c r="C216" s="247"/>
    </row>
    <row r="217" spans="1:3" s="249" customFormat="1" x14ac:dyDescent="0.2">
      <c r="A217" s="249" t="s">
        <v>83</v>
      </c>
      <c r="B217" s="284">
        <v>0.5</v>
      </c>
    </row>
    <row r="218" spans="1:3" s="249" customFormat="1" x14ac:dyDescent="0.2">
      <c r="A218" s="558" t="s">
        <v>423</v>
      </c>
      <c r="B218" s="558"/>
      <c r="C218" s="558"/>
    </row>
    <row r="219" spans="1:3" s="249" customFormat="1" x14ac:dyDescent="0.2">
      <c r="A219" s="249" t="s">
        <v>424</v>
      </c>
      <c r="B219" s="283">
        <v>55</v>
      </c>
      <c r="C219" s="263" t="s">
        <v>359</v>
      </c>
    </row>
    <row r="220" spans="1:3" s="249" customFormat="1" x14ac:dyDescent="0.2">
      <c r="A220" s="262" t="s">
        <v>425</v>
      </c>
      <c r="B220" s="283">
        <v>55</v>
      </c>
      <c r="C220" s="249" t="s">
        <v>26</v>
      </c>
    </row>
    <row r="221" spans="1:3" s="249" customFormat="1" x14ac:dyDescent="0.2">
      <c r="A221" s="262" t="s">
        <v>75</v>
      </c>
      <c r="B221" s="284">
        <v>5</v>
      </c>
      <c r="C221" s="249" t="s">
        <v>69</v>
      </c>
    </row>
    <row r="222" spans="1:3" s="249" customFormat="1" x14ac:dyDescent="0.2">
      <c r="A222" s="262" t="s">
        <v>426</v>
      </c>
      <c r="B222" s="283">
        <v>55</v>
      </c>
      <c r="C222" s="263" t="s">
        <v>54</v>
      </c>
    </row>
    <row r="223" spans="1:3" s="249" customFormat="1" x14ac:dyDescent="0.2">
      <c r="A223" s="249" t="s">
        <v>353</v>
      </c>
      <c r="B223" s="284">
        <v>1</v>
      </c>
      <c r="C223" s="247"/>
    </row>
    <row r="224" spans="1:3" s="249" customFormat="1" x14ac:dyDescent="0.2">
      <c r="A224" s="262" t="s">
        <v>56</v>
      </c>
      <c r="B224" s="284">
        <v>1</v>
      </c>
      <c r="C224" s="247"/>
    </row>
    <row r="225" spans="1:3" s="249" customFormat="1" x14ac:dyDescent="0.2">
      <c r="A225" s="262" t="s">
        <v>52</v>
      </c>
      <c r="B225" s="284">
        <v>0.4</v>
      </c>
      <c r="C225" s="247"/>
    </row>
    <row r="226" spans="1:3" s="249" customFormat="1" x14ac:dyDescent="0.2">
      <c r="A226" s="262" t="s">
        <v>62</v>
      </c>
      <c r="B226" s="284">
        <v>1</v>
      </c>
      <c r="C226" s="247"/>
    </row>
    <row r="227" spans="1:3" s="249" customFormat="1" x14ac:dyDescent="0.2">
      <c r="A227" s="262" t="s">
        <v>467</v>
      </c>
      <c r="B227" s="283">
        <v>2</v>
      </c>
      <c r="C227" s="249" t="s">
        <v>224</v>
      </c>
    </row>
    <row r="228" spans="1:3" s="249" customFormat="1" x14ac:dyDescent="0.2">
      <c r="A228" s="262" t="s">
        <v>468</v>
      </c>
      <c r="B228" s="283">
        <v>3</v>
      </c>
      <c r="C228" s="249" t="s">
        <v>224</v>
      </c>
    </row>
    <row r="229" spans="1:3" s="249" customFormat="1" x14ac:dyDescent="0.2">
      <c r="A229" s="262" t="s">
        <v>103</v>
      </c>
      <c r="B229" s="283">
        <v>0.4</v>
      </c>
      <c r="C229" s="247"/>
    </row>
    <row r="230" spans="1:3" s="249" customFormat="1" x14ac:dyDescent="0.2">
      <c r="A230" s="558" t="s">
        <v>427</v>
      </c>
      <c r="B230" s="558"/>
      <c r="C230" s="558"/>
    </row>
    <row r="231" spans="1:3" s="249" customFormat="1" x14ac:dyDescent="0.2">
      <c r="A231" s="249" t="s">
        <v>428</v>
      </c>
      <c r="B231" s="283">
        <v>55</v>
      </c>
      <c r="C231" s="263" t="s">
        <v>359</v>
      </c>
    </row>
    <row r="232" spans="1:3" s="249" customFormat="1" x14ac:dyDescent="0.2">
      <c r="A232" s="262" t="s">
        <v>40</v>
      </c>
      <c r="B232" s="283">
        <v>55</v>
      </c>
      <c r="C232" s="249" t="s">
        <v>26</v>
      </c>
    </row>
    <row r="233" spans="1:3" s="249" customFormat="1" x14ac:dyDescent="0.2">
      <c r="A233" s="262" t="s">
        <v>429</v>
      </c>
      <c r="B233" s="284">
        <v>5</v>
      </c>
      <c r="C233" s="249" t="s">
        <v>69</v>
      </c>
    </row>
    <row r="234" spans="1:3" s="249" customFormat="1" x14ac:dyDescent="0.2">
      <c r="A234" s="262" t="s">
        <v>79</v>
      </c>
      <c r="B234" s="283">
        <v>55</v>
      </c>
      <c r="C234" s="263" t="s">
        <v>54</v>
      </c>
    </row>
    <row r="235" spans="1:3" s="249" customFormat="1" x14ac:dyDescent="0.2">
      <c r="A235" s="249" t="s">
        <v>353</v>
      </c>
      <c r="B235" s="284">
        <v>1</v>
      </c>
      <c r="C235" s="247"/>
    </row>
    <row r="236" spans="1:3" s="249" customFormat="1" x14ac:dyDescent="0.2">
      <c r="A236" s="262" t="s">
        <v>56</v>
      </c>
      <c r="B236" s="284">
        <v>1</v>
      </c>
      <c r="C236" s="247"/>
    </row>
    <row r="237" spans="1:3" s="249" customFormat="1" x14ac:dyDescent="0.2">
      <c r="A237" s="262" t="s">
        <v>52</v>
      </c>
      <c r="B237" s="284">
        <v>0.4</v>
      </c>
      <c r="C237" s="247"/>
    </row>
    <row r="238" spans="1:3" s="249" customFormat="1" x14ac:dyDescent="0.2">
      <c r="A238" s="262" t="s">
        <v>62</v>
      </c>
      <c r="B238" s="284">
        <v>1</v>
      </c>
      <c r="C238" s="247"/>
    </row>
    <row r="239" spans="1:3" s="249" customFormat="1" x14ac:dyDescent="0.2">
      <c r="A239" s="262" t="s">
        <v>469</v>
      </c>
      <c r="B239" s="283">
        <v>0</v>
      </c>
      <c r="C239" s="249" t="s">
        <v>224</v>
      </c>
    </row>
    <row r="240" spans="1:3" s="249" customFormat="1" x14ac:dyDescent="0.2">
      <c r="A240" s="262" t="s">
        <v>470</v>
      </c>
      <c r="B240" s="283">
        <v>5</v>
      </c>
      <c r="C240" s="249" t="s">
        <v>224</v>
      </c>
    </row>
    <row r="241" spans="1:3" s="249" customFormat="1" x14ac:dyDescent="0.2">
      <c r="A241" s="262" t="s">
        <v>103</v>
      </c>
      <c r="B241" s="283">
        <v>0.4</v>
      </c>
      <c r="C241" s="247"/>
    </row>
    <row r="242" spans="1:3" s="249" customFormat="1" x14ac:dyDescent="0.2">
      <c r="A242" s="558" t="s">
        <v>430</v>
      </c>
      <c r="B242" s="558"/>
      <c r="C242" s="558"/>
    </row>
    <row r="243" spans="1:3" s="249" customFormat="1" x14ac:dyDescent="0.2">
      <c r="A243" s="249" t="s">
        <v>58</v>
      </c>
      <c r="B243" s="283">
        <v>55</v>
      </c>
      <c r="C243" s="263" t="s">
        <v>359</v>
      </c>
    </row>
    <row r="244" spans="1:3" s="249" customFormat="1" x14ac:dyDescent="0.2">
      <c r="A244" s="262" t="s">
        <v>431</v>
      </c>
      <c r="B244" s="283">
        <v>55</v>
      </c>
      <c r="C244" s="249" t="s">
        <v>26</v>
      </c>
    </row>
    <row r="245" spans="1:3" s="249" customFormat="1" x14ac:dyDescent="0.2">
      <c r="A245" s="262" t="s">
        <v>432</v>
      </c>
      <c r="B245" s="284">
        <v>5</v>
      </c>
      <c r="C245" s="249" t="s">
        <v>69</v>
      </c>
    </row>
    <row r="246" spans="1:3" s="249" customFormat="1" x14ac:dyDescent="0.2">
      <c r="A246" s="262" t="s">
        <v>433</v>
      </c>
      <c r="B246" s="283">
        <v>55</v>
      </c>
      <c r="C246" s="263" t="s">
        <v>54</v>
      </c>
    </row>
    <row r="247" spans="1:3" s="249" customFormat="1" x14ac:dyDescent="0.2">
      <c r="A247" s="249" t="s">
        <v>353</v>
      </c>
      <c r="B247" s="284">
        <v>1</v>
      </c>
      <c r="C247" s="247"/>
    </row>
    <row r="248" spans="1:3" s="249" customFormat="1" x14ac:dyDescent="0.2">
      <c r="A248" s="262" t="s">
        <v>56</v>
      </c>
      <c r="B248" s="284">
        <v>1</v>
      </c>
      <c r="C248" s="247"/>
    </row>
    <row r="249" spans="1:3" s="249" customFormat="1" x14ac:dyDescent="0.2">
      <c r="A249" s="262" t="s">
        <v>52</v>
      </c>
      <c r="B249" s="284">
        <v>0.4</v>
      </c>
      <c r="C249" s="247"/>
    </row>
    <row r="250" spans="1:3" s="249" customFormat="1" x14ac:dyDescent="0.2">
      <c r="A250" s="262" t="s">
        <v>62</v>
      </c>
      <c r="B250" s="284">
        <v>1</v>
      </c>
      <c r="C250" s="247"/>
    </row>
    <row r="251" spans="1:3" s="249" customFormat="1" x14ac:dyDescent="0.2">
      <c r="A251" s="262" t="s">
        <v>466</v>
      </c>
      <c r="B251" s="283">
        <v>5</v>
      </c>
      <c r="C251" s="249" t="s">
        <v>224</v>
      </c>
    </row>
    <row r="252" spans="1:3" s="249" customFormat="1" x14ac:dyDescent="0.2">
      <c r="A252" s="262" t="s">
        <v>465</v>
      </c>
      <c r="B252" s="283">
        <v>0</v>
      </c>
      <c r="C252" s="249" t="s">
        <v>224</v>
      </c>
    </row>
    <row r="253" spans="1:3" s="249" customFormat="1" x14ac:dyDescent="0.2">
      <c r="A253" s="262" t="s">
        <v>103</v>
      </c>
      <c r="B253" s="283">
        <v>0.4</v>
      </c>
      <c r="C253" s="247"/>
    </row>
    <row r="254" spans="1:3" s="249" customFormat="1" x14ac:dyDescent="0.2">
      <c r="A254" s="558" t="s">
        <v>434</v>
      </c>
      <c r="B254" s="558"/>
      <c r="C254" s="558"/>
    </row>
    <row r="255" spans="1:3" s="249" customFormat="1" x14ac:dyDescent="0.2">
      <c r="A255" s="249" t="s">
        <v>435</v>
      </c>
      <c r="B255" s="283">
        <v>55</v>
      </c>
      <c r="C255" s="263" t="s">
        <v>359</v>
      </c>
    </row>
    <row r="256" spans="1:3" s="249" customFormat="1" x14ac:dyDescent="0.2">
      <c r="A256" s="262" t="s">
        <v>221</v>
      </c>
      <c r="B256" s="283">
        <v>55</v>
      </c>
      <c r="C256" s="249" t="s">
        <v>26</v>
      </c>
    </row>
    <row r="257" spans="1:3" s="249" customFormat="1" x14ac:dyDescent="0.2">
      <c r="A257" s="262" t="s">
        <v>186</v>
      </c>
      <c r="B257" s="284">
        <v>5</v>
      </c>
      <c r="C257" s="249" t="s">
        <v>69</v>
      </c>
    </row>
    <row r="258" spans="1:3" s="249" customFormat="1" x14ac:dyDescent="0.2">
      <c r="A258" s="262" t="s">
        <v>436</v>
      </c>
      <c r="B258" s="283">
        <v>55</v>
      </c>
      <c r="C258" s="263" t="s">
        <v>54</v>
      </c>
    </row>
    <row r="259" spans="1:3" s="249" customFormat="1" x14ac:dyDescent="0.2">
      <c r="A259" s="249" t="s">
        <v>353</v>
      </c>
      <c r="B259" s="284">
        <v>1</v>
      </c>
      <c r="C259" s="247"/>
    </row>
    <row r="260" spans="1:3" s="249" customFormat="1" x14ac:dyDescent="0.2">
      <c r="A260" s="262" t="s">
        <v>56</v>
      </c>
      <c r="B260" s="284">
        <v>1</v>
      </c>
      <c r="C260" s="247"/>
    </row>
    <row r="261" spans="1:3" s="249" customFormat="1" x14ac:dyDescent="0.2">
      <c r="A261" s="262" t="s">
        <v>52</v>
      </c>
      <c r="B261" s="284">
        <v>0.4</v>
      </c>
      <c r="C261" s="247"/>
    </row>
    <row r="262" spans="1:3" s="249" customFormat="1" x14ac:dyDescent="0.2">
      <c r="A262" s="262" t="s">
        <v>62</v>
      </c>
      <c r="B262" s="284">
        <v>1</v>
      </c>
      <c r="C262" s="247"/>
    </row>
    <row r="263" spans="1:3" s="249" customFormat="1" x14ac:dyDescent="0.2">
      <c r="A263" s="262" t="s">
        <v>471</v>
      </c>
      <c r="B263" s="283">
        <v>5</v>
      </c>
      <c r="C263" s="249" t="s">
        <v>224</v>
      </c>
    </row>
    <row r="264" spans="1:3" s="249" customFormat="1" x14ac:dyDescent="0.2">
      <c r="A264" s="262" t="s">
        <v>472</v>
      </c>
      <c r="B264" s="283">
        <v>0</v>
      </c>
      <c r="C264" s="249" t="s">
        <v>224</v>
      </c>
    </row>
    <row r="265" spans="1:3" s="249" customFormat="1" x14ac:dyDescent="0.2">
      <c r="A265" s="262" t="s">
        <v>103</v>
      </c>
      <c r="B265" s="283">
        <v>0.4</v>
      </c>
      <c r="C265" s="247"/>
    </row>
    <row r="266" spans="1:3" s="249" customFormat="1" x14ac:dyDescent="0.2">
      <c r="A266" s="262" t="s">
        <v>220</v>
      </c>
      <c r="B266" s="283">
        <v>5</v>
      </c>
      <c r="C266" s="249" t="s">
        <v>129</v>
      </c>
    </row>
    <row r="267" spans="1:3" s="249" customFormat="1" x14ac:dyDescent="0.2">
      <c r="A267" s="262" t="s">
        <v>219</v>
      </c>
      <c r="B267" s="283">
        <v>11</v>
      </c>
      <c r="C267" s="249" t="s">
        <v>130</v>
      </c>
    </row>
    <row r="268" spans="1:3" s="249" customFormat="1" x14ac:dyDescent="0.2">
      <c r="A268" s="558" t="s">
        <v>437</v>
      </c>
      <c r="B268" s="558"/>
      <c r="C268" s="558"/>
    </row>
    <row r="269" spans="1:3" s="249" customFormat="1" x14ac:dyDescent="0.2">
      <c r="A269" s="249" t="s">
        <v>435</v>
      </c>
      <c r="B269" s="283">
        <v>55</v>
      </c>
      <c r="C269" s="263" t="s">
        <v>359</v>
      </c>
    </row>
    <row r="270" spans="1:3" s="249" customFormat="1" x14ac:dyDescent="0.2">
      <c r="A270" s="262" t="s">
        <v>221</v>
      </c>
      <c r="B270" s="283">
        <v>55</v>
      </c>
      <c r="C270" s="249" t="s">
        <v>26</v>
      </c>
    </row>
    <row r="271" spans="1:3" s="249" customFormat="1" x14ac:dyDescent="0.2">
      <c r="A271" s="262" t="s">
        <v>186</v>
      </c>
      <c r="B271" s="284">
        <v>5</v>
      </c>
      <c r="C271" s="249" t="s">
        <v>69</v>
      </c>
    </row>
    <row r="272" spans="1:3" s="249" customFormat="1" x14ac:dyDescent="0.2">
      <c r="A272" s="262" t="s">
        <v>436</v>
      </c>
      <c r="B272" s="283">
        <v>55</v>
      </c>
      <c r="C272" s="263" t="s">
        <v>54</v>
      </c>
    </row>
    <row r="273" spans="1:3" s="249" customFormat="1" x14ac:dyDescent="0.2">
      <c r="A273" s="262" t="s">
        <v>56</v>
      </c>
      <c r="B273" s="284">
        <v>1</v>
      </c>
      <c r="C273" s="247"/>
    </row>
    <row r="274" spans="1:3" s="249" customFormat="1" x14ac:dyDescent="0.2">
      <c r="A274" s="262" t="s">
        <v>52</v>
      </c>
      <c r="B274" s="284">
        <v>0.4</v>
      </c>
      <c r="C274" s="247"/>
    </row>
    <row r="275" spans="1:3" s="249" customFormat="1" x14ac:dyDescent="0.2">
      <c r="A275" s="262" t="s">
        <v>62</v>
      </c>
      <c r="B275" s="284">
        <v>1</v>
      </c>
      <c r="C275" s="247"/>
    </row>
    <row r="276" spans="1:3" s="249" customFormat="1" x14ac:dyDescent="0.2">
      <c r="A276" s="262" t="s">
        <v>471</v>
      </c>
      <c r="B276" s="283">
        <v>5</v>
      </c>
      <c r="C276" s="249" t="s">
        <v>224</v>
      </c>
    </row>
    <row r="277" spans="1:3" s="249" customFormat="1" x14ac:dyDescent="0.2">
      <c r="A277" s="262" t="s">
        <v>472</v>
      </c>
      <c r="B277" s="283">
        <v>0</v>
      </c>
      <c r="C277" s="249" t="s">
        <v>224</v>
      </c>
    </row>
    <row r="278" spans="1:3" s="249" customFormat="1" x14ac:dyDescent="0.2">
      <c r="A278" s="262" t="s">
        <v>103</v>
      </c>
      <c r="B278" s="283">
        <v>0.4</v>
      </c>
      <c r="C278" s="247"/>
    </row>
    <row r="279" spans="1:3" s="249" customFormat="1" x14ac:dyDescent="0.2">
      <c r="A279" s="262" t="s">
        <v>220</v>
      </c>
      <c r="B279" s="283">
        <v>5</v>
      </c>
      <c r="C279" s="249" t="s">
        <v>129</v>
      </c>
    </row>
    <row r="280" spans="1:3" s="249" customFormat="1" x14ac:dyDescent="0.2">
      <c r="A280" s="262" t="s">
        <v>219</v>
      </c>
      <c r="B280" s="283">
        <v>11</v>
      </c>
      <c r="C280" s="249" t="s">
        <v>130</v>
      </c>
    </row>
    <row r="281" spans="1:3" s="249" customFormat="1" x14ac:dyDescent="0.2">
      <c r="A281" s="663" t="s">
        <v>576</v>
      </c>
      <c r="B281" s="663"/>
      <c r="C281" s="663"/>
    </row>
    <row r="282" spans="1:3" s="249" customFormat="1" x14ac:dyDescent="0.2">
      <c r="A282" s="263" t="s">
        <v>577</v>
      </c>
      <c r="B282" s="283">
        <v>2</v>
      </c>
    </row>
    <row r="283" spans="1:3" s="249" customFormat="1" x14ac:dyDescent="0.2">
      <c r="A283" s="249" t="s">
        <v>100</v>
      </c>
      <c r="B283" s="283">
        <v>0.6</v>
      </c>
    </row>
    <row r="284" spans="1:3" s="249" customFormat="1" x14ac:dyDescent="0.2">
      <c r="A284" s="249" t="s">
        <v>107</v>
      </c>
      <c r="B284" s="283">
        <v>20</v>
      </c>
      <c r="C284" s="249" t="s">
        <v>69</v>
      </c>
    </row>
    <row r="285" spans="1:3" s="249" customFormat="1" x14ac:dyDescent="0.2">
      <c r="A285" s="263" t="s">
        <v>39</v>
      </c>
      <c r="B285" s="283">
        <v>50</v>
      </c>
      <c r="C285" s="249" t="s">
        <v>69</v>
      </c>
    </row>
    <row r="286" spans="1:3" s="249" customFormat="1" x14ac:dyDescent="0.2">
      <c r="A286" s="263" t="s">
        <v>83</v>
      </c>
      <c r="B286" s="283">
        <v>2</v>
      </c>
      <c r="C286" s="249" t="s">
        <v>582</v>
      </c>
    </row>
    <row r="287" spans="1:3" s="249" customFormat="1" x14ac:dyDescent="0.2">
      <c r="A287" s="249" t="s">
        <v>109</v>
      </c>
      <c r="B287" s="283">
        <v>2</v>
      </c>
      <c r="C287" s="249" t="s">
        <v>110</v>
      </c>
    </row>
    <row r="288" spans="1:3" s="249" customFormat="1" x14ac:dyDescent="0.2">
      <c r="A288" s="249" t="s">
        <v>114</v>
      </c>
      <c r="B288" s="283">
        <v>0.36</v>
      </c>
      <c r="C288" s="249" t="s">
        <v>582</v>
      </c>
    </row>
    <row r="289" spans="1:3" s="249" customFormat="1" x14ac:dyDescent="0.2">
      <c r="A289" s="249" t="s">
        <v>116</v>
      </c>
      <c r="B289" s="283">
        <v>2</v>
      </c>
      <c r="C289" s="249" t="s">
        <v>113</v>
      </c>
    </row>
    <row r="290" spans="1:3" s="249" customFormat="1" x14ac:dyDescent="0.2">
      <c r="A290" s="249" t="s">
        <v>118</v>
      </c>
      <c r="B290" s="283">
        <v>2</v>
      </c>
      <c r="C290" s="249" t="s">
        <v>113</v>
      </c>
    </row>
    <row r="291" spans="1:3" s="249" customFormat="1" x14ac:dyDescent="0.2">
      <c r="A291" s="249" t="s">
        <v>119</v>
      </c>
      <c r="B291" s="283">
        <v>2</v>
      </c>
      <c r="C291" s="249" t="s">
        <v>113</v>
      </c>
    </row>
    <row r="293" spans="1:3" s="249" customFormat="1" x14ac:dyDescent="0.2">
      <c r="A293" s="263" t="s">
        <v>315</v>
      </c>
      <c r="B293" s="284">
        <v>241</v>
      </c>
    </row>
    <row r="294" spans="1:3" s="249" customFormat="1" x14ac:dyDescent="0.2">
      <c r="A294" s="266" t="s">
        <v>310</v>
      </c>
      <c r="B294" s="284">
        <v>2.8000000000000002E-12</v>
      </c>
    </row>
    <row r="295" spans="1:3" s="249" customFormat="1" x14ac:dyDescent="0.2">
      <c r="A295" s="266" t="s">
        <v>310</v>
      </c>
      <c r="B295" s="284">
        <v>2.8000000000000001E-15</v>
      </c>
    </row>
  </sheetData>
  <mergeCells count="336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N19:CN21"/>
    <mergeCell ref="CO19:CO21"/>
    <mergeCell ref="CP19:CP21"/>
    <mergeCell ref="CQ19:CQ21"/>
    <mergeCell ref="CR19:CR21"/>
    <mergeCell ref="CS19:CS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G19:CG21"/>
    <mergeCell ref="CK19:CK21"/>
    <mergeCell ref="CL19:CL21"/>
    <mergeCell ref="CM19:CM21"/>
    <mergeCell ref="CB18:CD18"/>
    <mergeCell ref="CE18:CG18"/>
    <mergeCell ref="CK18:CM18"/>
    <mergeCell ref="CN18:CP18"/>
    <mergeCell ref="GY2:GY4"/>
    <mergeCell ref="GZ2:GZ4"/>
    <mergeCell ref="HA2:HA4"/>
    <mergeCell ref="HB2:HB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CQ18:CS18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U2:AU4"/>
    <mergeCell ref="AV2:AV4"/>
    <mergeCell ref="AW2:AW4"/>
    <mergeCell ref="AN2:AN4"/>
    <mergeCell ref="AO2:AO4"/>
    <mergeCell ref="AP2:AP4"/>
    <mergeCell ref="AQ2:AQ4"/>
    <mergeCell ref="AR2:AR4"/>
    <mergeCell ref="BC2:BC4"/>
    <mergeCell ref="GU1:GW1"/>
    <mergeCell ref="GX1:GZ1"/>
    <mergeCell ref="HA1:HC1"/>
    <mergeCell ref="HD1:HF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DX1:DZ1"/>
    <mergeCell ref="FN1:FP1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AC2:AC4"/>
    <mergeCell ref="CT1:CV1"/>
    <mergeCell ref="CW1:CY1"/>
    <mergeCell ref="CZ1:DB1"/>
    <mergeCell ref="DC1:DE1"/>
    <mergeCell ref="Y1:AA1"/>
    <mergeCell ref="AB1:AB4"/>
    <mergeCell ref="AI1:AK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AL2:AL4"/>
    <mergeCell ref="AM2:AM4"/>
    <mergeCell ref="AD2:AD4"/>
    <mergeCell ref="AE2:AE4"/>
    <mergeCell ref="AF2:AF4"/>
    <mergeCell ref="AG2:AG4"/>
    <mergeCell ref="AH2:AH4"/>
    <mergeCell ref="AI2:AI4"/>
    <mergeCell ref="AJ2:AJ4"/>
    <mergeCell ref="AK2:AK4"/>
    <mergeCell ref="FB1:FD1"/>
    <mergeCell ref="FE1:FG1"/>
    <mergeCell ref="FH1:FJ1"/>
    <mergeCell ref="FK1:FM1"/>
    <mergeCell ref="EM1:EO1"/>
    <mergeCell ref="EP1:ER1"/>
    <mergeCell ref="ES1:EU1"/>
    <mergeCell ref="EV1:EX1"/>
    <mergeCell ref="EY1:FA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S2:AS4"/>
    <mergeCell ref="AT2:AT4"/>
    <mergeCell ref="GC1:GE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DF1:DH1"/>
    <mergeCell ref="CE1:CG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O2:O4"/>
    <mergeCell ref="P2:P4"/>
    <mergeCell ref="Q2:Q4"/>
    <mergeCell ref="A5:C5"/>
    <mergeCell ref="R2:R4"/>
    <mergeCell ref="S2:S4"/>
    <mergeCell ref="T2:T4"/>
    <mergeCell ref="U2:U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5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9.85546875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85546875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9.85546875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8.85546875" style="289" bestFit="1" customWidth="1"/>
    <col min="127" max="127" width="6.28515625" style="249" bestFit="1" customWidth="1"/>
    <col min="128" max="128" width="12" style="249" bestFit="1" customWidth="1"/>
    <col min="129" max="129" width="8.85546875" style="289" bestFit="1" customWidth="1"/>
    <col min="130" max="130" width="6.285156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8.85546875" style="289" bestFit="1" customWidth="1"/>
    <col min="142" max="142" width="6.28515625" style="249" bestFit="1" customWidth="1"/>
    <col min="143" max="143" width="12" style="249" bestFit="1" customWidth="1"/>
    <col min="144" max="144" width="8.85546875" style="289" bestFit="1" customWidth="1"/>
    <col min="145" max="145" width="7.42578125" style="249" bestFit="1" customWidth="1"/>
    <col min="146" max="146" width="12" style="249" bestFit="1" customWidth="1"/>
    <col min="147" max="147" width="8.8554687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8.85546875" style="289" bestFit="1" customWidth="1"/>
    <col min="157" max="157" width="6.28515625" style="249" bestFit="1" customWidth="1"/>
    <col min="158" max="158" width="8.5703125" style="249" bestFit="1" customWidth="1"/>
    <col min="159" max="159" width="8.85546875" style="289" bestFit="1" customWidth="1"/>
    <col min="160" max="160" width="7.42578125" style="249" bestFit="1" customWidth="1"/>
    <col min="161" max="161" width="10.140625" style="249" bestFit="1" customWidth="1"/>
    <col min="162" max="162" width="8.8554687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7.42578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7.42578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8.85546875" style="289" bestFit="1" customWidth="1"/>
    <col min="202" max="202" width="6.28515625" style="249" bestFit="1" customWidth="1"/>
    <col min="203" max="203" width="12" style="249" bestFit="1" customWidth="1"/>
    <col min="204" max="204" width="8.85546875" style="289" bestFit="1" customWidth="1"/>
    <col min="205" max="205" width="7.42578125" style="249" bestFit="1" customWidth="1"/>
    <col min="206" max="206" width="12" style="249" bestFit="1" customWidth="1"/>
    <col min="207" max="207" width="8.8554687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thickTop="1" thickBot="1" x14ac:dyDescent="0.25">
      <c r="A1" s="682" t="s">
        <v>8</v>
      </c>
      <c r="B1" s="683"/>
      <c r="C1" s="684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703"/>
      <c r="CB1" s="409" t="s">
        <v>535</v>
      </c>
      <c r="CC1" s="407"/>
      <c r="CD1" s="414"/>
      <c r="CE1" s="406" t="s">
        <v>536</v>
      </c>
      <c r="CF1" s="407"/>
      <c r="CG1" s="414"/>
      <c r="CH1" s="406" t="s">
        <v>537</v>
      </c>
      <c r="CI1" s="407"/>
      <c r="CJ1" s="408"/>
      <c r="CK1" s="409" t="s">
        <v>538</v>
      </c>
      <c r="CL1" s="407"/>
      <c r="CM1" s="414"/>
      <c r="CN1" s="406" t="s">
        <v>538</v>
      </c>
      <c r="CO1" s="407"/>
      <c r="CP1" s="414"/>
      <c r="CQ1" s="406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1/((1/H10)+(1/H11)+(1/H12)+(1/H13))</f>
        <v>8.8245146725348218E-12</v>
      </c>
      <c r="I2" s="625" t="s">
        <v>313</v>
      </c>
      <c r="J2" s="619" t="s">
        <v>507</v>
      </c>
      <c r="K2" s="623">
        <f>1/((1/K14)+(1/K15)+(1/K16)+(1/K17))</f>
        <v>1.3290366521834745E-8</v>
      </c>
      <c r="L2" s="621" t="s">
        <v>311</v>
      </c>
      <c r="M2" s="617" t="s">
        <v>516</v>
      </c>
      <c r="N2" s="647">
        <f>((N5*N6*N7)/((1-EXP(-N7*N6))*N10*N15*(N9/365)*N13*(((N14/24)*N12)+((N16/24)*N11))))*N8*N17*N18</f>
        <v>1.021585688778543E-8</v>
      </c>
      <c r="O2" s="615" t="s">
        <v>311</v>
      </c>
      <c r="P2" s="639" t="s">
        <v>516</v>
      </c>
      <c r="Q2" s="647">
        <f>((Q5*Q6*Q7)/((1-EXP(-Q7*Q6))*Q10*Q15*(Q9/365)*Q13*(((Q14/24)*Q12)+((Q16/24)*Q11))))*Q8*Q17*Q18</f>
        <v>7.860124545881843E-9</v>
      </c>
      <c r="R2" s="637" t="s">
        <v>311</v>
      </c>
      <c r="S2" s="641" t="s">
        <v>516</v>
      </c>
      <c r="T2" s="647">
        <f>((T5*T6*T7)/((1-EXP(-T7*T6))*T10*T15*(T9/365)*T13*(((T14/24)*T12)+((T16/24)*T11))))*T8*T17*T18</f>
        <v>1.795673813780841E-9</v>
      </c>
      <c r="U2" s="643" t="s">
        <v>311</v>
      </c>
      <c r="V2" s="55"/>
      <c r="W2" s="357"/>
      <c r="X2" s="56"/>
      <c r="Y2" s="57"/>
      <c r="Z2" s="357"/>
      <c r="AA2" s="58"/>
      <c r="AB2" s="650"/>
      <c r="AC2" s="660">
        <f>1/((1/AC32)+(1/AC33)+(1/AC34))</f>
        <v>5.4115592241397768E-8</v>
      </c>
      <c r="AD2" s="657">
        <f>1/((1/AD32)+(1/AD33)+(1/AD34))</f>
        <v>1.3504421794911529E-7</v>
      </c>
      <c r="AE2" s="657">
        <f>1/((1/AE32)+(1/AE33)+(1/AE34))</f>
        <v>5.4115592241397768E-8</v>
      </c>
      <c r="AF2" s="657">
        <f>1/((1/AF32)+(1/AF33)+(1/AF34))</f>
        <v>8.2713125460270086E-7</v>
      </c>
      <c r="AG2" s="654">
        <f>1/((1/AG32)+(1/AG33)+(1/AG34))</f>
        <v>8.4161303877199174E-7</v>
      </c>
      <c r="AH2" s="652" t="s">
        <v>311</v>
      </c>
      <c r="AI2" s="381" t="s">
        <v>516</v>
      </c>
      <c r="AJ2" s="387">
        <f>((AJ5*AJ6*AJ7)/((1-EXP(-AJ7*AJ6))*AJ15*(AJ9/365)*AJ10*(AJ16/24)*AJ11*AJ13))*AJ8*AJ17*AJ18</f>
        <v>1.3545264921746717E-7</v>
      </c>
      <c r="AK2" s="629" t="s">
        <v>311</v>
      </c>
      <c r="AL2" s="383" t="s">
        <v>516</v>
      </c>
      <c r="AM2" s="387">
        <f>((AM5*AM6*AM7)/((1-EXP(-AM7*AM6))*AM15*(AM9/365)*AM10*(AM16/24)*AM11*AM13))*AM8*AM17*AM18</f>
        <v>6.632045324952701E-7</v>
      </c>
      <c r="AN2" s="629" t="s">
        <v>311</v>
      </c>
      <c r="AO2" s="383" t="s">
        <v>516</v>
      </c>
      <c r="AP2" s="387">
        <f>((AP5*AP6*AP7)/((1-EXP(-AP7*AP6))*AP15*(AP9/365)*AP10*(AP16/24)*AP11*AP13))*AP8*AP17*AP18</f>
        <v>1.5151146845458955E-7</v>
      </c>
      <c r="AQ2" s="635" t="s">
        <v>311</v>
      </c>
      <c r="AR2" s="381" t="s">
        <v>516</v>
      </c>
      <c r="AS2" s="387">
        <f>((AS5*AS6*AS7)/((1-EXP(-AS7*AS6))*AS15*(AS9/365)*AS10*(AS14/24)*AS12*AS13))*AS8*AS17*AS18</f>
        <v>5.4181059686986862E-8</v>
      </c>
      <c r="AT2" s="391" t="s">
        <v>311</v>
      </c>
      <c r="AU2" s="383" t="s">
        <v>516</v>
      </c>
      <c r="AV2" s="387">
        <f>((AV5*AV6*AV7)/((1-EXP(-AV7*AV6))*AV15*(AV9/365)*AV10*(AV14/24)*AV12*AV13))*AV8*AV17*AV18</f>
        <v>2.6528181299810806E-7</v>
      </c>
      <c r="AW2" s="391" t="s">
        <v>311</v>
      </c>
      <c r="AX2" s="383" t="s">
        <v>516</v>
      </c>
      <c r="AY2" s="387">
        <f>((AY5*AY6*AY7)/((1-EXP(-AY7*AY6))*AY15*(AY9/365)*AY10*(AY14/24)*AY12*AY13))*AY8*AY17*AY18</f>
        <v>6.0604587381835825E-8</v>
      </c>
      <c r="AZ2" s="385" t="s">
        <v>311</v>
      </c>
      <c r="BA2" s="381" t="s">
        <v>516</v>
      </c>
      <c r="BB2" s="387">
        <f>((BB5*BB6*BB7)/((1-EXP(-BB7*BB6))*BB15*(BB9/365)*BB10*((BB14+BB16)/24)*BB12*BB13))*BB8*BB17*BB18</f>
        <v>5.4181059686986862E-8</v>
      </c>
      <c r="BC2" s="391" t="s">
        <v>311</v>
      </c>
      <c r="BD2" s="383" t="s">
        <v>516</v>
      </c>
      <c r="BE2" s="387">
        <f>((BE5*BE6*BE7)/((1-EXP(-BE7*BE6))*BE15*(BE9/365)*BE10*((BE14+BE16)/24)*BE12*BE13))*BE8*BE17*BE18</f>
        <v>2.6528181299810806E-7</v>
      </c>
      <c r="BF2" s="391" t="s">
        <v>311</v>
      </c>
      <c r="BG2" s="383" t="s">
        <v>516</v>
      </c>
      <c r="BH2" s="387">
        <f>((BH5*BH6*BH7)/((1-EXP(-BH7*BH6))*BH15*(BH9/365)*BH10*((BH14+BH16)/24)*BH12*BH13))*BH8*BH17*BH18</f>
        <v>6.0604587381835825E-8</v>
      </c>
      <c r="BI2" s="385" t="s">
        <v>311</v>
      </c>
      <c r="BJ2" s="381" t="s">
        <v>558</v>
      </c>
      <c r="BK2" s="389">
        <f>((BK5*BK6*BK7)/((1-EXP(-BK7*BK6))*BK12*BK16*(BK9/365)*BK14*(BK15/24)*BK13))*BK8*BK17*BK18</f>
        <v>8.5805283283321126E-7</v>
      </c>
      <c r="BL2" s="391" t="s">
        <v>311</v>
      </c>
      <c r="BM2" s="383" t="s">
        <v>559</v>
      </c>
      <c r="BN2" s="389">
        <f>((BN5*BN6*BN7)/((1-EXP(-BN7*BN6))*BN12*BN16*(BN9/365)*BN14*(BN15/24)*BN13))*BN8*BN17*BN18</f>
        <v>9.3822370016554659E-6</v>
      </c>
      <c r="BO2" s="391" t="s">
        <v>311</v>
      </c>
      <c r="BP2" s="383" t="s">
        <v>560</v>
      </c>
      <c r="BQ2" s="389">
        <f>((BQ5*BQ6*BQ7)/((1-EXP(-BQ7*BQ6))*BQ12*BQ16*(BQ9/365)*BQ14*(BQ15/24)*BQ13))*BQ8*BQ17*BQ18</f>
        <v>1.1373368698548935E-6</v>
      </c>
      <c r="BR2" s="385" t="s">
        <v>311</v>
      </c>
      <c r="BS2" s="59"/>
      <c r="BT2" s="110"/>
      <c r="BU2" s="250"/>
      <c r="BV2" s="402" t="s">
        <v>563</v>
      </c>
      <c r="BW2" s="400">
        <f>1/((1/BW10)+(1/BW11))</f>
        <v>6.8481522468306474E-11</v>
      </c>
      <c r="BX2" s="404" t="s">
        <v>313</v>
      </c>
      <c r="BY2" s="402" t="s">
        <v>563</v>
      </c>
      <c r="BZ2" s="400">
        <f>1/((1/BZ13)+(1/BZ14)+(1/BZ15))</f>
        <v>6.7293663656479581E-7</v>
      </c>
      <c r="CA2" s="398" t="s">
        <v>311</v>
      </c>
      <c r="CB2" s="410" t="s">
        <v>558</v>
      </c>
      <c r="CC2" s="400">
        <f>((CC5*CC6*CC7)/((1-EXP(-CC7*CC6))*CC10*CC14*(CC9/365)*CC12*(CC13/24)*CC11))*CC8*CC15*CC16</f>
        <v>7.5917029900295584E-7</v>
      </c>
      <c r="CD2" s="404" t="s">
        <v>311</v>
      </c>
      <c r="CE2" s="402" t="s">
        <v>559</v>
      </c>
      <c r="CF2" s="400">
        <f>((CF5*CF6*CF7)/((1-EXP(-CF7*CF6))*CF10*CF14*(CF9/365)*CF12*(CF13/24)*CF11))*CF8*CF15*CF16</f>
        <v>8.3010222649633637E-6</v>
      </c>
      <c r="CG2" s="404" t="s">
        <v>311</v>
      </c>
      <c r="CH2" s="402" t="s">
        <v>560</v>
      </c>
      <c r="CI2" s="400">
        <f>((CI5*CI6*CI7)/((1-EXP(-CI7*CI6))*CI10*CI14*(CI9/365)*CI12*(CI13/24)*CI11))*CI8*CI15*CI16</f>
        <v>1.0062694725962873E-6</v>
      </c>
      <c r="CJ2" s="398" t="s">
        <v>311</v>
      </c>
      <c r="CK2" s="410" t="s">
        <v>510</v>
      </c>
      <c r="CL2" s="400">
        <f>(CL5/(CL6*CL7*CL8*CL9))*CL11*CL10*CL15</f>
        <v>2.7935144850867625E-7</v>
      </c>
      <c r="CM2" s="404" t="s">
        <v>311</v>
      </c>
      <c r="CN2" s="402" t="s">
        <v>7</v>
      </c>
      <c r="CO2" s="400">
        <f>(CL2/(CO5*((CO10*CO12*CO13*(CO6+CO7))+(CO11*CO12))))*CL13</f>
        <v>4.8315851596570599E-5</v>
      </c>
      <c r="CP2" s="412" t="s">
        <v>311</v>
      </c>
      <c r="CQ2" s="402" t="s">
        <v>6</v>
      </c>
      <c r="CR2" s="400">
        <f>CL2/(CR5*CR6*(1/CR7))</f>
        <v>1.0346349944765787E-4</v>
      </c>
      <c r="CS2" s="415" t="s">
        <v>313</v>
      </c>
      <c r="CT2" s="208"/>
      <c r="CU2" s="61"/>
      <c r="CV2" s="62"/>
      <c r="CW2" s="63"/>
      <c r="CX2" s="151"/>
      <c r="CY2" s="64"/>
      <c r="CZ2" s="65"/>
      <c r="DA2" s="66"/>
      <c r="DB2" s="67"/>
      <c r="DC2" s="704" t="s">
        <v>510</v>
      </c>
      <c r="DD2" s="674">
        <f>((DD5)/(DD6*(DD7+DD10)*DD20))*DD22*DD23*DD24</f>
        <v>1.5006482771127236E-9</v>
      </c>
      <c r="DE2" s="706" t="s">
        <v>311</v>
      </c>
      <c r="DF2" s="670" t="s">
        <v>510</v>
      </c>
      <c r="DG2" s="668">
        <f>(DD2/((1/DG24)*(DG5+DG6+DG7)))</f>
        <v>1.3484674960543989E-7</v>
      </c>
      <c r="DH2" s="666" t="s">
        <v>313</v>
      </c>
      <c r="DI2" s="680" t="s">
        <v>510</v>
      </c>
      <c r="DJ2" s="668">
        <f>(DD2/(DJ5+DJ6))*CU11</f>
        <v>7.2806906094333586E-9</v>
      </c>
      <c r="DK2" s="666" t="s">
        <v>313</v>
      </c>
      <c r="DL2" s="680" t="s">
        <v>554</v>
      </c>
      <c r="DM2" s="668">
        <f>(DD2/(DM5+DM6))*((DM9*DD21)/(1-EXP(-DD21*DM9)))</f>
        <v>7.2806906094333586E-9</v>
      </c>
      <c r="DN2" s="666" t="s">
        <v>313</v>
      </c>
      <c r="DO2" s="680" t="s">
        <v>553</v>
      </c>
      <c r="DP2" s="668">
        <f>-(DP5+DP6+DP7)/(DP23+DP24)</f>
        <v>-39.016043743831744</v>
      </c>
      <c r="DQ2" s="678" t="s">
        <v>19</v>
      </c>
      <c r="DR2" s="556" t="s">
        <v>510</v>
      </c>
      <c r="DS2" s="460">
        <f>(DS5/(DS6*DS7*DS16))*DS19*DS20*DS21</f>
        <v>3.0012965542254471E-9</v>
      </c>
      <c r="DT2" s="466" t="s">
        <v>311</v>
      </c>
      <c r="DU2" s="464" t="s">
        <v>510</v>
      </c>
      <c r="DV2" s="462">
        <f>DS2/(DV5*(1/DV8)*DV6*(1/DV7))</f>
        <v>7.304667889537359E-6</v>
      </c>
      <c r="DW2" s="480" t="s">
        <v>313</v>
      </c>
      <c r="DX2" s="478" t="s">
        <v>510</v>
      </c>
      <c r="DY2" s="462">
        <f>(DS2/(DY9*(1/DY14)*((DY10*DY12*DY13*(DY5+DY6))+(DY11*DY12))))*CU11</f>
        <v>1.5336966194442457E-7</v>
      </c>
      <c r="DZ2" s="480" t="s">
        <v>313</v>
      </c>
      <c r="EA2" s="478" t="s">
        <v>554</v>
      </c>
      <c r="EB2" s="462">
        <f>(DS2/(EB9*(1/EB14)*((EB10*EB12*EB13*(EB5+EB6))+(EB11*EB12))))*((EB15*DS18)/(1-EXP(-DS18*EB15)))</f>
        <v>1.5336966194442457E-7</v>
      </c>
      <c r="EC2" s="480" t="s">
        <v>313</v>
      </c>
      <c r="ED2" s="478" t="s">
        <v>553</v>
      </c>
      <c r="EE2" s="462">
        <f>-EE15/((EE10*EE12*EE13*(EE5+EE6))+(EE11*EE12))</f>
        <v>-15.172254564045053</v>
      </c>
      <c r="EF2" s="476" t="s">
        <v>19</v>
      </c>
      <c r="EG2" s="474" t="s">
        <v>510</v>
      </c>
      <c r="EH2" s="472">
        <f>(EH5/(EH6*EH7*EH16))*EH19*EH20*EH21</f>
        <v>3.0012965542254471E-9</v>
      </c>
      <c r="EI2" s="470" t="s">
        <v>311</v>
      </c>
      <c r="EJ2" s="468" t="s">
        <v>510</v>
      </c>
      <c r="EK2" s="502">
        <f>EH2/(EK5*EK6*(1/EK7))</f>
        <v>2.5740107669171932E-6</v>
      </c>
      <c r="EL2" s="500" t="s">
        <v>313</v>
      </c>
      <c r="EM2" s="504" t="s">
        <v>510</v>
      </c>
      <c r="EN2" s="502">
        <f>(EH2/(EN9*((EN10*EN12*EN13*(EN5+EN6))+(EN11*EN12))))*CU11</f>
        <v>4.9893443284346017E-8</v>
      </c>
      <c r="EO2" s="500" t="s">
        <v>311</v>
      </c>
      <c r="EP2" s="504" t="s">
        <v>554</v>
      </c>
      <c r="EQ2" s="502">
        <f>(EH2/(EQ9*((EQ10*EQ12*EQ13*(EQ5+EQ6))+(EQ11*EQ12))))*((EQ14*EH18)/(1-EXP(-EH18*EQ14)))</f>
        <v>4.9893443284346017E-8</v>
      </c>
      <c r="ER2" s="500" t="s">
        <v>313</v>
      </c>
      <c r="ES2" s="504" t="s">
        <v>553</v>
      </c>
      <c r="ET2" s="502">
        <f>-ET15/((ET10*ET12*ET13*(ET5+ET6))+(ET11*ET12))</f>
        <v>-14.006971771987642</v>
      </c>
      <c r="EU2" s="514" t="s">
        <v>19</v>
      </c>
      <c r="EV2" s="512" t="s">
        <v>510</v>
      </c>
      <c r="EW2" s="510">
        <f>(EW5/(EW6*EW7*EW16))*EW19*EW20*EW21</f>
        <v>3.0012965542254471E-9</v>
      </c>
      <c r="EX2" s="508" t="s">
        <v>311</v>
      </c>
      <c r="EY2" s="506" t="s">
        <v>510</v>
      </c>
      <c r="EZ2" s="494">
        <f>EW2/(EZ5*EZ6*(1/EZ7))</f>
        <v>1.875810346390904E-5</v>
      </c>
      <c r="FA2" s="498" t="s">
        <v>313</v>
      </c>
      <c r="FB2" s="496" t="s">
        <v>510</v>
      </c>
      <c r="FC2" s="494">
        <f>(EW2/(FC9*((FC10*FC12*FC13*(FC5+FC6))+(FC11*FC12))))*CU11</f>
        <v>1.3346217111366816E-7</v>
      </c>
      <c r="FD2" s="498" t="s">
        <v>311</v>
      </c>
      <c r="FE2" s="496" t="s">
        <v>554</v>
      </c>
      <c r="FF2" s="494">
        <f>(EW2/(FF9*((FF10*FF12*FF13*(FF5+FF6))+(FF11*FF12))))*((FF14*EW18)/(1-EXP(-EW18*FF14)))</f>
        <v>1.3346217111366816E-7</v>
      </c>
      <c r="FG2" s="498" t="s">
        <v>313</v>
      </c>
      <c r="FH2" s="496" t="s">
        <v>553</v>
      </c>
      <c r="FI2" s="494">
        <f>-FI15/((FI10*FI12*FI13*(FI5+FI6))+(FI11*FI12))</f>
        <v>-5.1413881748071981</v>
      </c>
      <c r="FJ2" s="492" t="s">
        <v>19</v>
      </c>
      <c r="FK2" s="490" t="s">
        <v>510</v>
      </c>
      <c r="FL2" s="488">
        <f>(FL5/(FL6*FL7*FL16))*FL19*FL20*FL21</f>
        <v>3.0012965542254471E-9</v>
      </c>
      <c r="FM2" s="486" t="s">
        <v>311</v>
      </c>
      <c r="FN2" s="484" t="s">
        <v>510</v>
      </c>
      <c r="FO2" s="430">
        <f>FL2/(FO5*(1/FO6))</f>
        <v>1.2005186216901789E-9</v>
      </c>
      <c r="FP2" s="428" t="s">
        <v>313</v>
      </c>
      <c r="FQ2" s="482" t="s">
        <v>510</v>
      </c>
      <c r="FR2" s="430">
        <f>((FL2*FR6)/FR5)*CU11</f>
        <v>1.6613371060229414E-11</v>
      </c>
      <c r="FS2" s="428" t="s">
        <v>311</v>
      </c>
      <c r="FT2" s="426" t="s">
        <v>554</v>
      </c>
      <c r="FU2" s="430">
        <f>((FL2*FU6)/FU5)*((FU7*FL18)/(1-EXP(-FL18*FU7)))</f>
        <v>1.6613371060229414E-11</v>
      </c>
      <c r="FV2" s="428" t="s">
        <v>313</v>
      </c>
      <c r="FW2" s="426" t="s">
        <v>553</v>
      </c>
      <c r="FX2" s="430">
        <f>-FX5/FX6</f>
        <v>-0.01</v>
      </c>
      <c r="FY2" s="438" t="s">
        <v>19</v>
      </c>
      <c r="FZ2" s="436" t="s">
        <v>510</v>
      </c>
      <c r="GA2" s="434">
        <f>(GA5/(GA6*GA7*GA16))*GA19*GA20*GA21</f>
        <v>3.0012965542254471E-9</v>
      </c>
      <c r="GB2" s="432" t="s">
        <v>311</v>
      </c>
      <c r="GC2" s="458" t="s">
        <v>510</v>
      </c>
      <c r="GD2" s="417">
        <f>(GA2/(GD5*GD6*(1/GD7)))</f>
        <v>2.7789782909494882E-6</v>
      </c>
      <c r="GE2" s="421" t="s">
        <v>313</v>
      </c>
      <c r="GF2" s="419" t="s">
        <v>510</v>
      </c>
      <c r="GG2" s="417">
        <f>(GA2/((GG9)*((GG10*GG12*GG13*(GG5+GG6))+(GG11*GG12))))*CU11</f>
        <v>1.9772173498321208E-8</v>
      </c>
      <c r="GH2" s="421" t="s">
        <v>311</v>
      </c>
      <c r="GI2" s="419" t="s">
        <v>554</v>
      </c>
      <c r="GJ2" s="417">
        <f>(GA2/((GJ9)*((GJ10*GJ12*GJ13*(GJ5+GJ6))+(GJ11*GJ12))))*((GJ14*GA18)/(1-EXP(-GA18*GJ14)))</f>
        <v>1.9772173498321208E-8</v>
      </c>
      <c r="GK2" s="421" t="s">
        <v>313</v>
      </c>
      <c r="GL2" s="419" t="s">
        <v>553</v>
      </c>
      <c r="GM2" s="417">
        <f>-GM15/((GM10*GM12*GM13*(GM5+GM6))+(GM11*GM12))</f>
        <v>-5.1413881748071981</v>
      </c>
      <c r="GN2" s="456" t="s">
        <v>19</v>
      </c>
      <c r="GO2" s="454" t="s">
        <v>510</v>
      </c>
      <c r="GP2" s="452">
        <f>(GP5/(GP6*GP7*GP15))*GP18*GP19*GP20</f>
        <v>3.0012965542254471E-9</v>
      </c>
      <c r="GQ2" s="450" t="s">
        <v>311</v>
      </c>
      <c r="GR2" s="448" t="s">
        <v>510</v>
      </c>
      <c r="GS2" s="442">
        <f>GP2/(GS5*GS6*(1/GS7))</f>
        <v>1.3163581378181784E-6</v>
      </c>
      <c r="GT2" s="446" t="s">
        <v>313</v>
      </c>
      <c r="GU2" s="444" t="s">
        <v>510</v>
      </c>
      <c r="GV2" s="442">
        <f>(GP2/((GV9)*((GV10*GV12*GV13*(GV5+GV6))+(GV11*GV12))))*CU11</f>
        <v>1.2351581410388845E-8</v>
      </c>
      <c r="GW2" s="446" t="s">
        <v>311</v>
      </c>
      <c r="GX2" s="444" t="s">
        <v>554</v>
      </c>
      <c r="GY2" s="442">
        <f>(GP2/((GY9)*((GY10*GY12*GY13*(GY5+GY6))+(GY11*GY12))))*((GY14*GP17)/(1-EXP(-GP17*GY14)))</f>
        <v>1.2351581410388845E-8</v>
      </c>
      <c r="GZ2" s="446" t="s">
        <v>313</v>
      </c>
      <c r="HA2" s="444" t="s">
        <v>553</v>
      </c>
      <c r="HB2" s="442">
        <f>-HB15/((HB10*HB12*HB13*(HB5+HB6))+(HB11*HB12))</f>
        <v>-6.7804674953904707</v>
      </c>
      <c r="HC2" s="440" t="s">
        <v>19</v>
      </c>
      <c r="HD2" s="251"/>
      <c r="HE2" s="350"/>
      <c r="HF2" s="252"/>
    </row>
    <row r="3" spans="1:214" ht="13.5" thickTop="1" x14ac:dyDescent="0.2">
      <c r="A3" s="278" t="s">
        <v>456</v>
      </c>
      <c r="B3" s="362">
        <v>8.5099999999999995E-2</v>
      </c>
      <c r="C3" s="240"/>
      <c r="D3" s="317" t="s">
        <v>15</v>
      </c>
      <c r="E3" s="285">
        <f>1/((1/E20)+(1/E21))</f>
        <v>2.9882715861902212E-12</v>
      </c>
      <c r="F3" s="253" t="s">
        <v>312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6.0732920955211665E-11</v>
      </c>
      <c r="X3" s="254" t="s">
        <v>312</v>
      </c>
      <c r="Y3" s="321" t="s">
        <v>16</v>
      </c>
      <c r="Z3" s="358">
        <f>1/((1/Z18)+(1/Z19))</f>
        <v>6.0732920955211665E-11</v>
      </c>
      <c r="AA3" s="255" t="s">
        <v>312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4.0456599936113769E-11</v>
      </c>
      <c r="BU3" s="250" t="s">
        <v>312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1.6512849902507618E-11</v>
      </c>
      <c r="CV3" s="71" t="s">
        <v>311</v>
      </c>
      <c r="CW3" s="326" t="s">
        <v>15</v>
      </c>
      <c r="CX3" s="117">
        <f>1/((1/CX20)+(1/CX21))</f>
        <v>3.1801172235724248E-12</v>
      </c>
      <c r="CY3" s="256" t="s">
        <v>312</v>
      </c>
      <c r="CZ3" s="338" t="s">
        <v>285</v>
      </c>
      <c r="DA3" s="336">
        <f>1/((1/DA13)+(1/DA15)+(1/DA16)+(1/DA17)+(1/DA18)+(1/DA19)+(1/DA20)+(1/DA21)+(1/DA22))</f>
        <v>1.1703524375582816E-9</v>
      </c>
      <c r="DB3" s="72" t="s">
        <v>313</v>
      </c>
      <c r="DC3" s="704"/>
      <c r="DD3" s="674"/>
      <c r="DE3" s="706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(HE5*HE13*10^-3*(HE14+(HE9/HE10))*((HE11*HE7)/(1-EXP(-HE7*HE11))))*HE8*HE15*HE16</f>
        <v>5.2303307484902444E-8</v>
      </c>
      <c r="HF3" s="252" t="s">
        <v>311</v>
      </c>
    </row>
    <row r="4" spans="1:214" ht="13.5" thickBot="1" x14ac:dyDescent="0.25">
      <c r="A4" s="279" t="s">
        <v>457</v>
      </c>
      <c r="B4" s="364">
        <v>0.74199999999999999</v>
      </c>
      <c r="C4" s="242"/>
      <c r="D4" s="318" t="s">
        <v>16</v>
      </c>
      <c r="E4" s="286">
        <f>1/((1/E22)+(1/E23))</f>
        <v>3.7271198755755484E-12</v>
      </c>
      <c r="F4" s="257" t="s">
        <v>312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5.7374814454852238E-11</v>
      </c>
      <c r="X4" s="258" t="s">
        <v>312</v>
      </c>
      <c r="Y4" s="322" t="s">
        <v>15</v>
      </c>
      <c r="Z4" s="359">
        <f>1/((1/Z16)+(1/Z17))</f>
        <v>5.7374814454852238E-11</v>
      </c>
      <c r="AA4" s="259" t="s">
        <v>312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5.3734021958357828E-11</v>
      </c>
      <c r="BU4" s="260" t="s">
        <v>312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4.9794434765521571E-9</v>
      </c>
      <c r="CV4" s="73" t="s">
        <v>311</v>
      </c>
      <c r="CW4" s="327" t="s">
        <v>16</v>
      </c>
      <c r="CX4" s="106">
        <f>1/((1/CX22)+(1/CX23))</f>
        <v>4.4008036606590737E-12</v>
      </c>
      <c r="CY4" s="261" t="s">
        <v>312</v>
      </c>
      <c r="CZ4" s="339" t="s">
        <v>11</v>
      </c>
      <c r="DA4" s="337">
        <f>1/((1/DA15)+(1/DA16)+(1/DA13))</f>
        <v>5.0576795810518139E-8</v>
      </c>
      <c r="DB4" s="74" t="s">
        <v>313</v>
      </c>
      <c r="DC4" s="705"/>
      <c r="DD4" s="675"/>
      <c r="DE4" s="707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1.1336561544712791E-13</v>
      </c>
      <c r="HF4" s="75" t="s">
        <v>311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2.7</v>
      </c>
      <c r="CQ5" s="262" t="s">
        <v>264</v>
      </c>
      <c r="CR5" s="287">
        <f>CO5</f>
        <v>2.7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0.66252863179360322</v>
      </c>
      <c r="DH5" s="249" t="s">
        <v>19</v>
      </c>
      <c r="DI5" s="262" t="s">
        <v>20</v>
      </c>
      <c r="DJ5" s="305">
        <f>DJ7</f>
        <v>2.5229999999999999E-2</v>
      </c>
      <c r="DK5" s="262"/>
      <c r="DL5" s="262" t="s">
        <v>20</v>
      </c>
      <c r="DM5" s="305">
        <f>DM7</f>
        <v>2.5229999999999999E-2</v>
      </c>
      <c r="DO5" s="249" t="s">
        <v>18</v>
      </c>
      <c r="DP5" s="118">
        <f>(DP8*DP9*DP10*((1-EXP(-DP11*DP12))))/(DP13*DP11)</f>
        <v>0.66252863179360322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4.5999999999999999E-3</v>
      </c>
      <c r="DW5" s="262"/>
      <c r="DX5" s="262" t="s">
        <v>21</v>
      </c>
      <c r="DY5" s="305">
        <f>DY7</f>
        <v>2.9000000000000001E-2</v>
      </c>
      <c r="DZ5" s="262"/>
      <c r="EA5" s="262" t="s">
        <v>21</v>
      </c>
      <c r="EB5" s="305">
        <f>EB7</f>
        <v>2.9000000000000001E-2</v>
      </c>
      <c r="EC5" s="263"/>
      <c r="ED5" s="262" t="s">
        <v>21</v>
      </c>
      <c r="EE5" s="305">
        <f>EE7</f>
        <v>2.9000000000000001E-2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2.1999999999999999E-2</v>
      </c>
      <c r="EL5" s="262"/>
      <c r="EM5" s="262" t="s">
        <v>21</v>
      </c>
      <c r="EN5" s="305">
        <f>EN7</f>
        <v>2.9000000000000001E-2</v>
      </c>
      <c r="EO5" s="262"/>
      <c r="EP5" s="262" t="s">
        <v>21</v>
      </c>
      <c r="EQ5" s="305">
        <f>EQ7</f>
        <v>2.9000000000000001E-2</v>
      </c>
      <c r="ER5" s="263"/>
      <c r="ES5" s="262" t="s">
        <v>21</v>
      </c>
      <c r="ET5" s="305">
        <f>ET7</f>
        <v>2.9000000000000001E-2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0.4</v>
      </c>
      <c r="FA5" s="262"/>
      <c r="FB5" s="262" t="s">
        <v>21</v>
      </c>
      <c r="FC5" s="305">
        <f>FC7</f>
        <v>2.9000000000000001E-2</v>
      </c>
      <c r="FD5" s="262"/>
      <c r="FE5" s="262" t="s">
        <v>21</v>
      </c>
      <c r="FF5" s="305">
        <f>FF7</f>
        <v>2.9000000000000001E-2</v>
      </c>
      <c r="FG5" s="263"/>
      <c r="FH5" s="263" t="s">
        <v>21</v>
      </c>
      <c r="FI5" s="290">
        <f>FI7</f>
        <v>2.9000000000000001E-2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2500</v>
      </c>
      <c r="FP5" s="263"/>
      <c r="FQ5" s="263" t="s">
        <v>122</v>
      </c>
      <c r="FR5" s="298">
        <f>B36</f>
        <v>2500</v>
      </c>
      <c r="FS5" s="263"/>
      <c r="FT5" s="263" t="s">
        <v>122</v>
      </c>
      <c r="FU5" s="298">
        <f>B36</f>
        <v>2500</v>
      </c>
      <c r="FV5" s="263"/>
      <c r="FW5" s="262" t="s">
        <v>181</v>
      </c>
      <c r="FX5" s="305">
        <f>B46</f>
        <v>10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2.7</v>
      </c>
      <c r="GE5" s="262"/>
      <c r="GF5" s="262" t="s">
        <v>21</v>
      </c>
      <c r="GG5" s="305">
        <f>GG7</f>
        <v>2.9000000000000001E-2</v>
      </c>
      <c r="GH5" s="262"/>
      <c r="GI5" s="262" t="s">
        <v>21</v>
      </c>
      <c r="GJ5" s="305">
        <f>GJ7</f>
        <v>2.9000000000000001E-2</v>
      </c>
      <c r="GK5" s="262"/>
      <c r="GL5" s="262" t="s">
        <v>21</v>
      </c>
      <c r="GM5" s="305">
        <f>GM7</f>
        <v>2.9000000000000001E-2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0.2</v>
      </c>
      <c r="GT5" s="262"/>
      <c r="GU5" s="262" t="s">
        <v>21</v>
      </c>
      <c r="GV5" s="305">
        <f>GV7</f>
        <v>2.9000000000000001E-2</v>
      </c>
      <c r="GW5" s="262"/>
      <c r="GX5" s="262" t="s">
        <v>21</v>
      </c>
      <c r="GY5" s="305">
        <f>GY7</f>
        <v>2.9000000000000001E-2</v>
      </c>
      <c r="GZ5" s="262"/>
      <c r="HA5" s="262" t="s">
        <v>21</v>
      </c>
      <c r="HB5" s="305">
        <f>HB7</f>
        <v>2.9000000000000001E-2</v>
      </c>
      <c r="HC5" s="263"/>
      <c r="HD5" s="265" t="s">
        <v>22</v>
      </c>
      <c r="HE5" s="292">
        <f>B47</f>
        <v>200</v>
      </c>
      <c r="HF5" s="262" t="s">
        <v>580</v>
      </c>
    </row>
    <row r="6" spans="1:214" ht="13.5" thickTop="1" x14ac:dyDescent="0.2">
      <c r="A6" s="278" t="s">
        <v>454</v>
      </c>
      <c r="B6" s="362">
        <v>4.3299999999999998E-2</v>
      </c>
      <c r="C6" s="240"/>
      <c r="D6" s="262" t="s">
        <v>23</v>
      </c>
      <c r="E6" s="288">
        <f>0.693/E7</f>
        <v>2.2972045705420805E-2</v>
      </c>
      <c r="G6" s="262" t="s">
        <v>439</v>
      </c>
      <c r="H6" s="287">
        <f>B20</f>
        <v>3.0487999999999999E-11</v>
      </c>
      <c r="I6" s="262" t="s">
        <v>35</v>
      </c>
      <c r="J6" s="262" t="s">
        <v>316</v>
      </c>
      <c r="K6" s="287">
        <f>B21</f>
        <v>4.2549999999999998E-11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2.2972045705420805E-2</v>
      </c>
      <c r="Y6" s="262" t="s">
        <v>23</v>
      </c>
      <c r="Z6" s="288">
        <f>0.693/Z7</f>
        <v>2.2972045705420805E-2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BQ12</f>
        <v>5</v>
      </c>
      <c r="BR6" s="249" t="s">
        <v>69</v>
      </c>
      <c r="BS6" s="262" t="s">
        <v>23</v>
      </c>
      <c r="BT6" s="288">
        <f>0.693/BT7</f>
        <v>2.2972045705420805E-2</v>
      </c>
      <c r="BV6" s="262" t="s">
        <v>163</v>
      </c>
      <c r="BW6" s="287">
        <f>B20</f>
        <v>3.0487999999999999E-11</v>
      </c>
      <c r="BX6" s="262" t="s">
        <v>35</v>
      </c>
      <c r="BY6" s="262" t="s">
        <v>45</v>
      </c>
      <c r="BZ6" s="287">
        <f>B21</f>
        <v>4.2549999999999998E-11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3.7370000000000003E-11</v>
      </c>
      <c r="CM6" s="266" t="s">
        <v>13</v>
      </c>
      <c r="CN6" s="263" t="s">
        <v>21</v>
      </c>
      <c r="CO6" s="290">
        <f>CO8</f>
        <v>2.9000000000000001E-2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4.2549999999999998E-11</v>
      </c>
      <c r="CV6" s="262" t="s">
        <v>35</v>
      </c>
      <c r="CW6" s="262" t="s">
        <v>23</v>
      </c>
      <c r="CX6" s="288">
        <f>0.693/CX7</f>
        <v>2.2972045705420805E-2</v>
      </c>
      <c r="CZ6" s="262" t="s">
        <v>163</v>
      </c>
      <c r="DA6" s="287">
        <f>B20</f>
        <v>3.0487999999999999E-11</v>
      </c>
      <c r="DB6" s="262" t="s">
        <v>35</v>
      </c>
      <c r="DC6" s="262" t="s">
        <v>438</v>
      </c>
      <c r="DD6" s="287">
        <f>B30</f>
        <v>3.7370000000000003E-11</v>
      </c>
      <c r="DE6" s="267" t="s">
        <v>35</v>
      </c>
      <c r="DF6" s="249" t="s">
        <v>27</v>
      </c>
      <c r="DG6" s="118">
        <f>(DG8*DG9*DG14*((1-EXP(-DG11*DG12))))/(DG13*DG11)</f>
        <v>6.8274849094862002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6.8274849094862002</v>
      </c>
      <c r="DQ6" s="249" t="s">
        <v>19</v>
      </c>
      <c r="DR6" s="262" t="s">
        <v>438</v>
      </c>
      <c r="DS6" s="287">
        <f>B30</f>
        <v>3.7370000000000003E-11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3.7370000000000003E-11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3.7370000000000003E-11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3.7370000000000003E-11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10</v>
      </c>
      <c r="FS6" s="249" t="s">
        <v>19</v>
      </c>
      <c r="FT6" s="262" t="s">
        <v>181</v>
      </c>
      <c r="FU6" s="305">
        <f>B46</f>
        <v>10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3.7370000000000003E-11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3.7370000000000003E-11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8.8245146725348218E-12</v>
      </c>
      <c r="HF6" s="262" t="s">
        <v>313</v>
      </c>
    </row>
    <row r="7" spans="1:214" x14ac:dyDescent="0.2">
      <c r="A7" s="279" t="s">
        <v>455</v>
      </c>
      <c r="B7" s="363">
        <v>0.65300000000000002</v>
      </c>
      <c r="C7" s="241"/>
      <c r="D7" s="266" t="s">
        <v>270</v>
      </c>
      <c r="E7" s="287">
        <f>B31</f>
        <v>30.167100000000001</v>
      </c>
      <c r="F7" s="249" t="s">
        <v>69</v>
      </c>
      <c r="G7" s="262" t="s">
        <v>43</v>
      </c>
      <c r="H7" s="290">
        <f>B19</f>
        <v>1.1248E-10</v>
      </c>
      <c r="I7" s="263" t="s">
        <v>35</v>
      </c>
      <c r="J7" s="262" t="s">
        <v>43</v>
      </c>
      <c r="K7" s="290">
        <f>B19</f>
        <v>1.1248E-10</v>
      </c>
      <c r="L7" s="263" t="s">
        <v>35</v>
      </c>
      <c r="M7" s="262" t="s">
        <v>23</v>
      </c>
      <c r="N7" s="288">
        <f>0.693/N8</f>
        <v>2.2972045705420805E-2</v>
      </c>
      <c r="P7" s="262" t="s">
        <v>23</v>
      </c>
      <c r="Q7" s="288">
        <f>0.693/Q8</f>
        <v>2.2972045705420805E-2</v>
      </c>
      <c r="S7" s="262" t="s">
        <v>23</v>
      </c>
      <c r="T7" s="288">
        <f>0.693/T8</f>
        <v>2.2972045705420805E-2</v>
      </c>
      <c r="V7" s="266" t="s">
        <v>270</v>
      </c>
      <c r="W7" s="287">
        <f>B31</f>
        <v>30.167100000000001</v>
      </c>
      <c r="X7" s="249" t="s">
        <v>69</v>
      </c>
      <c r="Y7" s="266" t="s">
        <v>270</v>
      </c>
      <c r="Z7" s="287">
        <f>B31</f>
        <v>30.167100000000001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2.2972045705420805E-2</v>
      </c>
      <c r="AL7" s="262" t="s">
        <v>23</v>
      </c>
      <c r="AM7" s="288">
        <f>0.693/AM8</f>
        <v>2.2972045705420805E-2</v>
      </c>
      <c r="AO7" s="262" t="s">
        <v>23</v>
      </c>
      <c r="AP7" s="288">
        <f>0.693/AP8</f>
        <v>2.2972045705420805E-2</v>
      </c>
      <c r="AR7" s="262" t="s">
        <v>23</v>
      </c>
      <c r="AS7" s="288">
        <f>0.693/AS8</f>
        <v>2.2972045705420805E-2</v>
      </c>
      <c r="AU7" s="262" t="s">
        <v>23</v>
      </c>
      <c r="AV7" s="288">
        <f>0.693/AV8</f>
        <v>2.2972045705420805E-2</v>
      </c>
      <c r="AX7" s="262" t="s">
        <v>23</v>
      </c>
      <c r="AY7" s="288">
        <f>0.693/AY8</f>
        <v>2.2972045705420805E-2</v>
      </c>
      <c r="BA7" s="262" t="s">
        <v>23</v>
      </c>
      <c r="BB7" s="288">
        <f>0.693/BB8</f>
        <v>2.2972045705420805E-2</v>
      </c>
      <c r="BD7" s="262" t="s">
        <v>23</v>
      </c>
      <c r="BE7" s="288">
        <f>0.693/BE8</f>
        <v>2.2972045705420805E-2</v>
      </c>
      <c r="BG7" s="262" t="s">
        <v>23</v>
      </c>
      <c r="BH7" s="288">
        <f>0.693/BH8</f>
        <v>2.2972045705420805E-2</v>
      </c>
      <c r="BJ7" s="262" t="s">
        <v>23</v>
      </c>
      <c r="BK7" s="288">
        <f>0.693/BK8</f>
        <v>2.2972045705420805E-2</v>
      </c>
      <c r="BM7" s="262" t="s">
        <v>23</v>
      </c>
      <c r="BN7" s="288">
        <f>0.693/BN8</f>
        <v>2.2972045705420805E-2</v>
      </c>
      <c r="BP7" s="262" t="s">
        <v>23</v>
      </c>
      <c r="BQ7" s="288">
        <f>0.693/BQ8</f>
        <v>2.2972045705420805E-2</v>
      </c>
      <c r="BS7" s="266" t="s">
        <v>270</v>
      </c>
      <c r="BT7" s="287">
        <f>B31</f>
        <v>30.167100000000001</v>
      </c>
      <c r="BU7" s="249" t="s">
        <v>69</v>
      </c>
      <c r="BV7" s="262" t="s">
        <v>43</v>
      </c>
      <c r="BW7" s="290">
        <f>E10</f>
        <v>1.1248E-10</v>
      </c>
      <c r="BX7" s="263" t="s">
        <v>35</v>
      </c>
      <c r="BY7" s="262" t="s">
        <v>43</v>
      </c>
      <c r="BZ7" s="290">
        <f>B19</f>
        <v>1.1248E-10</v>
      </c>
      <c r="CA7" s="263" t="s">
        <v>35</v>
      </c>
      <c r="CB7" s="262" t="s">
        <v>23</v>
      </c>
      <c r="CC7" s="288">
        <f>0.693/CC8</f>
        <v>2.2972045705420805E-2</v>
      </c>
      <c r="CE7" s="262" t="s">
        <v>23</v>
      </c>
      <c r="CF7" s="288">
        <f>0.693/CF8</f>
        <v>2.2972045705420805E-2</v>
      </c>
      <c r="CH7" s="262" t="s">
        <v>23</v>
      </c>
      <c r="CI7" s="288">
        <f>0.693/CI8</f>
        <v>2.2972045705420805E-2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1.1248E-10</v>
      </c>
      <c r="CV7" s="263" t="s">
        <v>35</v>
      </c>
      <c r="CW7" s="266" t="s">
        <v>270</v>
      </c>
      <c r="CX7" s="287">
        <f>B31</f>
        <v>30.167100000000001</v>
      </c>
      <c r="CY7" s="249" t="s">
        <v>69</v>
      </c>
      <c r="CZ7" s="263" t="s">
        <v>43</v>
      </c>
      <c r="DA7" s="290">
        <f>B19</f>
        <v>1.1248E-10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3.6385326157733249</v>
      </c>
      <c r="DH7" s="249" t="s">
        <v>19</v>
      </c>
      <c r="DI7" s="262" t="s">
        <v>37</v>
      </c>
      <c r="DJ7" s="287">
        <f>B44</f>
        <v>2.5229999999999999E-2</v>
      </c>
      <c r="DL7" s="262" t="s">
        <v>37</v>
      </c>
      <c r="DM7" s="287">
        <f>B44</f>
        <v>2.5229999999999999E-2</v>
      </c>
      <c r="DO7" s="249" t="s">
        <v>36</v>
      </c>
      <c r="DP7" s="118">
        <f>(DP8*DP9*DP15*DP21*((1-EXP(-DP16*DP17))))/(DP18*DP16)</f>
        <v>3.6385326157733249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2.9000000000000001E-2</v>
      </c>
      <c r="EA7" s="262" t="s">
        <v>38</v>
      </c>
      <c r="EB7" s="287">
        <f>B45</f>
        <v>2.9000000000000001E-2</v>
      </c>
      <c r="EC7" s="263"/>
      <c r="ED7" s="262" t="s">
        <v>38</v>
      </c>
      <c r="EE7" s="287">
        <f>B45</f>
        <v>2.9000000000000001E-2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2.9000000000000001E-2</v>
      </c>
      <c r="EP7" s="262" t="s">
        <v>38</v>
      </c>
      <c r="EQ7" s="287">
        <f>B45</f>
        <v>2.9000000000000001E-2</v>
      </c>
      <c r="ER7" s="263"/>
      <c r="ES7" s="262" t="s">
        <v>38</v>
      </c>
      <c r="ET7" s="287">
        <f>B45</f>
        <v>2.9000000000000001E-2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2.9000000000000001E-2</v>
      </c>
      <c r="FD7" s="262"/>
      <c r="FE7" s="262" t="s">
        <v>38</v>
      </c>
      <c r="FF7" s="305">
        <f>B45</f>
        <v>2.9000000000000001E-2</v>
      </c>
      <c r="FG7" s="263"/>
      <c r="FH7" s="263" t="s">
        <v>38</v>
      </c>
      <c r="FI7" s="290">
        <f>B45</f>
        <v>2.9000000000000001E-2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2.9000000000000001E-2</v>
      </c>
      <c r="GH7" s="262"/>
      <c r="GI7" s="262" t="s">
        <v>38</v>
      </c>
      <c r="GJ7" s="305">
        <f>B45</f>
        <v>2.9000000000000001E-2</v>
      </c>
      <c r="GK7" s="262"/>
      <c r="GL7" s="262" t="s">
        <v>38</v>
      </c>
      <c r="GM7" s="305">
        <f>B45</f>
        <v>2.9000000000000001E-2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2.9000000000000001E-2</v>
      </c>
      <c r="GW7" s="262"/>
      <c r="GX7" s="262" t="s">
        <v>38</v>
      </c>
      <c r="GY7" s="305">
        <f>B45</f>
        <v>2.9000000000000001E-2</v>
      </c>
      <c r="GZ7" s="262"/>
      <c r="HA7" s="262" t="s">
        <v>38</v>
      </c>
      <c r="HB7" s="305">
        <f>B45</f>
        <v>2.9000000000000001E-2</v>
      </c>
      <c r="HC7" s="263"/>
      <c r="HD7" s="262" t="s">
        <v>23</v>
      </c>
      <c r="HE7" s="288">
        <f>0.693/HE8</f>
        <v>2.2972045705420805E-2</v>
      </c>
    </row>
    <row r="8" spans="1:214" x14ac:dyDescent="0.2">
      <c r="A8" s="279" t="s">
        <v>458</v>
      </c>
      <c r="B8" s="363">
        <v>5.0099999999999999E-2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5.1609299040000001E-12</v>
      </c>
      <c r="I8" s="263" t="s">
        <v>35</v>
      </c>
      <c r="J8" s="262" t="s">
        <v>71</v>
      </c>
      <c r="K8" s="287">
        <f>B23</f>
        <v>2.5337597040000001E-6</v>
      </c>
      <c r="L8" s="262" t="s">
        <v>445</v>
      </c>
      <c r="M8" s="266" t="s">
        <v>270</v>
      </c>
      <c r="N8" s="287">
        <f>B31</f>
        <v>30.167100000000001</v>
      </c>
      <c r="O8" s="249" t="s">
        <v>69</v>
      </c>
      <c r="P8" s="266" t="s">
        <v>270</v>
      </c>
      <c r="Q8" s="287">
        <f>B31</f>
        <v>30.167100000000001</v>
      </c>
      <c r="R8" s="249" t="s">
        <v>69</v>
      </c>
      <c r="S8" s="266" t="s">
        <v>270</v>
      </c>
      <c r="T8" s="287">
        <f>B31</f>
        <v>30.167100000000001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30.167100000000001</v>
      </c>
      <c r="AK8" s="249" t="s">
        <v>69</v>
      </c>
      <c r="AL8" s="266" t="s">
        <v>270</v>
      </c>
      <c r="AM8" s="287">
        <f>B31</f>
        <v>30.167100000000001</v>
      </c>
      <c r="AN8" s="249" t="s">
        <v>69</v>
      </c>
      <c r="AO8" s="266" t="s">
        <v>270</v>
      </c>
      <c r="AP8" s="287">
        <f>B31</f>
        <v>30.167100000000001</v>
      </c>
      <c r="AQ8" s="249" t="s">
        <v>69</v>
      </c>
      <c r="AR8" s="266" t="s">
        <v>270</v>
      </c>
      <c r="AS8" s="287">
        <f>B31</f>
        <v>30.167100000000001</v>
      </c>
      <c r="AT8" s="249" t="s">
        <v>69</v>
      </c>
      <c r="AU8" s="266" t="s">
        <v>270</v>
      </c>
      <c r="AV8" s="287">
        <f>B31</f>
        <v>30.167100000000001</v>
      </c>
      <c r="AW8" s="249" t="s">
        <v>69</v>
      </c>
      <c r="AX8" s="266" t="s">
        <v>270</v>
      </c>
      <c r="AY8" s="287">
        <f>B31</f>
        <v>30.167100000000001</v>
      </c>
      <c r="AZ8" s="249" t="s">
        <v>69</v>
      </c>
      <c r="BA8" s="266" t="s">
        <v>270</v>
      </c>
      <c r="BB8" s="287">
        <f>B31</f>
        <v>30.167100000000001</v>
      </c>
      <c r="BC8" s="249" t="s">
        <v>69</v>
      </c>
      <c r="BD8" s="266" t="s">
        <v>270</v>
      </c>
      <c r="BE8" s="287">
        <f>B31</f>
        <v>30.167100000000001</v>
      </c>
      <c r="BF8" s="249" t="s">
        <v>69</v>
      </c>
      <c r="BG8" s="266" t="s">
        <v>270</v>
      </c>
      <c r="BH8" s="287">
        <f>B31</f>
        <v>30.167100000000001</v>
      </c>
      <c r="BI8" s="249" t="s">
        <v>69</v>
      </c>
      <c r="BJ8" s="266" t="s">
        <v>270</v>
      </c>
      <c r="BK8" s="287">
        <f>B31</f>
        <v>30.167100000000001</v>
      </c>
      <c r="BL8" s="249" t="s">
        <v>69</v>
      </c>
      <c r="BM8" s="266" t="s">
        <v>270</v>
      </c>
      <c r="BN8" s="287">
        <f>B31</f>
        <v>30.167100000000001</v>
      </c>
      <c r="BO8" s="249" t="s">
        <v>69</v>
      </c>
      <c r="BP8" s="266" t="s">
        <v>270</v>
      </c>
      <c r="BQ8" s="287">
        <f>B31</f>
        <v>30.167100000000001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5.1609299040000001E-12</v>
      </c>
      <c r="BX8" s="263" t="s">
        <v>35</v>
      </c>
      <c r="BY8" s="262" t="s">
        <v>71</v>
      </c>
      <c r="BZ8" s="287">
        <f>B23</f>
        <v>2.5337597040000001E-6</v>
      </c>
      <c r="CA8" s="262" t="s">
        <v>95</v>
      </c>
      <c r="CB8" s="266" t="s">
        <v>270</v>
      </c>
      <c r="CC8" s="287">
        <f>B31</f>
        <v>30.167100000000001</v>
      </c>
      <c r="CD8" s="249" t="s">
        <v>69</v>
      </c>
      <c r="CE8" s="266" t="s">
        <v>270</v>
      </c>
      <c r="CF8" s="287">
        <f>B31</f>
        <v>30.167100000000001</v>
      </c>
      <c r="CG8" s="249" t="s">
        <v>69</v>
      </c>
      <c r="CH8" s="266" t="s">
        <v>270</v>
      </c>
      <c r="CI8" s="287">
        <f>B31</f>
        <v>30.167100000000001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2.9000000000000001E-2</v>
      </c>
      <c r="CT8" s="262" t="s">
        <v>71</v>
      </c>
      <c r="CU8" s="287">
        <f>B23</f>
        <v>2.5337597040000001E-6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5.1609299040000001E-12</v>
      </c>
      <c r="DB8" s="262" t="s">
        <v>35</v>
      </c>
      <c r="DC8" s="262" t="s">
        <v>380</v>
      </c>
      <c r="DD8" s="297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30.167100000000001</v>
      </c>
      <c r="HF8" s="249" t="s">
        <v>69</v>
      </c>
    </row>
    <row r="9" spans="1:214" x14ac:dyDescent="0.2">
      <c r="A9" s="279" t="s">
        <v>459</v>
      </c>
      <c r="B9" s="363">
        <v>0.72599999999999998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3.7370000000000003E-11</v>
      </c>
      <c r="I9" s="267" t="s">
        <v>35</v>
      </c>
      <c r="J9" s="262" t="s">
        <v>438</v>
      </c>
      <c r="K9" s="287">
        <f>B30</f>
        <v>3.7370000000000003E-11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3.1782999999999999E-11</v>
      </c>
      <c r="AD9" s="287">
        <f>B22</f>
        <v>3.1782999999999999E-11</v>
      </c>
      <c r="AE9" s="287">
        <f>B22</f>
        <v>3.1782999999999999E-11</v>
      </c>
      <c r="AF9" s="287">
        <f>B22</f>
        <v>3.1782999999999999E-11</v>
      </c>
      <c r="AG9" s="287">
        <f>B22</f>
        <v>3.1782999999999999E-11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3.7370000000000003E-11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3.7370000000000003E-11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3.7370000000000003E-11</v>
      </c>
      <c r="DB9" s="263" t="s">
        <v>35</v>
      </c>
      <c r="DC9" s="262" t="s">
        <v>381</v>
      </c>
      <c r="DD9" s="297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4.5999999999999999E-3</v>
      </c>
      <c r="EA9" s="262" t="s">
        <v>278</v>
      </c>
      <c r="EB9" s="287">
        <f>B37</f>
        <v>4.5999999999999999E-3</v>
      </c>
      <c r="EC9" s="263"/>
      <c r="ED9" s="262" t="s">
        <v>278</v>
      </c>
      <c r="EE9" s="287">
        <f>B37</f>
        <v>4.5999999999999999E-3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2.1999999999999999E-2</v>
      </c>
      <c r="EP9" s="262" t="s">
        <v>275</v>
      </c>
      <c r="EQ9" s="310">
        <f>B38</f>
        <v>2.1999999999999999E-2</v>
      </c>
      <c r="ER9" s="263"/>
      <c r="ES9" s="262" t="s">
        <v>275</v>
      </c>
      <c r="ET9" s="310">
        <f>B38</f>
        <v>2.1999999999999999E-2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0.4</v>
      </c>
      <c r="FD9" s="262"/>
      <c r="FE9" s="262" t="s">
        <v>201</v>
      </c>
      <c r="FF9" s="310">
        <f>B40</f>
        <v>0.4</v>
      </c>
      <c r="FG9" s="263"/>
      <c r="FH9" s="262" t="s">
        <v>201</v>
      </c>
      <c r="FI9" s="310">
        <f>B40</f>
        <v>0.4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2.7</v>
      </c>
      <c r="GH9" s="262"/>
      <c r="GI9" s="262" t="s">
        <v>276</v>
      </c>
      <c r="GJ9" s="310">
        <f>B39</f>
        <v>2.7</v>
      </c>
      <c r="GK9" s="262"/>
      <c r="GL9" s="262" t="s">
        <v>276</v>
      </c>
      <c r="GM9" s="310">
        <f>B39</f>
        <v>2.7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0.2</v>
      </c>
      <c r="GW9" s="262"/>
      <c r="GX9" s="262" t="s">
        <v>277</v>
      </c>
      <c r="GY9" s="310">
        <f>B41</f>
        <v>0.2</v>
      </c>
      <c r="GZ9" s="262"/>
      <c r="HA9" s="262" t="s">
        <v>277</v>
      </c>
      <c r="HB9" s="310">
        <f>B41</f>
        <v>0.2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7.2400000000000006E-2</v>
      </c>
      <c r="C10" s="241"/>
      <c r="D10" s="88" t="s">
        <v>43</v>
      </c>
      <c r="E10" s="187">
        <f>B19</f>
        <v>1.1248E-10</v>
      </c>
      <c r="F10" s="188" t="s">
        <v>35</v>
      </c>
      <c r="G10" s="266" t="s">
        <v>80</v>
      </c>
      <c r="H10" s="294">
        <f>(H5/(H6*H15))*H70*H68*H69</f>
        <v>1.2139953173826964E-10</v>
      </c>
      <c r="I10" s="271" t="s">
        <v>313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1.1248E-10</v>
      </c>
      <c r="X10" s="263" t="s">
        <v>44</v>
      </c>
      <c r="Y10" s="249" t="s">
        <v>43</v>
      </c>
      <c r="Z10" s="290">
        <f>B19</f>
        <v>1.1248E-10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1.1248E-10</v>
      </c>
      <c r="BU10" s="263" t="s">
        <v>35</v>
      </c>
      <c r="BV10" s="266" t="s">
        <v>80</v>
      </c>
      <c r="BW10" s="294">
        <f>(BW5/(BW6*BW12))*BW34*BW32*BW33</f>
        <v>6.8481787134408484E-11</v>
      </c>
      <c r="BX10" s="271" t="s">
        <v>313</v>
      </c>
      <c r="BY10" s="188" t="s">
        <v>16</v>
      </c>
      <c r="BZ10" s="109">
        <f>(BZ33*BZ11)/(1-EXP(-BZ11*BZ33))</f>
        <v>1.3281892705568645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315</v>
      </c>
      <c r="CL10" s="289">
        <f>B293</f>
        <v>241</v>
      </c>
      <c r="CM10" s="249" t="s">
        <v>309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1.1248E-10</v>
      </c>
      <c r="CY10" s="263" t="s">
        <v>35</v>
      </c>
      <c r="CZ10" s="263" t="s">
        <v>16</v>
      </c>
      <c r="DA10" s="288">
        <f>(DA38*DA11)/(1-EXP(-DA11*DA38))</f>
        <v>1.3838495097093857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2.5229999999999999E-2</v>
      </c>
      <c r="DL10" s="267"/>
      <c r="DO10" s="267" t="s">
        <v>37</v>
      </c>
      <c r="DP10" s="287">
        <f>B44</f>
        <v>2.5229999999999999E-2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0.73599999999999999</v>
      </c>
      <c r="C11" s="241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(H5/(H7*H16*H28))*H70*H68*H69</f>
        <v>9.5725563782137943E-12</v>
      </c>
      <c r="I11" s="271" t="s">
        <v>313</v>
      </c>
      <c r="J11" s="188" t="s">
        <v>16</v>
      </c>
      <c r="K11" s="109">
        <f>(K46*K12)/(1-EXP(-K12*K46))</f>
        <v>1.2472493774661533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(BW5/(BW8*(1/BW31)*BW15))*BW34*BW32*BW33</f>
        <v>1.7719447290818788E-5</v>
      </c>
      <c r="BX11" s="271" t="s">
        <v>313</v>
      </c>
      <c r="BY11" s="266" t="s">
        <v>23</v>
      </c>
      <c r="BZ11" s="109">
        <f>0.693/BZ12</f>
        <v>2.2972045705420805E-2</v>
      </c>
      <c r="CA11" s="88"/>
      <c r="CB11" s="249" t="s">
        <v>456</v>
      </c>
      <c r="CC11" s="287">
        <f>B3</f>
        <v>8.5099999999999995E-2</v>
      </c>
      <c r="CE11" s="249" t="s">
        <v>454</v>
      </c>
      <c r="CF11" s="287">
        <f>B6</f>
        <v>4.3299999999999998E-2</v>
      </c>
      <c r="CH11" s="249" t="s">
        <v>460</v>
      </c>
      <c r="CI11" s="287">
        <f>B10</f>
        <v>7.2400000000000006E-2</v>
      </c>
      <c r="CK11" s="266" t="s">
        <v>270</v>
      </c>
      <c r="CL11" s="287">
        <f>B31</f>
        <v>30.167100000000001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1.3838495097093857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2.2972045705420805E-2</v>
      </c>
      <c r="DC11" s="262" t="s">
        <v>382</v>
      </c>
      <c r="DD11" s="297">
        <f>B141</f>
        <v>55</v>
      </c>
      <c r="DE11" s="267" t="s">
        <v>254</v>
      </c>
      <c r="DF11" s="267" t="s">
        <v>55</v>
      </c>
      <c r="DG11" s="288">
        <f>DG19+DG20</f>
        <v>8.9999999999999992E-5</v>
      </c>
      <c r="DL11" s="267"/>
      <c r="DO11" s="267" t="s">
        <v>55</v>
      </c>
      <c r="DP11" s="288">
        <f>DP19+DP20</f>
        <v>8.9999999999999992E-5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2.6599999999999999E-2</v>
      </c>
      <c r="C12" s="241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(H5/(H8*(1/H45)*H21))*H70*H68*H69</f>
        <v>7.8529368675219619E-6</v>
      </c>
      <c r="I12" s="271" t="s">
        <v>313</v>
      </c>
      <c r="J12" s="266" t="s">
        <v>23</v>
      </c>
      <c r="K12" s="109">
        <f>0.693/K13</f>
        <v>2.2972045705420805E-2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30.167100000000001</v>
      </c>
      <c r="CA12" s="88" t="s">
        <v>69</v>
      </c>
      <c r="CB12" s="249" t="s">
        <v>457</v>
      </c>
      <c r="CC12" s="287">
        <f>B4</f>
        <v>0.74199999999999999</v>
      </c>
      <c r="CE12" s="249" t="s">
        <v>455</v>
      </c>
      <c r="CF12" s="287">
        <f>B7</f>
        <v>0.65300000000000002</v>
      </c>
      <c r="CH12" s="249" t="s">
        <v>461</v>
      </c>
      <c r="CI12" s="287">
        <f>B11</f>
        <v>0.73599999999999999</v>
      </c>
      <c r="CK12" s="249" t="s">
        <v>23</v>
      </c>
      <c r="CL12" s="288">
        <f>693/CL11</f>
        <v>22.972045705420804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2.2972045705420805E-2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30.167100000000001</v>
      </c>
      <c r="DB12" s="249" t="s">
        <v>69</v>
      </c>
      <c r="DC12" s="262" t="s">
        <v>383</v>
      </c>
      <c r="DD12" s="297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0.46500000000000002</v>
      </c>
      <c r="C13" s="242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>
        <f>(H14/((1/H42)*(H50+H51+H52)))</f>
        <v>1.6181609952652788E-9</v>
      </c>
      <c r="I13" s="271" t="s">
        <v>313</v>
      </c>
      <c r="J13" s="266" t="s">
        <v>270</v>
      </c>
      <c r="K13" s="189">
        <f>B31</f>
        <v>30.167100000000001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8.5099999999999995E-2</v>
      </c>
      <c r="BM13" s="249" t="s">
        <v>454</v>
      </c>
      <c r="BN13" s="287">
        <f>B6</f>
        <v>4.3299999999999998E-2</v>
      </c>
      <c r="BP13" s="249" t="s">
        <v>460</v>
      </c>
      <c r="BQ13" s="287">
        <f>B10</f>
        <v>7.2400000000000006E-2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>
        <f>((BZ5/(BZ6*BZ16*(1/BZ36)))*BZ10)*BZ12*BZ37*BZ38</f>
        <v>5.9247733215807051E-6</v>
      </c>
      <c r="CA13" s="271" t="s">
        <v>311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597.27318834094092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30.167100000000001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>
        <f>(DA5/(DA6*DA23))*DA12*DA50*DA51</f>
        <v>8.0933021158846416E-8</v>
      </c>
      <c r="DB13" s="266" t="s">
        <v>313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>
        <f>(H5/(H9*(H22+H25)*H43))*H70*H68*H69</f>
        <v>1.8007779325352684E-11</v>
      </c>
      <c r="I14" s="271" t="s">
        <v>311</v>
      </c>
      <c r="J14" s="266" t="s">
        <v>80</v>
      </c>
      <c r="K14" s="294">
        <f>((K5/(K6*K19*(1/K49)))*K11)*K13*K54*K55</f>
        <v>9.8629536820108443E-6</v>
      </c>
      <c r="L14" s="271" t="s">
        <v>311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2.381967648E-9</v>
      </c>
      <c r="X14" s="262" t="s">
        <v>64</v>
      </c>
      <c r="Y14" s="262" t="s">
        <v>63</v>
      </c>
      <c r="Z14" s="287">
        <f>B28</f>
        <v>2.381967648E-9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0.74199999999999999</v>
      </c>
      <c r="BM14" s="249" t="s">
        <v>455</v>
      </c>
      <c r="BN14" s="287">
        <f>B7</f>
        <v>0.65300000000000002</v>
      </c>
      <c r="BP14" s="249" t="s">
        <v>461</v>
      </c>
      <c r="BQ14" s="287">
        <f>B11</f>
        <v>0.73599999999999999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((BZ5/(BZ7*BZ17*(1/BZ9)*BZ35))*BZ10)*BZ12*BZ37*BZ38</f>
        <v>7.3120097784477353E-2</v>
      </c>
      <c r="CA14" s="271" t="s">
        <v>311</v>
      </c>
      <c r="CB14" s="249" t="s">
        <v>71</v>
      </c>
      <c r="CC14" s="290">
        <f>B23</f>
        <v>2.5337597040000001E-6</v>
      </c>
      <c r="CD14" s="263" t="s">
        <v>72</v>
      </c>
      <c r="CE14" s="249" t="s">
        <v>71</v>
      </c>
      <c r="CF14" s="290">
        <f>B25</f>
        <v>5.1749414784E-7</v>
      </c>
      <c r="CG14" s="263" t="s">
        <v>72</v>
      </c>
      <c r="CH14" s="249" t="s">
        <v>71</v>
      </c>
      <c r="CI14" s="290">
        <f>B27</f>
        <v>2.2652045279999998E-6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((CU5/(CU6*CU24*(1/CU47)))*CU11)*CU13*CU48*CU49</f>
        <v>7.2954368568833541E-6</v>
      </c>
      <c r="CV14" s="271" t="s">
        <v>311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(DA5/(DA7*DA24*DA46))*DA12*DA50*DA51</f>
        <v>6.3817042521425298E-9</v>
      </c>
      <c r="DB14" s="266" t="s">
        <v>313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((K5/(K7*K20*(1/K10)*K48))*K11)*K13*K54*K55</f>
        <v>8.1148549041872402E-3</v>
      </c>
      <c r="L15" s="271" t="s">
        <v>311</v>
      </c>
      <c r="M15" s="249" t="s">
        <v>448</v>
      </c>
      <c r="N15" s="290">
        <f>B23</f>
        <v>2.5337597040000001E-6</v>
      </c>
      <c r="O15" s="263" t="s">
        <v>446</v>
      </c>
      <c r="P15" s="249" t="s">
        <v>449</v>
      </c>
      <c r="Q15" s="290">
        <f>B25</f>
        <v>5.1749414784E-7</v>
      </c>
      <c r="R15" s="263" t="s">
        <v>446</v>
      </c>
      <c r="S15" s="249" t="s">
        <v>453</v>
      </c>
      <c r="T15" s="290">
        <f>B27</f>
        <v>2.2652045279999998E-6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2.5337597040000001E-6</v>
      </c>
      <c r="AK15" s="263" t="s">
        <v>72</v>
      </c>
      <c r="AL15" s="262" t="s">
        <v>449</v>
      </c>
      <c r="AM15" s="290">
        <f>B25</f>
        <v>5.1749414784E-7</v>
      </c>
      <c r="AN15" s="263" t="s">
        <v>72</v>
      </c>
      <c r="AO15" s="262" t="s">
        <v>452</v>
      </c>
      <c r="AP15" s="290">
        <f>B27</f>
        <v>2.2652045279999998E-6</v>
      </c>
      <c r="AQ15" s="263" t="s">
        <v>72</v>
      </c>
      <c r="AR15" s="249" t="s">
        <v>448</v>
      </c>
      <c r="AS15" s="290">
        <f>B23</f>
        <v>2.5337597040000001E-6</v>
      </c>
      <c r="AT15" s="263" t="s">
        <v>72</v>
      </c>
      <c r="AU15" s="262" t="s">
        <v>449</v>
      </c>
      <c r="AV15" s="290">
        <f>B25</f>
        <v>5.1749414784E-7</v>
      </c>
      <c r="AW15" s="263" t="s">
        <v>72</v>
      </c>
      <c r="AX15" s="262" t="s">
        <v>452</v>
      </c>
      <c r="AY15" s="290">
        <f>B27</f>
        <v>2.2652045279999998E-6</v>
      </c>
      <c r="AZ15" s="263" t="s">
        <v>72</v>
      </c>
      <c r="BA15" s="249" t="s">
        <v>448</v>
      </c>
      <c r="BB15" s="290">
        <f>B23</f>
        <v>2.5337597040000001E-6</v>
      </c>
      <c r="BC15" s="263" t="s">
        <v>72</v>
      </c>
      <c r="BD15" s="262" t="s">
        <v>449</v>
      </c>
      <c r="BE15" s="290">
        <f>B25</f>
        <v>5.1749414784E-7</v>
      </c>
      <c r="BF15" s="263" t="s">
        <v>72</v>
      </c>
      <c r="BG15" s="262" t="s">
        <v>452</v>
      </c>
      <c r="BH15" s="290">
        <f>B27</f>
        <v>2.2652045279999998E-6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(((BZ5)/(BZ8*BZ22*(1/BZ34)*BZ25*BZ28*(1/24)*BZ31*BZ32))*BZ10)*BZ12*BZ37*BZ38</f>
        <v>7.5917029900295584E-7</v>
      </c>
      <c r="CA15" s="271" t="s">
        <v>311</v>
      </c>
      <c r="CB15" s="95" t="s">
        <v>315</v>
      </c>
      <c r="CC15" s="289">
        <f>B293</f>
        <v>241</v>
      </c>
      <c r="CD15" s="249" t="s">
        <v>309</v>
      </c>
      <c r="CE15" s="95" t="s">
        <v>315</v>
      </c>
      <c r="CF15" s="289">
        <f>B293</f>
        <v>241</v>
      </c>
      <c r="CG15" s="249" t="s">
        <v>309</v>
      </c>
      <c r="CH15" s="95" t="s">
        <v>315</v>
      </c>
      <c r="CI15" s="289">
        <f>B293</f>
        <v>241</v>
      </c>
      <c r="CJ15" s="249" t="s">
        <v>309</v>
      </c>
      <c r="CK15" s="267" t="s">
        <v>310</v>
      </c>
      <c r="CL15" s="289">
        <f>B294</f>
        <v>2.8000000000000002E-12</v>
      </c>
      <c r="CT15" s="266" t="s">
        <v>74</v>
      </c>
      <c r="CU15" s="295">
        <f>((CU5/(CU7*CU25*(1/CU10)*CU46))*CU11)*CU13*CU48*CU49</f>
        <v>6.0024018630693132E-3</v>
      </c>
      <c r="CV15" s="271" t="s">
        <v>311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(DA5/(DA8*DA25*(DA47/DA48)))*DA12*DA50*DA51</f>
        <v>5.2352912450146409E-3</v>
      </c>
      <c r="DB15" s="266" t="s">
        <v>313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95" t="s">
        <v>315</v>
      </c>
      <c r="HE15" s="292">
        <f>B293</f>
        <v>241</v>
      </c>
      <c r="HF15" s="249" t="s">
        <v>309</v>
      </c>
    </row>
    <row r="16" spans="1:214" x14ac:dyDescent="0.2">
      <c r="A16" s="585"/>
      <c r="B16" s="586"/>
      <c r="C16" s="6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((K5/(K8*K45*((K40*K44*(1/24))+(K41*K43*(1/24)))*K32*(1/K47)*K34))*K11)*K13*K54*K55</f>
        <v>1.6014964503127826E-8</v>
      </c>
      <c r="L16" s="271" t="s">
        <v>311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((W5)/((W11/W12)*W8*W9*W10*W13))*W7*W20*W21</f>
        <v>5.7435338269282769E-11</v>
      </c>
      <c r="X16" s="88" t="s">
        <v>15</v>
      </c>
      <c r="Y16" s="88" t="s">
        <v>74</v>
      </c>
      <c r="Z16" s="294">
        <f>((Z5)/((Z11/Z12)*Z8*Z9*Z10*Z13))*Z7*Z20*Z21</f>
        <v>5.7435338269282769E-11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8.5099999999999995E-2</v>
      </c>
      <c r="AG16" s="305">
        <f>B3</f>
        <v>8.5099999999999995E-2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2.5337597040000001E-6</v>
      </c>
      <c r="BL16" s="263" t="s">
        <v>72</v>
      </c>
      <c r="BM16" s="262" t="s">
        <v>449</v>
      </c>
      <c r="BN16" s="290">
        <f>B25</f>
        <v>5.1749414784E-7</v>
      </c>
      <c r="BO16" s="263" t="s">
        <v>72</v>
      </c>
      <c r="BP16" s="262" t="s">
        <v>452</v>
      </c>
      <c r="BQ16" s="290">
        <f>B27</f>
        <v>2.2652045279999998E-6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B16" s="267" t="s">
        <v>310</v>
      </c>
      <c r="CC16" s="293">
        <f>B294</f>
        <v>2.8000000000000002E-12</v>
      </c>
      <c r="CD16" s="262"/>
      <c r="CE16" s="267" t="s">
        <v>310</v>
      </c>
      <c r="CF16" s="293">
        <f>B294</f>
        <v>2.8000000000000002E-12</v>
      </c>
      <c r="CG16" s="262"/>
      <c r="CH16" s="267" t="s">
        <v>310</v>
      </c>
      <c r="CI16" s="289">
        <f>B294</f>
        <v>2.8000000000000002E-12</v>
      </c>
      <c r="CK16" s="267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((CU5*CU44*CU12)/((1-EXP(-CU12*CU44))*CU8*CU31*(1/365)*CU32*((CU38*(1/24)*CU42)+(CU39*(1/24)*CU41))*CU43))*CU13*CU48*CU49</f>
        <v>1.5788108668338724E-8</v>
      </c>
      <c r="CV16" s="271" t="s">
        <v>311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>
        <f>DG2</f>
        <v>1.3484674960543989E-7</v>
      </c>
      <c r="DB16" s="266" t="s">
        <v>313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4.9562999999999996E-2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4.9562999999999996E-2</v>
      </c>
      <c r="DQ16" s="262" t="s">
        <v>82</v>
      </c>
      <c r="DR16" s="267" t="s">
        <v>400</v>
      </c>
      <c r="DS16" s="297">
        <f>B175</f>
        <v>2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4.9562999999999996E-2</v>
      </c>
      <c r="EF16" s="262" t="s">
        <v>82</v>
      </c>
      <c r="EG16" s="267" t="s">
        <v>401</v>
      </c>
      <c r="EH16" s="297">
        <f>B176</f>
        <v>2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4.9562999999999996E-2</v>
      </c>
      <c r="EU16" s="262" t="s">
        <v>82</v>
      </c>
      <c r="EV16" s="267" t="s">
        <v>402</v>
      </c>
      <c r="EW16" s="297">
        <f>B177</f>
        <v>2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4.9562999999999996E-2</v>
      </c>
      <c r="FJ16" s="262" t="s">
        <v>82</v>
      </c>
      <c r="FK16" s="267" t="s">
        <v>403</v>
      </c>
      <c r="FL16" s="297">
        <f>B178</f>
        <v>2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2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4.9562999999999996E-2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4.9562999999999996E-2</v>
      </c>
      <c r="HC16" s="262" t="s">
        <v>82</v>
      </c>
      <c r="HD16" s="267" t="s">
        <v>310</v>
      </c>
      <c r="HE16" s="292">
        <f>B294</f>
        <v>2.8000000000000002E-12</v>
      </c>
      <c r="HF16" s="267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>
        <f>(K18/(K50+K51))*K11</f>
        <v>7.8744141756105604E-8</v>
      </c>
      <c r="L17" s="271" t="s">
        <v>311</v>
      </c>
      <c r="M17" s="95" t="s">
        <v>315</v>
      </c>
      <c r="N17" s="293">
        <f>B293</f>
        <v>241</v>
      </c>
      <c r="O17" s="249" t="s">
        <v>309</v>
      </c>
      <c r="P17" s="95" t="s">
        <v>315</v>
      </c>
      <c r="Q17" s="293">
        <f>B293</f>
        <v>241</v>
      </c>
      <c r="R17" s="249" t="s">
        <v>309</v>
      </c>
      <c r="S17" s="95" t="s">
        <v>315</v>
      </c>
      <c r="T17" s="293">
        <f>B293</f>
        <v>241</v>
      </c>
      <c r="U17" s="249" t="s">
        <v>309</v>
      </c>
      <c r="V17" s="88" t="s">
        <v>78</v>
      </c>
      <c r="W17" s="296">
        <f>((W5)/((W11/W12)*W8*W9*W14*(1/365)))*W7*W20*W21</f>
        <v>5.4447028948152263E-8</v>
      </c>
      <c r="X17" s="88" t="s">
        <v>15</v>
      </c>
      <c r="Y17" s="88" t="s">
        <v>78</v>
      </c>
      <c r="Z17" s="296">
        <f>((Z5)/((Z11/Z12)*Z8*Z9*Z14*(1/365)))*Z7*Z20*Z21</f>
        <v>5.4447028948152263E-8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95" t="s">
        <v>315</v>
      </c>
      <c r="AJ17" s="293">
        <f>B293</f>
        <v>241</v>
      </c>
      <c r="AK17" s="249" t="s">
        <v>309</v>
      </c>
      <c r="AL17" s="95" t="s">
        <v>315</v>
      </c>
      <c r="AM17" s="293">
        <f>B293</f>
        <v>241</v>
      </c>
      <c r="AN17" s="249" t="s">
        <v>309</v>
      </c>
      <c r="AO17" s="95" t="s">
        <v>315</v>
      </c>
      <c r="AP17" s="293">
        <f>B293</f>
        <v>241</v>
      </c>
      <c r="AQ17" s="249" t="s">
        <v>309</v>
      </c>
      <c r="AR17" s="95" t="s">
        <v>315</v>
      </c>
      <c r="AS17" s="293">
        <f>B293</f>
        <v>241</v>
      </c>
      <c r="AT17" s="249" t="s">
        <v>309</v>
      </c>
      <c r="AU17" s="95" t="s">
        <v>315</v>
      </c>
      <c r="AV17" s="293">
        <f>B293</f>
        <v>241</v>
      </c>
      <c r="AW17" s="249" t="s">
        <v>309</v>
      </c>
      <c r="AX17" s="95" t="s">
        <v>315</v>
      </c>
      <c r="AY17" s="293">
        <f>B293</f>
        <v>241</v>
      </c>
      <c r="AZ17" s="249" t="s">
        <v>309</v>
      </c>
      <c r="BA17" s="95" t="s">
        <v>315</v>
      </c>
      <c r="BB17" s="293">
        <f>B293</f>
        <v>241</v>
      </c>
      <c r="BC17" s="249" t="s">
        <v>309</v>
      </c>
      <c r="BD17" s="95" t="s">
        <v>315</v>
      </c>
      <c r="BE17" s="293">
        <f>B293</f>
        <v>241</v>
      </c>
      <c r="BF17" s="249" t="s">
        <v>309</v>
      </c>
      <c r="BG17" s="95" t="s">
        <v>315</v>
      </c>
      <c r="BH17" s="293">
        <f>B293</f>
        <v>241</v>
      </c>
      <c r="BI17" s="249" t="s">
        <v>309</v>
      </c>
      <c r="BJ17" s="95" t="s">
        <v>315</v>
      </c>
      <c r="BK17" s="293">
        <f>B293</f>
        <v>241</v>
      </c>
      <c r="BL17" s="249" t="s">
        <v>309</v>
      </c>
      <c r="BM17" s="95" t="s">
        <v>315</v>
      </c>
      <c r="BN17" s="293">
        <f>B293</f>
        <v>241</v>
      </c>
      <c r="BO17" s="249" t="s">
        <v>309</v>
      </c>
      <c r="BP17" s="95" t="s">
        <v>315</v>
      </c>
      <c r="BQ17" s="293">
        <f>B293</f>
        <v>241</v>
      </c>
      <c r="BR17" s="249" t="s">
        <v>309</v>
      </c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7.2806906094333586E-9</v>
      </c>
      <c r="CV17" s="271" t="s">
        <v>311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>
        <f>EZ2</f>
        <v>1.875810346390904E-5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2.2972045705420805E-2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2.381967648E-9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>
        <f>(K5/(K9*(K25+K28)*K39))*K13*K54*K55</f>
        <v>1.8007779325352684E-8</v>
      </c>
      <c r="L18" s="271" t="s">
        <v>311</v>
      </c>
      <c r="M18" s="267" t="s">
        <v>310</v>
      </c>
      <c r="N18" s="289">
        <f>B294</f>
        <v>2.8000000000000002E-12</v>
      </c>
      <c r="P18" s="267" t="s">
        <v>310</v>
      </c>
      <c r="Q18" s="289">
        <f>B294</f>
        <v>2.8000000000000002E-12</v>
      </c>
      <c r="S18" s="267" t="s">
        <v>310</v>
      </c>
      <c r="T18" s="289">
        <f>B294</f>
        <v>2.8000000000000002E-12</v>
      </c>
      <c r="V18" s="88" t="s">
        <v>74</v>
      </c>
      <c r="W18" s="294">
        <f>((W5*W6*W9)/((W11/W12)*(1-EXP(-W6*W9))*W10*W13*W8*W9))*W7*W20*W21</f>
        <v>6.0796987184839478E-11</v>
      </c>
      <c r="X18" s="88" t="s">
        <v>16</v>
      </c>
      <c r="Y18" s="88" t="s">
        <v>74</v>
      </c>
      <c r="Z18" s="294">
        <f>((Z5*Z6*Z9)/((Z11/Z12)*(1-EXP(-Z6*Z9))*Z10*Z13*Z8*Z9))*Z7*Z20*Z21</f>
        <v>6.0796987184839478E-11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AI18" s="267" t="s">
        <v>310</v>
      </c>
      <c r="AJ18" s="289">
        <f>B294</f>
        <v>2.8000000000000002E-12</v>
      </c>
      <c r="AL18" s="267" t="s">
        <v>310</v>
      </c>
      <c r="AM18" s="289">
        <f>B294</f>
        <v>2.8000000000000002E-12</v>
      </c>
      <c r="AO18" s="267" t="s">
        <v>310</v>
      </c>
      <c r="AP18" s="289">
        <f>B294</f>
        <v>2.8000000000000002E-12</v>
      </c>
      <c r="AR18" s="267" t="s">
        <v>310</v>
      </c>
      <c r="AS18" s="289">
        <f>B294</f>
        <v>2.8000000000000002E-12</v>
      </c>
      <c r="AU18" s="267" t="s">
        <v>310</v>
      </c>
      <c r="AV18" s="289">
        <f>B294</f>
        <v>2.8000000000000002E-12</v>
      </c>
      <c r="AX18" s="267" t="s">
        <v>310</v>
      </c>
      <c r="AY18" s="289">
        <f>B294</f>
        <v>2.8000000000000002E-12</v>
      </c>
      <c r="BA18" s="267" t="s">
        <v>310</v>
      </c>
      <c r="BB18" s="289">
        <f>B294</f>
        <v>2.8000000000000002E-12</v>
      </c>
      <c r="BD18" s="267" t="s">
        <v>310</v>
      </c>
      <c r="BE18" s="289">
        <f>B294</f>
        <v>2.8000000000000002E-12</v>
      </c>
      <c r="BG18" s="267" t="s">
        <v>310</v>
      </c>
      <c r="BH18" s="289">
        <f>B294</f>
        <v>2.8000000000000002E-12</v>
      </c>
      <c r="BJ18" s="267" t="s">
        <v>310</v>
      </c>
      <c r="BK18" s="289">
        <f>B294</f>
        <v>2.8000000000000002E-12</v>
      </c>
      <c r="BM18" s="267" t="s">
        <v>310</v>
      </c>
      <c r="BN18" s="289">
        <f>B294</f>
        <v>2.8000000000000002E-12</v>
      </c>
      <c r="BP18" s="267" t="s">
        <v>310</v>
      </c>
      <c r="BQ18" s="289">
        <f>B294</f>
        <v>2.8000000000000002E-12</v>
      </c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14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1.3346217111366816E-7</v>
      </c>
      <c r="CV18" s="271" t="s">
        <v>311</v>
      </c>
      <c r="CW18" s="266" t="s">
        <v>63</v>
      </c>
      <c r="CX18" s="189">
        <f>B28</f>
        <v>2.381967648E-9</v>
      </c>
      <c r="CY18" s="266" t="s">
        <v>64</v>
      </c>
      <c r="CZ18" s="266" t="s">
        <v>258</v>
      </c>
      <c r="DA18" s="295">
        <f>GS2</f>
        <v>1.3163581378181784E-6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2.2972045705420805E-2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2.2972045705420805E-2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2.2972045705420805E-2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2.2972045705420805E-2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2.2972045705420805E-2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30.167100000000001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1.1248E-10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((W5*W6*W9)/((W11/W12)*(1-EXP(-W6*W9))*W14*W8*W9*(1/365)))*W7*W20*W21</f>
        <v>5.7633774274883082E-8</v>
      </c>
      <c r="X19" s="88" t="s">
        <v>16</v>
      </c>
      <c r="Y19" s="88" t="s">
        <v>78</v>
      </c>
      <c r="Z19" s="296">
        <f>((Z5*Z6*Z9)/((Z11/Z12)*(1-EXP(-Z6*Z9))*Z14*Z8*Z9*(1/365)))*Z7*Z20*Z21</f>
        <v>5.7633774274883082E-8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0.74199999999999999</v>
      </c>
      <c r="AG19" s="305">
        <f>B4</f>
        <v>0.74199999999999999</v>
      </c>
      <c r="AH19" s="267"/>
      <c r="BS19" s="262" t="s">
        <v>63</v>
      </c>
      <c r="BT19" s="287">
        <f>E18</f>
        <v>2.381967648E-9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((CC22*CC23*CC24)/((1-EXP(-CC24*CC23))*CC27*CC31*(CC26/365)*CC29*(CC30/24)*CC28))*CC25*CC32*CC33</f>
        <v>1.9377961514391806E-5</v>
      </c>
      <c r="CD19" s="404" t="s">
        <v>314</v>
      </c>
      <c r="CE19" s="402" t="s">
        <v>562</v>
      </c>
      <c r="CF19" s="400">
        <f>((CF22*CF23*CF24)/((1-EXP(-CF24*CF23))*CF27*CF31*(CF26/365)*CF29*(CF30/24)*CF28))*CF25*CF32*CF33</f>
        <v>2.2916246027325411E-6</v>
      </c>
      <c r="CG19" s="398" t="s">
        <v>311</v>
      </c>
      <c r="CK19" s="410" t="s">
        <v>510</v>
      </c>
      <c r="CL19" s="400">
        <f>(CL22/(CL23*CL24*CL25*CL26))*CL28*CL27*CL32</f>
        <v>2.7935144850867625E-7</v>
      </c>
      <c r="CM19" s="404" t="s">
        <v>311</v>
      </c>
      <c r="CN19" s="402" t="s">
        <v>7</v>
      </c>
      <c r="CO19" s="400">
        <f>(CL19/(CO22*((CO27*CO29*CO30*(CO23+CO24))+(CO28*CO29))))*CL30</f>
        <v>5.9296726959427561E-3</v>
      </c>
      <c r="CP19" s="412" t="s">
        <v>311</v>
      </c>
      <c r="CQ19" s="402" t="s">
        <v>6</v>
      </c>
      <c r="CR19" s="400">
        <f>CL19/(CR22*CR23*(1/CR24))</f>
        <v>1.2697793114030739E-2</v>
      </c>
      <c r="CS19" s="415" t="s">
        <v>313</v>
      </c>
      <c r="CT19" s="266" t="s">
        <v>258</v>
      </c>
      <c r="CU19" s="295">
        <f>GV2</f>
        <v>1.2351581410388845E-8</v>
      </c>
      <c r="CV19" s="271" t="s">
        <v>311</v>
      </c>
      <c r="CW19" s="266" t="s">
        <v>255</v>
      </c>
      <c r="CX19" s="304">
        <f>B173</f>
        <v>2</v>
      </c>
      <c r="CY19" s="88"/>
      <c r="CZ19" s="266" t="s">
        <v>184</v>
      </c>
      <c r="DA19" s="295">
        <f>EK2</f>
        <v>2.5740107669171932E-6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30.167100000000001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30.167100000000001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30.167100000000001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30.167100000000001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30.167100000000001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315</v>
      </c>
      <c r="GP19" s="292">
        <f>B293</f>
        <v>241</v>
      </c>
      <c r="GQ19" s="249" t="s">
        <v>309</v>
      </c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3.0487999999999999E-11</v>
      </c>
      <c r="C20" s="263" t="s">
        <v>35</v>
      </c>
      <c r="D20" s="88" t="s">
        <v>74</v>
      </c>
      <c r="E20" s="294">
        <f>((E5)/(E10*E11))*E7*E26*E27</f>
        <v>2.9914238681918112E-12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315</v>
      </c>
      <c r="W20" s="289">
        <f>B293</f>
        <v>241</v>
      </c>
      <c r="X20" s="249" t="s">
        <v>309</v>
      </c>
      <c r="Y20" s="95" t="s">
        <v>315</v>
      </c>
      <c r="Z20" s="289">
        <f>B293</f>
        <v>241</v>
      </c>
      <c r="AA20" s="249" t="s">
        <v>309</v>
      </c>
      <c r="AB20" s="262" t="s">
        <v>71</v>
      </c>
      <c r="AC20" s="287">
        <f>B23</f>
        <v>2.5337597040000001E-6</v>
      </c>
      <c r="AD20" s="287">
        <f>B23</f>
        <v>2.5337597040000001E-6</v>
      </c>
      <c r="AE20" s="287">
        <f>B23</f>
        <v>2.5337597040000001E-6</v>
      </c>
      <c r="AF20" s="287">
        <f>B23</f>
        <v>2.5337597040000001E-6</v>
      </c>
      <c r="AG20" s="287">
        <f>B23</f>
        <v>2.5337597040000001E-6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4.9893443284346017E-8</v>
      </c>
      <c r="CV20" s="271" t="s">
        <v>311</v>
      </c>
      <c r="CW20" s="88" t="s">
        <v>74</v>
      </c>
      <c r="CX20" s="294">
        <f>((CX5)/((CX14/CX15)*CX10*CX11))*CX7*CX26*CX27</f>
        <v>3.190852126071265E-12</v>
      </c>
      <c r="CY20" s="88" t="s">
        <v>15</v>
      </c>
      <c r="CZ20" s="266" t="s">
        <v>493</v>
      </c>
      <c r="DA20" s="295">
        <f>DV2</f>
        <v>7.304667889537359E-6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6.3E-5</v>
      </c>
      <c r="DH20" s="249" t="s">
        <v>82</v>
      </c>
      <c r="DL20" s="267"/>
      <c r="DO20" s="267" t="s">
        <v>90</v>
      </c>
      <c r="DP20" s="288">
        <f>0.693/B35</f>
        <v>6.3E-5</v>
      </c>
      <c r="DQ20" s="249" t="s">
        <v>82</v>
      </c>
      <c r="DR20" s="95" t="s">
        <v>315</v>
      </c>
      <c r="DS20" s="289">
        <f>B293</f>
        <v>241</v>
      </c>
      <c r="DT20" s="249" t="s">
        <v>309</v>
      </c>
      <c r="DU20" s="267"/>
      <c r="EA20" s="267"/>
      <c r="EB20" s="307"/>
      <c r="EC20" s="263"/>
      <c r="ED20" s="267" t="s">
        <v>90</v>
      </c>
      <c r="EE20" s="299">
        <f>0.693/B35</f>
        <v>6.3E-5</v>
      </c>
      <c r="EF20" s="263" t="s">
        <v>82</v>
      </c>
      <c r="EG20" s="249" t="s">
        <v>315</v>
      </c>
      <c r="EH20" s="297">
        <f>B293</f>
        <v>241</v>
      </c>
      <c r="EI20" s="249" t="s">
        <v>309</v>
      </c>
      <c r="EJ20" s="267"/>
      <c r="EP20" s="267"/>
      <c r="EQ20" s="307"/>
      <c r="ER20" s="263"/>
      <c r="ES20" s="267" t="s">
        <v>90</v>
      </c>
      <c r="ET20" s="299">
        <f>0.693/B35</f>
        <v>6.3E-5</v>
      </c>
      <c r="EU20" s="263" t="s">
        <v>82</v>
      </c>
      <c r="EV20" s="95" t="s">
        <v>315</v>
      </c>
      <c r="EW20" s="297">
        <f>B293</f>
        <v>241</v>
      </c>
      <c r="EX20" s="249" t="s">
        <v>309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6.3E-5</v>
      </c>
      <c r="FJ20" s="263" t="s">
        <v>82</v>
      </c>
      <c r="FK20" s="95" t="s">
        <v>315</v>
      </c>
      <c r="FL20" s="297">
        <f>B293</f>
        <v>241</v>
      </c>
      <c r="FM20" s="249" t="s">
        <v>309</v>
      </c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315</v>
      </c>
      <c r="GA20" s="292">
        <f>B293</f>
        <v>241</v>
      </c>
      <c r="GB20" s="249" t="s">
        <v>309</v>
      </c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6.3E-5</v>
      </c>
      <c r="GN20" s="263" t="s">
        <v>82</v>
      </c>
      <c r="GO20" s="267" t="s">
        <v>310</v>
      </c>
      <c r="GP20" s="292">
        <f>B294</f>
        <v>2.8000000000000002E-12</v>
      </c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6.3E-5</v>
      </c>
      <c r="HC20" s="263" t="s">
        <v>82</v>
      </c>
    </row>
    <row r="21" spans="1:214" ht="15" thickTop="1" thickBot="1" x14ac:dyDescent="0.25">
      <c r="A21" s="262" t="s">
        <v>316</v>
      </c>
      <c r="B21" s="315">
        <v>4.2549999999999998E-11</v>
      </c>
      <c r="C21" s="262" t="s">
        <v>35</v>
      </c>
      <c r="D21" s="88" t="s">
        <v>78</v>
      </c>
      <c r="E21" s="295">
        <f>((E5)/((E14/E15)*E8*E9*E18*(1/365)*E19))*E7*E26*E27</f>
        <v>2.8357827577162641E-9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((N24*N25*N26)/((1-EXP(-N26*N25))*N29*N34*(N28/365)*N32*(((N33/24)*N31)+((N35/24)*N30))))*N27*N36*N37</f>
        <v>5.1079284438927168E-8</v>
      </c>
      <c r="O21" s="637" t="s">
        <v>314</v>
      </c>
      <c r="P21" s="639" t="s">
        <v>516</v>
      </c>
      <c r="Q21" s="647">
        <f>((Q24*Q25*Q26)/((1-EXP(-Q26*Q25))*Q29*Q34*(Q28/365)*Q32*(((Q33/24)*Q31)+((Q35/24)*Q30))))*Q27*Q36*Q37</f>
        <v>1.7763148594947428E-8</v>
      </c>
      <c r="R21" s="643" t="s">
        <v>311</v>
      </c>
      <c r="V21" s="267" t="s">
        <v>310</v>
      </c>
      <c r="W21" s="289">
        <f>B295</f>
        <v>2.8000000000000001E-15</v>
      </c>
      <c r="Y21" s="267" t="s">
        <v>310</v>
      </c>
      <c r="Z21" s="289">
        <f>B295</f>
        <v>2.8000000000000001E-15</v>
      </c>
      <c r="AB21" s="262" t="s">
        <v>43</v>
      </c>
      <c r="AC21" s="290">
        <f>B19</f>
        <v>1.1248E-10</v>
      </c>
      <c r="AD21" s="290">
        <f>B19</f>
        <v>1.1248E-10</v>
      </c>
      <c r="AE21" s="290">
        <f>B19</f>
        <v>1.1248E-10</v>
      </c>
      <c r="AF21" s="290">
        <f>B19</f>
        <v>1.1248E-10</v>
      </c>
      <c r="AG21" s="290">
        <f>B19</f>
        <v>1.1248E-10</v>
      </c>
      <c r="AH21" s="263" t="s">
        <v>35</v>
      </c>
      <c r="AI21" s="381" t="s">
        <v>516</v>
      </c>
      <c r="AJ21" s="387">
        <f>((AJ24*AJ25*AJ26)/((1-EXP(-AJ26*AJ25))*AJ34*(AJ28/365)*AJ29*(AJ35/24)*AJ30*AJ32))*AJ27*AJ36*AJ37</f>
        <v>6.7726324608733591E-7</v>
      </c>
      <c r="AK21" s="629" t="s">
        <v>314</v>
      </c>
      <c r="AL21" s="383" t="s">
        <v>516</v>
      </c>
      <c r="AM21" s="387">
        <f>((AM24*AM25*AM26)/((1-EXP(-AM26*AM25))*AM34*(AM28/365)*AM29*(AM35/24)*AM30*AM32))*AM27*AM36*AM37</f>
        <v>2.3552263525793565E-7</v>
      </c>
      <c r="AN21" s="635" t="s">
        <v>311</v>
      </c>
      <c r="AR21" s="381" t="s">
        <v>516</v>
      </c>
      <c r="AS21" s="387">
        <f>((AS24*AS25*AS26)/((1-EXP(-AS26*AS25))*AS34*(AS28/365)*AS29*(AS33/24)*AS31*AS32))*AS27*AS36*AS37</f>
        <v>2.7090529843493434E-7</v>
      </c>
      <c r="AT21" s="391" t="s">
        <v>314</v>
      </c>
      <c r="AU21" s="383" t="s">
        <v>516</v>
      </c>
      <c r="AV21" s="387">
        <f>((AV24*AV25*AV26)/((1-EXP(-AV26*AV25))*AV34*(AV28/365)*AV29*(AV33/24)*AV31*AV32))*AV27*AV36*AV37</f>
        <v>9.4209054103174282E-8</v>
      </c>
      <c r="AW21" s="385" t="s">
        <v>311</v>
      </c>
      <c r="BA21" s="381" t="s">
        <v>516</v>
      </c>
      <c r="BB21" s="387">
        <f>((BB24*BB25*BB26)/((1-EXP(-BB26*BB25))*BB34*(BB28/365)*BB29*((BB33+BB35)/24)*BB31*BB32))*BB27*BB36*BB37</f>
        <v>2.7090529843493434E-7</v>
      </c>
      <c r="BC21" s="391" t="s">
        <v>314</v>
      </c>
      <c r="BD21" s="383" t="s">
        <v>516</v>
      </c>
      <c r="BE21" s="387">
        <f>((BE24*BE25*BE26)/((1-EXP(-BE26*BE25))*BE34*(BE28/365)*BE29*((BE33+BE35)/24)*BE31*BE32))*BE27*BE36*BE37</f>
        <v>9.4209054103174282E-8</v>
      </c>
      <c r="BF21" s="385" t="s">
        <v>311</v>
      </c>
      <c r="BJ21" s="381" t="s">
        <v>561</v>
      </c>
      <c r="BK21" s="389">
        <f>((BK24*BK25*BK26)/((1-EXP(-BK26*BK25))*BK31*BK35*(BK28/365)*BK33*(BK34/24)*BK32))*BK27*BK36*BK37</f>
        <v>2.1901956377632331E-5</v>
      </c>
      <c r="BL21" s="391" t="s">
        <v>314</v>
      </c>
      <c r="BM21" s="383" t="s">
        <v>562</v>
      </c>
      <c r="BN21" s="389">
        <f>((BN24*BN25*BN26)/((1-EXP(-BN26*BN25))*BN31*BN35*(BN28/365)*BN33*(BN34/24)*BN32))*BN27*BN36*BN37</f>
        <v>2.5901105255927341E-6</v>
      </c>
      <c r="BO21" s="385" t="s">
        <v>311</v>
      </c>
      <c r="BS21" s="88" t="s">
        <v>74</v>
      </c>
      <c r="BT21" s="294">
        <f>((BT5)/(BT10*BT11))*BT7*BT29*BT30</f>
        <v>4.0499276984750678E-11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1.5336966194442457E-7</v>
      </c>
      <c r="CV21" s="271" t="s">
        <v>311</v>
      </c>
      <c r="CW21" s="88" t="s">
        <v>78</v>
      </c>
      <c r="CX21" s="296">
        <f>((CX5)/((CX14/CX15)*CX8*CX9*CX18*(1/365)*CX19))*CX7*CX26*CX27</f>
        <v>9.4526091923875485E-10</v>
      </c>
      <c r="CY21" s="88" t="s">
        <v>15</v>
      </c>
      <c r="CZ21" s="266" t="s">
        <v>492</v>
      </c>
      <c r="DA21" s="295">
        <f>GD2</f>
        <v>2.7789782909494882E-6</v>
      </c>
      <c r="DB21" s="88"/>
      <c r="DC21" s="249" t="s">
        <v>23</v>
      </c>
      <c r="DD21" s="287">
        <f>0.693/DD22</f>
        <v>2.2972045705420805E-2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R21" s="267" t="s">
        <v>310</v>
      </c>
      <c r="DS21" s="289">
        <f>B294</f>
        <v>2.8000000000000002E-12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G21" s="267" t="s">
        <v>310</v>
      </c>
      <c r="EH21" s="289">
        <f>B294</f>
        <v>2.8000000000000002E-12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V21" s="267" t="s">
        <v>310</v>
      </c>
      <c r="EW21" s="289">
        <f>B294</f>
        <v>2.8000000000000002E-12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 t="s">
        <v>310</v>
      </c>
      <c r="FL21" s="292">
        <f>B294</f>
        <v>2.8000000000000002E-12</v>
      </c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FZ21" s="267" t="s">
        <v>310</v>
      </c>
      <c r="GA21" s="289">
        <f>B294</f>
        <v>2.8000000000000002E-12</v>
      </c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3.1782999999999999E-11</v>
      </c>
      <c r="C22" s="262" t="s">
        <v>35</v>
      </c>
      <c r="D22" s="88" t="s">
        <v>74</v>
      </c>
      <c r="E22" s="295">
        <f>((E5*E9*E6)/((1-EXP(-E6*E9))*E10*E11))*E7*E26*E27</f>
        <v>3.7310515573396293E-12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((BT5)/((BT14/24)*(BT8/365)*BT9*BT19*BT20))*BT7*BT29*BT30</f>
        <v>3.8392135796774039E-8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2.1999999999999999E-2</v>
      </c>
      <c r="CQ22" s="262" t="s">
        <v>265</v>
      </c>
      <c r="CR22" s="287">
        <f>CO22</f>
        <v>2.1999999999999999E-2</v>
      </c>
      <c r="CT22" s="266" t="s">
        <v>492</v>
      </c>
      <c r="CU22" s="295">
        <f>GG2</f>
        <v>1.9772173498321208E-8</v>
      </c>
      <c r="CV22" s="271" t="s">
        <v>311</v>
      </c>
      <c r="CW22" s="88" t="s">
        <v>74</v>
      </c>
      <c r="CX22" s="294">
        <f>((CX5*CX9*CX6)/((CX14/CX15)*(1-EXP(-CX6*CX9))*CX10*CX11))*CX7*CX26*CX27</f>
        <v>4.4156591502188718E-12</v>
      </c>
      <c r="CY22" s="88" t="s">
        <v>16</v>
      </c>
      <c r="CZ22" s="266" t="s">
        <v>183</v>
      </c>
      <c r="DA22" s="296">
        <f>FO2</f>
        <v>1.2005186216901789E-9</v>
      </c>
      <c r="DB22" s="88"/>
      <c r="DC22" s="266" t="s">
        <v>270</v>
      </c>
      <c r="DD22" s="287">
        <f>B31</f>
        <v>30.167100000000001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2.5337597040000001E-6</v>
      </c>
      <c r="C23" s="262" t="s">
        <v>95</v>
      </c>
      <c r="D23" s="88" t="s">
        <v>78</v>
      </c>
      <c r="E23" s="296">
        <f>((E5*E9*E6)/((E14/E15)*E8*E9*(1-EXP(-E6*E9))*E18*(1/365)*E19))*E7*E26*E27</f>
        <v>3.5369282791908617E-9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((BT5*BT28*BT6)/((1-EXP(-BT6*BT28))*BT10*BT11))*BT7*BT29*BT30</f>
        <v>5.3790705156456407E-11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3.7370000000000003E-11</v>
      </c>
      <c r="CM23" s="266" t="s">
        <v>13</v>
      </c>
      <c r="CN23" s="249" t="s">
        <v>21</v>
      </c>
      <c r="CO23" s="290">
        <f>CO25</f>
        <v>2.9000000000000001E-2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1.6613371060229414E-11</v>
      </c>
      <c r="CV23" s="271" t="s">
        <v>311</v>
      </c>
      <c r="CW23" s="88" t="s">
        <v>78</v>
      </c>
      <c r="CX23" s="296">
        <f>((CX5*CX9*CX6)/((CX14/CX15)*CX8*CX9*(1-EXP(-CX6*CX9))*CX18*(1/365)*CX19))*CX7*CX26*CX27</f>
        <v>1.3080988596359944E-9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C23" s="95" t="s">
        <v>315</v>
      </c>
      <c r="DD23" s="297">
        <f>B293</f>
        <v>241</v>
      </c>
      <c r="DE23" s="249" t="s">
        <v>309</v>
      </c>
      <c r="DF23" s="262" t="s">
        <v>17</v>
      </c>
      <c r="DG23" s="287">
        <f>B35</f>
        <v>11000</v>
      </c>
      <c r="DH23" s="249" t="s">
        <v>257</v>
      </c>
      <c r="DO23" s="262" t="s">
        <v>20</v>
      </c>
      <c r="DP23" s="305">
        <f>DP25</f>
        <v>2.5229999999999999E-2</v>
      </c>
      <c r="EA23" s="262"/>
      <c r="EB23" s="293"/>
      <c r="EC23" s="263"/>
      <c r="ED23" s="262" t="s">
        <v>20</v>
      </c>
      <c r="EE23" s="305">
        <f>EE25</f>
        <v>2.9000000000000001E-2</v>
      </c>
      <c r="EF23" s="263"/>
      <c r="EP23" s="262"/>
      <c r="EQ23" s="293"/>
      <c r="ER23" s="263"/>
      <c r="ES23" s="262" t="s">
        <v>20</v>
      </c>
      <c r="ET23" s="305">
        <f>ET25</f>
        <v>2.9000000000000001E-2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2.5229999999999999E-2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2.5229999999999999E-2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2.5229999999999999E-2</v>
      </c>
      <c r="HC23" s="263"/>
      <c r="HD23" s="219" t="s">
        <v>574</v>
      </c>
      <c r="HE23" s="348">
        <f>((HE25*HE33*HE38*HE32*10^-3*HE31*HE27)/(HE30*HE41*(1-EXP(-HE27*HE31))))*HE28*HE15*HE16</f>
        <v>7.1573995773345023E-8</v>
      </c>
      <c r="HF23" s="252" t="s">
        <v>311</v>
      </c>
    </row>
    <row r="24" spans="1:214" ht="14.25" thickTop="1" thickBot="1" x14ac:dyDescent="0.25">
      <c r="A24" s="262" t="s">
        <v>450</v>
      </c>
      <c r="B24" s="315">
        <v>5.0675194079999996E-7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((BT5*BT28*BT6)/((BT14/24)*(BT8/365)*BT9*(1-EXP(-BT6*BT28))*BT19*BT20))*BT7*BT29*BT30</f>
        <v>5.0992022839037391E-8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2.2972045705420805E-2</v>
      </c>
      <c r="CE24" s="262" t="s">
        <v>23</v>
      </c>
      <c r="CF24" s="288">
        <f>0.693/CF25</f>
        <v>2.2972045705420805E-2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C24" s="267" t="s">
        <v>310</v>
      </c>
      <c r="DD24" s="289">
        <f>B294</f>
        <v>2.8000000000000002E-12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1.5513416781907221E-13</v>
      </c>
      <c r="HF24" s="75" t="s">
        <v>311</v>
      </c>
    </row>
    <row r="25" spans="1:214" ht="13.5" thickTop="1" x14ac:dyDescent="0.2">
      <c r="A25" s="262" t="s">
        <v>449</v>
      </c>
      <c r="B25" s="315">
        <v>5.1749414784E-7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6.0732920955211665E-11</v>
      </c>
      <c r="X25" s="254" t="s">
        <v>312</v>
      </c>
      <c r="Y25" s="321" t="s">
        <v>16</v>
      </c>
      <c r="Z25" s="358">
        <f>1/((1/Z38)+(1/Z39))</f>
        <v>5.7806210686741282E-11</v>
      </c>
      <c r="AA25" s="255" t="s">
        <v>312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30.167100000000001</v>
      </c>
      <c r="CD25" s="249" t="s">
        <v>69</v>
      </c>
      <c r="CE25" s="266" t="s">
        <v>270</v>
      </c>
      <c r="CF25" s="287">
        <f>B31</f>
        <v>30.167100000000001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2.9000000000000001E-2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2.5229999999999999E-2</v>
      </c>
      <c r="EA25" s="262"/>
      <c r="EC25" s="263"/>
      <c r="ED25" s="262" t="s">
        <v>38</v>
      </c>
      <c r="EE25" s="287">
        <f>B45</f>
        <v>2.9000000000000001E-2</v>
      </c>
      <c r="EF25" s="263"/>
      <c r="EP25" s="262"/>
      <c r="ER25" s="263"/>
      <c r="ES25" s="263" t="s">
        <v>37</v>
      </c>
      <c r="ET25" s="287">
        <f>B45</f>
        <v>2.9000000000000001E-2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2.5229999999999999E-2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2.5229999999999999E-2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2.5229999999999999E-2</v>
      </c>
      <c r="HC25" s="263"/>
      <c r="HD25" s="265" t="s">
        <v>22</v>
      </c>
      <c r="HE25" s="292">
        <f>B47</f>
        <v>200</v>
      </c>
      <c r="HF25" s="262" t="s">
        <v>580</v>
      </c>
    </row>
    <row r="26" spans="1:214" ht="13.5" thickBot="1" x14ac:dyDescent="0.25">
      <c r="A26" s="262" t="s">
        <v>451</v>
      </c>
      <c r="B26" s="315">
        <v>1.4572037375999999E-6</v>
      </c>
      <c r="C26" s="262" t="s">
        <v>95</v>
      </c>
      <c r="D26" s="263" t="s">
        <v>315</v>
      </c>
      <c r="E26" s="289">
        <f>B293</f>
        <v>241</v>
      </c>
      <c r="F26" s="249" t="s">
        <v>309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2.2972045705420805E-2</v>
      </c>
      <c r="P26" s="262" t="s">
        <v>23</v>
      </c>
      <c r="Q26" s="288">
        <f>0.693/Q27</f>
        <v>2.2972045705420805E-2</v>
      </c>
      <c r="V26" s="320" t="s">
        <v>15</v>
      </c>
      <c r="W26" s="359">
        <f>1/((1/W38)+(1/W39))</f>
        <v>5.7374814454852238E-11</v>
      </c>
      <c r="X26" s="258" t="s">
        <v>312</v>
      </c>
      <c r="Y26" s="322" t="s">
        <v>15</v>
      </c>
      <c r="Z26" s="360">
        <f>1/((1/Z40)+(1/Z41))</f>
        <v>5.7374814454852225E-11</v>
      </c>
      <c r="AA26" s="259" t="s">
        <v>312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2.2972045705420805E-2</v>
      </c>
      <c r="AL26" s="262" t="s">
        <v>23</v>
      </c>
      <c r="AM26" s="288">
        <f>0.693/AM27</f>
        <v>2.2972045705420805E-2</v>
      </c>
      <c r="AR26" s="262" t="s">
        <v>23</v>
      </c>
      <c r="AS26" s="288">
        <f>0.693/AS27</f>
        <v>2.2972045705420805E-2</v>
      </c>
      <c r="AU26" s="262" t="s">
        <v>23</v>
      </c>
      <c r="AV26" s="288">
        <f>0.693/AV27</f>
        <v>2.2972045705420805E-2</v>
      </c>
      <c r="BA26" s="262" t="s">
        <v>23</v>
      </c>
      <c r="BB26" s="288">
        <f>0.693/BB27</f>
        <v>2.2972045705420805E-2</v>
      </c>
      <c r="BD26" s="262" t="s">
        <v>23</v>
      </c>
      <c r="BE26" s="288">
        <f>0.693/BE27</f>
        <v>2.2972045705420805E-2</v>
      </c>
      <c r="BJ26" s="262" t="s">
        <v>23</v>
      </c>
      <c r="BK26" s="288">
        <f>0.693/BK27</f>
        <v>2.2972045705420805E-2</v>
      </c>
      <c r="BM26" s="262" t="s">
        <v>23</v>
      </c>
      <c r="BN26" s="288">
        <f>0.693/BN27</f>
        <v>2.2972045705420805E-2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95" t="s">
        <v>315</v>
      </c>
      <c r="CX26" s="194">
        <f>B293</f>
        <v>241</v>
      </c>
      <c r="CY26" s="249" t="s">
        <v>309</v>
      </c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2.9000000000000001E-2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8.8245146725348218E-12</v>
      </c>
      <c r="HF26" s="262" t="s">
        <v>313</v>
      </c>
    </row>
    <row r="27" spans="1:214" ht="15" thickTop="1" x14ac:dyDescent="0.2">
      <c r="A27" s="262" t="s">
        <v>452</v>
      </c>
      <c r="B27" s="315">
        <v>2.2652045279999998E-6</v>
      </c>
      <c r="C27" s="262" t="s">
        <v>95</v>
      </c>
      <c r="D27" s="249" t="s">
        <v>310</v>
      </c>
      <c r="E27" s="289">
        <f>B295</f>
        <v>2.8000000000000001E-15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30.167100000000001</v>
      </c>
      <c r="O27" s="249" t="s">
        <v>69</v>
      </c>
      <c r="P27" s="266" t="s">
        <v>270</v>
      </c>
      <c r="Q27" s="287">
        <f>B31</f>
        <v>30.167100000000001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2.2972045705420805E-2</v>
      </c>
      <c r="AD27" s="288">
        <f>0.693/AD28</f>
        <v>2.2972045705420805E-2</v>
      </c>
      <c r="AE27" s="288">
        <f>0.693/AE28</f>
        <v>2.2972045705420805E-2</v>
      </c>
      <c r="AF27" s="288">
        <f>0.693/AF28</f>
        <v>2.2972045705420805E-2</v>
      </c>
      <c r="AG27" s="288">
        <f>0.693/AG28</f>
        <v>2.2972045705420805E-2</v>
      </c>
      <c r="AI27" s="266" t="s">
        <v>270</v>
      </c>
      <c r="AJ27" s="287">
        <f>B31</f>
        <v>30.167100000000001</v>
      </c>
      <c r="AK27" s="249" t="s">
        <v>69</v>
      </c>
      <c r="AL27" s="266" t="s">
        <v>270</v>
      </c>
      <c r="AM27" s="287">
        <f>B31</f>
        <v>30.167100000000001</v>
      </c>
      <c r="AN27" s="249" t="s">
        <v>69</v>
      </c>
      <c r="AR27" s="266" t="s">
        <v>270</v>
      </c>
      <c r="AS27" s="287">
        <f>B31</f>
        <v>30.167100000000001</v>
      </c>
      <c r="AT27" s="249" t="s">
        <v>69</v>
      </c>
      <c r="AU27" s="266" t="s">
        <v>270</v>
      </c>
      <c r="AV27" s="287">
        <f>B31</f>
        <v>30.167100000000001</v>
      </c>
      <c r="AW27" s="249" t="s">
        <v>69</v>
      </c>
      <c r="BA27" s="266" t="s">
        <v>270</v>
      </c>
      <c r="BB27" s="287">
        <f>B31</f>
        <v>30.167100000000001</v>
      </c>
      <c r="BC27" s="249" t="s">
        <v>69</v>
      </c>
      <c r="BD27" s="266" t="s">
        <v>270</v>
      </c>
      <c r="BE27" s="287">
        <f>B31</f>
        <v>30.167100000000001</v>
      </c>
      <c r="BF27" s="249" t="s">
        <v>69</v>
      </c>
      <c r="BJ27" s="266" t="s">
        <v>270</v>
      </c>
      <c r="BK27" s="287">
        <f>B31</f>
        <v>30.167100000000001</v>
      </c>
      <c r="BL27" s="249" t="s">
        <v>69</v>
      </c>
      <c r="BM27" s="266" t="s">
        <v>270</v>
      </c>
      <c r="BN27" s="287">
        <f>B31</f>
        <v>30.167100000000001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315</v>
      </c>
      <c r="CL27" s="289">
        <f>B293</f>
        <v>241</v>
      </c>
      <c r="CM27" s="249" t="s">
        <v>309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7" t="s">
        <v>310</v>
      </c>
      <c r="CX27" s="304">
        <f>B295</f>
        <v>2.8000000000000001E-15</v>
      </c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4.5999999999999999E-3</v>
      </c>
      <c r="EP27" s="262"/>
      <c r="EQ27" s="310"/>
      <c r="ES27" s="262" t="s">
        <v>275</v>
      </c>
      <c r="ET27" s="310">
        <f>B38</f>
        <v>2.1999999999999999E-2</v>
      </c>
      <c r="FH27" s="262" t="s">
        <v>201</v>
      </c>
      <c r="FI27" s="310">
        <f>B40</f>
        <v>0.4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2.7</v>
      </c>
      <c r="GS27" s="328"/>
      <c r="GT27" s="264"/>
      <c r="GU27" s="264"/>
      <c r="GV27" s="328"/>
      <c r="GW27" s="264"/>
      <c r="HA27" s="262" t="s">
        <v>277</v>
      </c>
      <c r="HB27" s="310">
        <f>B41</f>
        <v>0.2</v>
      </c>
      <c r="HD27" s="262" t="s">
        <v>23</v>
      </c>
      <c r="HE27" s="288">
        <f>0.693/HE28</f>
        <v>2.2972045705420805E-2</v>
      </c>
    </row>
    <row r="28" spans="1:214" ht="15.75" thickBot="1" x14ac:dyDescent="0.25">
      <c r="A28" s="262" t="s">
        <v>63</v>
      </c>
      <c r="B28" s="315">
        <v>2.381967648E-9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2.2972045705420805E-2</v>
      </c>
      <c r="Y28" s="262" t="s">
        <v>23</v>
      </c>
      <c r="Z28" s="288">
        <f>0.693/Z29</f>
        <v>2.2972045705420805E-2</v>
      </c>
      <c r="AB28" s="266" t="s">
        <v>270</v>
      </c>
      <c r="AC28" s="287">
        <f>B31</f>
        <v>30.167100000000001</v>
      </c>
      <c r="AD28" s="287">
        <f>B31</f>
        <v>30.167100000000001</v>
      </c>
      <c r="AE28" s="287">
        <f>B31</f>
        <v>30.167100000000001</v>
      </c>
      <c r="AF28" s="287">
        <f>B31</f>
        <v>30.167100000000001</v>
      </c>
      <c r="AG28" s="287">
        <f>B31</f>
        <v>30.167100000000001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2.6599999999999999E-2</v>
      </c>
      <c r="CE28" s="249" t="s">
        <v>458</v>
      </c>
      <c r="CF28" s="287">
        <f>B8</f>
        <v>5.0099999999999999E-2</v>
      </c>
      <c r="CK28" s="266" t="s">
        <v>270</v>
      </c>
      <c r="CL28" s="287">
        <f>B31</f>
        <v>30.167100000000001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30.167100000000001</v>
      </c>
      <c r="HF28" s="249" t="s">
        <v>69</v>
      </c>
    </row>
    <row r="29" spans="1:214" ht="18.75" thickTop="1" x14ac:dyDescent="0.2">
      <c r="A29" s="266" t="s">
        <v>161</v>
      </c>
      <c r="B29" s="315">
        <v>5.1609299040000001E-12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30.167100000000001</v>
      </c>
      <c r="X29" s="249" t="s">
        <v>69</v>
      </c>
      <c r="Y29" s="266" t="s">
        <v>270</v>
      </c>
      <c r="Z29" s="287">
        <f>B31</f>
        <v>30.167100000000001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95" t="s">
        <v>315</v>
      </c>
      <c r="BT29" s="313">
        <f>B293</f>
        <v>241</v>
      </c>
      <c r="BU29" s="249" t="s">
        <v>309</v>
      </c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0.46500000000000002</v>
      </c>
      <c r="CE29" s="249" t="s">
        <v>459</v>
      </c>
      <c r="CF29" s="287">
        <f>B9</f>
        <v>0.72599999999999998</v>
      </c>
      <c r="CK29" s="249" t="s">
        <v>23</v>
      </c>
      <c r="CL29" s="288">
        <f>693/CL28</f>
        <v>22.972045705420804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3.7370000000000003E-11</v>
      </c>
      <c r="C30" s="267" t="s">
        <v>35</v>
      </c>
      <c r="D30" s="203" t="s">
        <v>510</v>
      </c>
      <c r="E30" s="204">
        <f>E37</f>
        <v>9.0038896626763422E-9</v>
      </c>
      <c r="F30" s="184" t="s">
        <v>311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288">
        <f>(AC26*AC27)/(1-EXP(-AC27*AC26))</f>
        <v>1.0585292786088552</v>
      </c>
      <c r="AD30" s="288">
        <f>(AD26*AD27)/(1-EXP(-AD27*AD26))</f>
        <v>1.0585292786088552</v>
      </c>
      <c r="AE30" s="288">
        <f>(AE26*AE27)/(1-EXP(-AE27*AE26))</f>
        <v>1.0585292786088552</v>
      </c>
      <c r="AF30" s="288">
        <f>(AF26*AF27)/(1-EXP(-AF27*AF26))</f>
        <v>1.0585292786088552</v>
      </c>
      <c r="AG30" s="288">
        <f>(AG26*AG27)/(1-EXP(-AG27*AG26))</f>
        <v>1.0585292786088552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7" t="s">
        <v>310</v>
      </c>
      <c r="BT30" s="137">
        <f>B295</f>
        <v>2.8000000000000001E-15</v>
      </c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597.27318834094092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207">
        <v>30.167100000000001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8.5099999999999995E-2</v>
      </c>
      <c r="CB31" s="249" t="s">
        <v>71</v>
      </c>
      <c r="CC31" s="290">
        <f>B24</f>
        <v>5.0675194079999996E-7</v>
      </c>
      <c r="CD31" s="262" t="s">
        <v>282</v>
      </c>
      <c r="CE31" s="249" t="s">
        <v>71</v>
      </c>
      <c r="CF31" s="290">
        <f>B26</f>
        <v>1.4572037375999999E-6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1.1248E-10</v>
      </c>
      <c r="X32" s="263" t="s">
        <v>44</v>
      </c>
      <c r="Y32" s="249" t="s">
        <v>43</v>
      </c>
      <c r="Z32" s="290">
        <f>B19</f>
        <v>1.1248E-10</v>
      </c>
      <c r="AA32" s="263" t="s">
        <v>44</v>
      </c>
      <c r="AB32" s="266" t="s">
        <v>80</v>
      </c>
      <c r="AC32" s="294">
        <f>((AC5/(AC9*AC14*AC8*AC11*(1/AC6)))*AC30)*AC28*AC38*AC39</f>
        <v>4.4825097264724485E-5</v>
      </c>
      <c r="AD32" s="294">
        <f>((AD5/(AD9*AD14*AD8*AD11*(1/AD6)))*AD30)*AD28*AD38*AD39</f>
        <v>4.4825097264724485E-5</v>
      </c>
      <c r="AE32" s="294">
        <f>((AE5/(AE9*AE14*AE8*AE11*(1/AE6)))*AE30)*AE28*AE38*AE39</f>
        <v>4.4825097264724485E-5</v>
      </c>
      <c r="AF32" s="294">
        <f>((AF5/(AF9*AF14*AF8*AF11*(1/AF6)))*AF30)*AF28*AF38*AF39</f>
        <v>4.4825097264724485E-5</v>
      </c>
      <c r="AG32" s="294">
        <f>((AG5/(AG9*AG14*AG8*AG11*(1/AG6)))*AG30)*AG28*AG38*AG39</f>
        <v>4.4825097264724485E-5</v>
      </c>
      <c r="AH32" s="266" t="s">
        <v>311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2.6599999999999999E-2</v>
      </c>
      <c r="BM32" s="249" t="s">
        <v>458</v>
      </c>
      <c r="BN32" s="287">
        <f>B8</f>
        <v>5.0099999999999999E-2</v>
      </c>
      <c r="BV32" s="95" t="s">
        <v>315</v>
      </c>
      <c r="BW32" s="289">
        <f>B293</f>
        <v>241</v>
      </c>
      <c r="BX32" s="249" t="s">
        <v>309</v>
      </c>
      <c r="BY32" s="262" t="s">
        <v>62</v>
      </c>
      <c r="BZ32" s="305">
        <f>B4</f>
        <v>0.74199999999999999</v>
      </c>
      <c r="CB32" s="95" t="s">
        <v>315</v>
      </c>
      <c r="CC32" s="289">
        <f>B293</f>
        <v>241</v>
      </c>
      <c r="CD32" s="249" t="s">
        <v>309</v>
      </c>
      <c r="CE32" s="95" t="s">
        <v>315</v>
      </c>
      <c r="CF32" s="289">
        <f>B293</f>
        <v>241</v>
      </c>
      <c r="CG32" s="249" t="s">
        <v>309</v>
      </c>
      <c r="CK32" s="267" t="s">
        <v>310</v>
      </c>
      <c r="CL32" s="289">
        <f>B294</f>
        <v>2.8000000000000002E-12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((AC5/(AC21*AC17*AC8*AC11*(1/AC35)*((8/1)/(24/1))*AC31))*AC30)*AC28*AC38*AC39</f>
        <v>5.1652530337570488E-2</v>
      </c>
      <c r="AD33" s="295">
        <f>((AD5/(AD21*AD17*AD8*((8/1)/(24/1))*AD11*(1/AD35)*AD31))*AD30)*AD28*AD38*AD39</f>
        <v>5.1652530337570474E-2</v>
      </c>
      <c r="AE33" s="295">
        <f>((AE5/(AE21*AE17*AE8*((8/1)/(24/1))*AE11*(1/AE35)*AE31))*AE30)*AE28*AE38*AE39</f>
        <v>5.1652530337570474E-2</v>
      </c>
      <c r="AF33" s="295">
        <f>((AF5/(AF21*AF17*AF8*AF11*(1/AF36)*(AF23/24)*AF31))*AF30)*AF28*AF38*AF39</f>
        <v>4.7037512731869675E-5</v>
      </c>
      <c r="AG33" s="295">
        <f>((AG5/(AG21*AG17*AG8*AG11*(1/AG37)*(AG23/24)*AG31))*AG30)*AG28*AG38*AG39</f>
        <v>2.1920877166657269E-3</v>
      </c>
      <c r="AH33" s="88" t="s">
        <v>311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0.46500000000000002</v>
      </c>
      <c r="BM33" s="249" t="s">
        <v>459</v>
      </c>
      <c r="BN33" s="287">
        <f>B9</f>
        <v>0.72599999999999998</v>
      </c>
      <c r="BV33" s="267" t="s">
        <v>310</v>
      </c>
      <c r="BW33" s="289">
        <f>B295</f>
        <v>2.8000000000000001E-15</v>
      </c>
      <c r="BY33" s="269" t="s">
        <v>111</v>
      </c>
      <c r="BZ33" s="298">
        <f>BZ25</f>
        <v>26</v>
      </c>
      <c r="CA33" s="249" t="s">
        <v>69</v>
      </c>
      <c r="CB33" s="267" t="s">
        <v>310</v>
      </c>
      <c r="CC33" s="289">
        <f>B294</f>
        <v>2.8000000000000002E-12</v>
      </c>
      <c r="CE33" s="267" t="s">
        <v>310</v>
      </c>
      <c r="CF33" s="289">
        <f>B294</f>
        <v>2.8000000000000002E-12</v>
      </c>
      <c r="CK33" s="267"/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3.7370000000000003E-11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5.0675194079999996E-7</v>
      </c>
      <c r="O34" s="263" t="s">
        <v>447</v>
      </c>
      <c r="P34" s="249" t="s">
        <v>451</v>
      </c>
      <c r="Q34" s="290">
        <f>B26</f>
        <v>1.4572037375999999E-6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((AC5/(AC20*(AC8/365)*AC11*((AC23+AC24)/24)*AC16*AC19))*AC30)*AC28*AC38*AC39</f>
        <v>5.4181059686986869E-8</v>
      </c>
      <c r="AD34" s="296">
        <f>((AD5/(AD20*(AD8/365)*AD11*(AD24/24)*AD18*AD19))*AD30)*AD28*AD38*AD39</f>
        <v>1.3545264921746717E-7</v>
      </c>
      <c r="AE34" s="296">
        <f>((AE5/(AE20*(AE8/365)*AE11*(AE23/24)*AE16*AE19))*AE30)*AE28*AE38*AE39</f>
        <v>5.4181059686986869E-8</v>
      </c>
      <c r="AF34" s="296">
        <f>((AF5/(AF20*(AF8/365)*AF11*(AF23/24)*AF16*AF19))*AF30)*AF28*AF38*AF39</f>
        <v>8.5805283283321147E-7</v>
      </c>
      <c r="AG34" s="296">
        <f>((AG5/(AG20*(AG8/365)*AG11*(AG23/24)*AG16*AG19))*AG30)*AG28*AG38*AG39</f>
        <v>8.5805283283321147E-7</v>
      </c>
      <c r="AH34" s="266" t="s">
        <v>311</v>
      </c>
      <c r="AI34" s="262" t="s">
        <v>450</v>
      </c>
      <c r="AJ34" s="290">
        <f>B24</f>
        <v>5.0675194079999996E-7</v>
      </c>
      <c r="AK34" s="262" t="s">
        <v>282</v>
      </c>
      <c r="AL34" s="262" t="s">
        <v>451</v>
      </c>
      <c r="AM34" s="290">
        <f>B26</f>
        <v>1.4572037375999999E-6</v>
      </c>
      <c r="AN34" s="263" t="s">
        <v>72</v>
      </c>
      <c r="AR34" s="262" t="s">
        <v>450</v>
      </c>
      <c r="AS34" s="290">
        <f>B24</f>
        <v>5.0675194079999996E-7</v>
      </c>
      <c r="AT34" s="262" t="s">
        <v>282</v>
      </c>
      <c r="AU34" s="262" t="s">
        <v>451</v>
      </c>
      <c r="AV34" s="290">
        <f>B26</f>
        <v>1.4572037375999999E-6</v>
      </c>
      <c r="AW34" s="263" t="s">
        <v>72</v>
      </c>
      <c r="BA34" s="262" t="s">
        <v>450</v>
      </c>
      <c r="BB34" s="290">
        <f>B24</f>
        <v>5.0675194079999996E-7</v>
      </c>
      <c r="BC34" s="262" t="s">
        <v>282</v>
      </c>
      <c r="BD34" s="262" t="s">
        <v>451</v>
      </c>
      <c r="BE34" s="290">
        <f>B26</f>
        <v>1.4572037375999999E-6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V34" s="249" t="s">
        <v>270</v>
      </c>
      <c r="BW34" s="287">
        <f>B31</f>
        <v>30.167100000000001</v>
      </c>
      <c r="BX34" s="249" t="s">
        <v>69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10</v>
      </c>
      <c r="HF34" s="249" t="s">
        <v>19</v>
      </c>
    </row>
    <row r="35" spans="1:214" ht="12.75" customHeight="1" x14ac:dyDescent="0.2">
      <c r="A35" s="266" t="s">
        <v>270</v>
      </c>
      <c r="B35" s="315">
        <v>11000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5.0675194079999996E-7</v>
      </c>
      <c r="BL35" s="262" t="s">
        <v>282</v>
      </c>
      <c r="BM35" s="262" t="s">
        <v>451</v>
      </c>
      <c r="BN35" s="290">
        <f>B26</f>
        <v>1.4572037375999999E-6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ht="12.75" customHeight="1" x14ac:dyDescent="0.2">
      <c r="A36" s="262" t="s">
        <v>122</v>
      </c>
      <c r="B36" s="315">
        <v>2500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95" t="s">
        <v>315</v>
      </c>
      <c r="N36" s="361">
        <f>B293</f>
        <v>241</v>
      </c>
      <c r="O36" s="249" t="s">
        <v>309</v>
      </c>
      <c r="P36" s="95" t="s">
        <v>315</v>
      </c>
      <c r="Q36" s="361">
        <f>B293</f>
        <v>241</v>
      </c>
      <c r="R36" s="249" t="s">
        <v>309</v>
      </c>
      <c r="V36" s="262" t="s">
        <v>63</v>
      </c>
      <c r="W36" s="287">
        <f>B28</f>
        <v>2.381967648E-9</v>
      </c>
      <c r="X36" s="262" t="s">
        <v>64</v>
      </c>
      <c r="Y36" s="262" t="s">
        <v>63</v>
      </c>
      <c r="Z36" s="287">
        <f>B28</f>
        <v>2.381967648E-9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315</v>
      </c>
      <c r="AJ36" s="289">
        <f>B293</f>
        <v>241</v>
      </c>
      <c r="AK36" s="249" t="s">
        <v>309</v>
      </c>
      <c r="AL36" s="95" t="s">
        <v>315</v>
      </c>
      <c r="AM36" s="289">
        <f>B293</f>
        <v>241</v>
      </c>
      <c r="AN36" s="249" t="s">
        <v>309</v>
      </c>
      <c r="AR36" s="95" t="s">
        <v>315</v>
      </c>
      <c r="AS36" s="289">
        <f>B293</f>
        <v>241</v>
      </c>
      <c r="AT36" s="249" t="s">
        <v>309</v>
      </c>
      <c r="AU36" s="95" t="s">
        <v>315</v>
      </c>
      <c r="AV36" s="289">
        <f>B293</f>
        <v>241</v>
      </c>
      <c r="AW36" s="249" t="s">
        <v>309</v>
      </c>
      <c r="BA36" s="95" t="s">
        <v>315</v>
      </c>
      <c r="BB36" s="289">
        <f>B293</f>
        <v>241</v>
      </c>
      <c r="BC36" s="249" t="s">
        <v>309</v>
      </c>
      <c r="BD36" s="95" t="s">
        <v>315</v>
      </c>
      <c r="BE36" s="289">
        <f>B293</f>
        <v>241</v>
      </c>
      <c r="BJ36" s="95" t="s">
        <v>315</v>
      </c>
      <c r="BK36" s="289">
        <f>B293</f>
        <v>241</v>
      </c>
      <c r="BL36" s="249" t="s">
        <v>309</v>
      </c>
      <c r="BM36" s="95" t="s">
        <v>315</v>
      </c>
      <c r="BN36" s="289">
        <f>B293</f>
        <v>241</v>
      </c>
      <c r="BO36" s="249" t="s">
        <v>309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x14ac:dyDescent="0.2">
      <c r="A37" s="262" t="s">
        <v>278</v>
      </c>
      <c r="B37" s="315">
        <v>4.5999999999999999E-3</v>
      </c>
      <c r="C37" s="263" t="s">
        <v>298</v>
      </c>
      <c r="D37" s="262" t="s">
        <v>80</v>
      </c>
      <c r="E37" s="300">
        <f>(E32/(E34*E33*E35*E36))*E7*E38*E39</f>
        <v>9.0038896626763422E-9</v>
      </c>
      <c r="F37" s="263" t="s">
        <v>311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M37" s="267" t="s">
        <v>310</v>
      </c>
      <c r="N37" s="289">
        <f>B294</f>
        <v>2.8000000000000002E-12</v>
      </c>
      <c r="P37" s="267" t="s">
        <v>310</v>
      </c>
      <c r="Q37" s="289">
        <f>B294</f>
        <v>2.8000000000000002E-12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AI37" s="267" t="s">
        <v>310</v>
      </c>
      <c r="AJ37" s="289">
        <f>B294</f>
        <v>2.8000000000000002E-12</v>
      </c>
      <c r="AL37" s="267" t="s">
        <v>310</v>
      </c>
      <c r="AM37" s="289">
        <f>B294</f>
        <v>2.8000000000000002E-12</v>
      </c>
      <c r="AR37" s="267" t="s">
        <v>310</v>
      </c>
      <c r="AS37" s="289">
        <f>B294</f>
        <v>2.8000000000000002E-12</v>
      </c>
      <c r="AU37" s="267" t="s">
        <v>310</v>
      </c>
      <c r="AV37" s="289">
        <f>B294</f>
        <v>2.8000000000000002E-12</v>
      </c>
      <c r="BA37" s="267" t="s">
        <v>310</v>
      </c>
      <c r="BB37" s="289">
        <f>B294</f>
        <v>2.8000000000000002E-12</v>
      </c>
      <c r="BD37" s="267" t="s">
        <v>310</v>
      </c>
      <c r="BE37" s="289">
        <f>B294</f>
        <v>2.8000000000000002E-12</v>
      </c>
      <c r="BJ37" s="267" t="s">
        <v>310</v>
      </c>
      <c r="BK37" s="289">
        <f>B294</f>
        <v>2.8000000000000002E-12</v>
      </c>
      <c r="BM37" s="267" t="s">
        <v>310</v>
      </c>
      <c r="BN37" s="289">
        <f>B294</f>
        <v>2.8000000000000002E-12</v>
      </c>
      <c r="BY37" s="95" t="s">
        <v>315</v>
      </c>
      <c r="BZ37" s="297">
        <f>B293</f>
        <v>241</v>
      </c>
      <c r="CA37" s="249" t="s">
        <v>309</v>
      </c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2.1999999999999999E-2</v>
      </c>
      <c r="C38" s="263" t="s">
        <v>298</v>
      </c>
      <c r="D38" s="95" t="s">
        <v>315</v>
      </c>
      <c r="E38" s="289">
        <f>B293</f>
        <v>241</v>
      </c>
      <c r="F38" s="249" t="s">
        <v>309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((W27)/((W33/W34)*W30*W31*W32*W35))*W29*W42*W43</f>
        <v>5.7435338269282769E-11</v>
      </c>
      <c r="X38" s="88" t="s">
        <v>15</v>
      </c>
      <c r="Y38" s="88" t="s">
        <v>74</v>
      </c>
      <c r="Z38" s="294">
        <f>((Z27*Z31*Z28)/((1-EXP(-Z28))*Z31*Z32*Z30*Z44*(Z33/Z34)*Z35))*Z29*Z46*Z47</f>
        <v>5.8097567645220965E-11</v>
      </c>
      <c r="AA38" s="88" t="s">
        <v>16</v>
      </c>
      <c r="AB38" s="95" t="s">
        <v>315</v>
      </c>
      <c r="AC38" s="297">
        <f>B293</f>
        <v>241</v>
      </c>
      <c r="AD38" s="297">
        <f>B293</f>
        <v>241</v>
      </c>
      <c r="AE38" s="297">
        <f>B293</f>
        <v>241</v>
      </c>
      <c r="AF38" s="297">
        <f>B293</f>
        <v>241</v>
      </c>
      <c r="AG38" s="297">
        <f>B293</f>
        <v>241</v>
      </c>
      <c r="AH38" s="249" t="s">
        <v>309</v>
      </c>
      <c r="AL38" s="262"/>
      <c r="AM38" s="293"/>
      <c r="AN38" s="262"/>
      <c r="BD38" s="262"/>
      <c r="BE38" s="293"/>
      <c r="BF38" s="262"/>
      <c r="BY38" s="267" t="s">
        <v>310</v>
      </c>
      <c r="BZ38" s="289">
        <f>B294</f>
        <v>2.8000000000000002E-12</v>
      </c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x14ac:dyDescent="0.2">
      <c r="A39" s="262" t="s">
        <v>276</v>
      </c>
      <c r="B39" s="315">
        <v>2.7</v>
      </c>
      <c r="C39" s="263" t="s">
        <v>298</v>
      </c>
      <c r="D39" s="267" t="s">
        <v>310</v>
      </c>
      <c r="E39" s="289">
        <f>B294</f>
        <v>2.8000000000000002E-12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((W27)/((W33/W34)*W30*W31*W36*(1/365)))*W29*W42*W43</f>
        <v>5.4447028948152263E-8</v>
      </c>
      <c r="X39" s="88" t="s">
        <v>15</v>
      </c>
      <c r="Y39" s="88" t="s">
        <v>78</v>
      </c>
      <c r="Z39" s="296">
        <f>((Z27*Z31*Z28)/((1-EXP(-Z28*Z31))*Z36*Z30*Z44*(Z33/Z34)*Z37*(Z44/Z45)))*Z29*Z46*Z47</f>
        <v>1.1526754854976618E-8</v>
      </c>
      <c r="AA39" s="88" t="s">
        <v>16</v>
      </c>
      <c r="AB39" s="267" t="s">
        <v>310</v>
      </c>
      <c r="AC39" s="289">
        <f>B294</f>
        <v>2.8000000000000002E-12</v>
      </c>
      <c r="AD39" s="289">
        <f>B294</f>
        <v>2.8000000000000002E-12</v>
      </c>
      <c r="AE39" s="289">
        <f>B294</f>
        <v>2.8000000000000002E-12</v>
      </c>
      <c r="AF39" s="289">
        <f>B294</f>
        <v>2.8000000000000002E-12</v>
      </c>
      <c r="AG39" s="289">
        <f>B294</f>
        <v>2.8000000000000002E-12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0.4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((W27*W28*W31)/((W33/W34)*(1-EXP(-W28*W31))*W32*W35*W30*W31))*W29*W42*W43</f>
        <v>6.0796987184839478E-11</v>
      </c>
      <c r="X40" s="88" t="s">
        <v>16</v>
      </c>
      <c r="Y40" s="88" t="s">
        <v>74</v>
      </c>
      <c r="Z40" s="294">
        <f>(Z27/((Z32*Z30*Z44*(Z33/Z34)*Z35)))*Z29*Z46*Z47</f>
        <v>5.7435338269282762E-11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0.2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((W27*W28*W31)/((W33/W34)*(1-EXP(-W28*W31))*W36*W30*W31*(1/365)))*W29*W42*W43</f>
        <v>5.7633774274883082E-8</v>
      </c>
      <c r="X41" s="88" t="s">
        <v>16</v>
      </c>
      <c r="Y41" s="88" t="s">
        <v>78</v>
      </c>
      <c r="Z41" s="296">
        <f>(Z27/(Z36*Z30*(1/Z45)*Z44*(Z33/Z34)*Z37))*Z29*Z46*Z47</f>
        <v>5.4447028948152263E-8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x14ac:dyDescent="0.2">
      <c r="A42" s="249" t="s">
        <v>265</v>
      </c>
      <c r="B42" s="315">
        <f>B38</f>
        <v>2.1999999999999999E-2</v>
      </c>
      <c r="C42" s="263" t="s">
        <v>298</v>
      </c>
      <c r="D42" s="203" t="s">
        <v>510</v>
      </c>
      <c r="E42" s="204">
        <f>E52</f>
        <v>3.6015558650705367E-12</v>
      </c>
      <c r="F42" s="184" t="s">
        <v>313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315</v>
      </c>
      <c r="W42" s="289">
        <f>B293</f>
        <v>241</v>
      </c>
      <c r="X42" s="249" t="s">
        <v>309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8.5099999999999995E-2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2.7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V43" s="267" t="s">
        <v>310</v>
      </c>
      <c r="W43" s="289">
        <f>B295</f>
        <v>2.8000000000000001E-15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0.74199999999999999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2.5229999999999999E-2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8.5099999999999995E-2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2.9000000000000001E-2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0.74199999999999999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10</v>
      </c>
      <c r="C46" s="249" t="s">
        <v>19</v>
      </c>
      <c r="D46" s="262" t="s">
        <v>438</v>
      </c>
      <c r="E46" s="287">
        <f>B30</f>
        <v>3.7370000000000003E-11</v>
      </c>
      <c r="F46" s="262" t="s">
        <v>289</v>
      </c>
      <c r="G46" s="249" t="s">
        <v>20</v>
      </c>
      <c r="H46" s="287">
        <f>H48</f>
        <v>2.5229999999999999E-2</v>
      </c>
      <c r="I46" s="263"/>
      <c r="J46" s="269" t="s">
        <v>107</v>
      </c>
      <c r="K46" s="292">
        <f>K34</f>
        <v>20</v>
      </c>
      <c r="L46" s="269" t="s">
        <v>69</v>
      </c>
      <c r="Y46" s="95" t="s">
        <v>315</v>
      </c>
      <c r="Z46" s="289">
        <f>B293</f>
        <v>241</v>
      </c>
      <c r="AA46" s="249" t="s">
        <v>309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200</v>
      </c>
      <c r="C47" s="262" t="s">
        <v>14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Y47" s="267" t="s">
        <v>310</v>
      </c>
      <c r="Z47" s="289">
        <f>B295</f>
        <v>2.8000000000000001E-15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2.5229999999999999E-2</v>
      </c>
      <c r="K48" s="289">
        <v>1000</v>
      </c>
      <c r="L48" s="249" t="s">
        <v>115</v>
      </c>
      <c r="CT48" s="95" t="s">
        <v>315</v>
      </c>
      <c r="CU48" s="289">
        <f>B293</f>
        <v>241</v>
      </c>
      <c r="CV48" s="249" t="s">
        <v>309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BY49" s="262"/>
      <c r="BZ49" s="293"/>
      <c r="CT49" s="267" t="s">
        <v>310</v>
      </c>
      <c r="CU49" s="289">
        <f>B294</f>
        <v>2.8000000000000002E-12</v>
      </c>
      <c r="DA49" s="292">
        <v>1000</v>
      </c>
      <c r="DB49" s="267" t="s">
        <v>115</v>
      </c>
      <c r="DW49" s="264"/>
      <c r="DX49" s="264"/>
      <c r="DY49" s="328"/>
      <c r="DZ49" s="264"/>
    </row>
    <row r="50" spans="1:130" ht="15" x14ac:dyDescent="0.2">
      <c r="A50" s="516" t="s">
        <v>2</v>
      </c>
      <c r="B50" s="516"/>
      <c r="C50" s="516"/>
      <c r="D50" s="262" t="s">
        <v>122</v>
      </c>
      <c r="E50" s="298">
        <f>B36</f>
        <v>2500</v>
      </c>
      <c r="F50" s="263" t="s">
        <v>19</v>
      </c>
      <c r="G50" s="249" t="s">
        <v>18</v>
      </c>
      <c r="H50" s="288">
        <f>(H53*H54*H48*((1-EXP(-H55*H56))))/(H57*H55)</f>
        <v>0.66252863179360322</v>
      </c>
      <c r="I50" s="249" t="s">
        <v>19</v>
      </c>
      <c r="J50" s="249" t="s">
        <v>20</v>
      </c>
      <c r="K50" s="287">
        <f>K52</f>
        <v>2.5229999999999999E-2</v>
      </c>
      <c r="BY50" s="263"/>
      <c r="BZ50" s="307"/>
      <c r="CT50" s="263"/>
      <c r="CU50" s="307"/>
      <c r="CZ50" s="95" t="s">
        <v>315</v>
      </c>
      <c r="DA50" s="289">
        <f>B293</f>
        <v>241</v>
      </c>
      <c r="DB50" s="249" t="s">
        <v>309</v>
      </c>
      <c r="DW50" s="264"/>
      <c r="DX50" s="264"/>
      <c r="DY50" s="328"/>
      <c r="DZ50" s="264"/>
    </row>
    <row r="51" spans="1:130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6.8274849094862002</v>
      </c>
      <c r="I51" s="249" t="s">
        <v>19</v>
      </c>
      <c r="J51" s="262" t="s">
        <v>28</v>
      </c>
      <c r="K51" s="293">
        <f>K53</f>
        <v>0.26</v>
      </c>
      <c r="BW51" s="287"/>
      <c r="BY51" s="262"/>
      <c r="BZ51" s="293"/>
      <c r="CT51" s="262"/>
      <c r="CU51" s="293"/>
      <c r="CZ51" s="267" t="s">
        <v>310</v>
      </c>
      <c r="DA51" s="289">
        <f>B294</f>
        <v>2.8000000000000002E-12</v>
      </c>
      <c r="DW51" s="264"/>
      <c r="DX51" s="264"/>
      <c r="DY51" s="328"/>
      <c r="DZ51" s="264"/>
    </row>
    <row r="52" spans="1:130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>
        <f>(E44/(E46*E45*E47*E48*E50*E51*(1/E49)))*E7*E53*E54</f>
        <v>3.6015558650705367E-12</v>
      </c>
      <c r="F52" s="249" t="s">
        <v>313</v>
      </c>
      <c r="G52" s="249" t="s">
        <v>36</v>
      </c>
      <c r="H52" s="288">
        <f>(H53*H54*H58*H64*((1-EXP(-H59*H60))))/(H61*H59)</f>
        <v>3.6385326157733249</v>
      </c>
      <c r="I52" s="249" t="s">
        <v>19</v>
      </c>
      <c r="J52" s="263" t="s">
        <v>37</v>
      </c>
      <c r="K52" s="290">
        <f>B44</f>
        <v>2.5229999999999999E-2</v>
      </c>
      <c r="BW52" s="287"/>
      <c r="CZ52" s="267"/>
      <c r="DW52" s="264"/>
      <c r="DX52" s="264"/>
      <c r="DY52" s="328"/>
      <c r="DZ52" s="264"/>
    </row>
    <row r="53" spans="1:130" x14ac:dyDescent="0.2">
      <c r="A53" s="262" t="s">
        <v>320</v>
      </c>
      <c r="B53" s="283">
        <v>55</v>
      </c>
      <c r="C53" s="263" t="s">
        <v>54</v>
      </c>
      <c r="D53" s="95" t="s">
        <v>315</v>
      </c>
      <c r="E53" s="289">
        <f>B293</f>
        <v>241</v>
      </c>
      <c r="F53" s="249" t="s">
        <v>309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BV53" s="262"/>
      <c r="CZ53" s="267"/>
    </row>
    <row r="54" spans="1:130" x14ac:dyDescent="0.2">
      <c r="A54" s="262" t="s">
        <v>321</v>
      </c>
      <c r="B54" s="283">
        <v>55</v>
      </c>
      <c r="C54" s="263" t="s">
        <v>54</v>
      </c>
      <c r="D54" s="267" t="s">
        <v>310</v>
      </c>
      <c r="E54" s="289">
        <f>B295</f>
        <v>2.8000000000000001E-15</v>
      </c>
      <c r="G54" s="262" t="s">
        <v>46</v>
      </c>
      <c r="H54" s="287">
        <f>B86</f>
        <v>0.25</v>
      </c>
      <c r="I54" s="249" t="s">
        <v>47</v>
      </c>
      <c r="J54" s="267" t="s">
        <v>315</v>
      </c>
      <c r="K54" s="289">
        <f>B293</f>
        <v>241</v>
      </c>
      <c r="L54" s="249" t="s">
        <v>309</v>
      </c>
      <c r="BV54" s="262"/>
      <c r="CZ54" s="267"/>
    </row>
    <row r="55" spans="1:130" x14ac:dyDescent="0.2">
      <c r="A55" s="262" t="s">
        <v>322</v>
      </c>
      <c r="B55" s="283">
        <v>5</v>
      </c>
      <c r="C55" s="262" t="s">
        <v>30</v>
      </c>
      <c r="G55" s="267" t="s">
        <v>55</v>
      </c>
      <c r="H55" s="303">
        <f>H62+H63</f>
        <v>8.9999999999999992E-5</v>
      </c>
      <c r="J55" s="267" t="s">
        <v>310</v>
      </c>
      <c r="K55" s="289">
        <f>B294</f>
        <v>2.8000000000000002E-12</v>
      </c>
      <c r="BV55" s="267"/>
      <c r="CZ55" s="267"/>
    </row>
    <row r="56" spans="1:130" x14ac:dyDescent="0.2">
      <c r="A56" s="262" t="s">
        <v>323</v>
      </c>
      <c r="B56" s="283">
        <v>5</v>
      </c>
      <c r="C56" s="262" t="s">
        <v>30</v>
      </c>
      <c r="G56" s="267" t="s">
        <v>60</v>
      </c>
      <c r="H56" s="289">
        <f>B87</f>
        <v>10950</v>
      </c>
      <c r="I56" s="249" t="s">
        <v>61</v>
      </c>
      <c r="BV56" s="267"/>
      <c r="CZ56" s="267"/>
    </row>
    <row r="57" spans="1:130" x14ac:dyDescent="0.2">
      <c r="A57" s="262" t="s">
        <v>337</v>
      </c>
      <c r="B57" s="283">
        <v>55</v>
      </c>
      <c r="C57" s="249" t="s">
        <v>54</v>
      </c>
      <c r="G57" s="267" t="s">
        <v>65</v>
      </c>
      <c r="H57" s="289">
        <f>B88</f>
        <v>240</v>
      </c>
      <c r="I57" s="249" t="s">
        <v>66</v>
      </c>
      <c r="BV57" s="267"/>
      <c r="CZ57" s="267"/>
      <c r="DA57" s="293"/>
      <c r="DB57" s="262"/>
    </row>
    <row r="58" spans="1:130" x14ac:dyDescent="0.2">
      <c r="A58" s="249" t="s">
        <v>357</v>
      </c>
      <c r="B58" s="283">
        <v>55</v>
      </c>
      <c r="C58" s="249" t="s">
        <v>54</v>
      </c>
      <c r="G58" s="267" t="s">
        <v>76</v>
      </c>
      <c r="H58" s="289">
        <f>B89</f>
        <v>0.42</v>
      </c>
      <c r="I58" s="249" t="s">
        <v>47</v>
      </c>
      <c r="BV58" s="267"/>
      <c r="CZ58" s="267"/>
      <c r="DA58" s="293"/>
      <c r="DB58" s="262"/>
    </row>
    <row r="59" spans="1:130" x14ac:dyDescent="0.2">
      <c r="A59" s="249" t="s">
        <v>336</v>
      </c>
      <c r="B59" s="283">
        <v>55</v>
      </c>
      <c r="C59" s="249" t="s">
        <v>54</v>
      </c>
      <c r="G59" s="267" t="s">
        <v>81</v>
      </c>
      <c r="H59" s="299">
        <f>H63+(0.693/H65)</f>
        <v>4.9562999999999996E-2</v>
      </c>
      <c r="I59" s="262" t="s">
        <v>82</v>
      </c>
      <c r="BV59" s="267"/>
      <c r="CZ59" s="267"/>
      <c r="DA59" s="293"/>
      <c r="DB59" s="262"/>
    </row>
    <row r="60" spans="1:130" x14ac:dyDescent="0.2">
      <c r="A60" s="262" t="s">
        <v>332</v>
      </c>
      <c r="B60" s="283">
        <v>55</v>
      </c>
      <c r="C60" s="267" t="s">
        <v>254</v>
      </c>
      <c r="G60" s="267" t="s">
        <v>85</v>
      </c>
      <c r="H60" s="293">
        <f>B90</f>
        <v>60</v>
      </c>
      <c r="I60" s="262" t="s">
        <v>61</v>
      </c>
      <c r="BV60" s="267"/>
      <c r="CZ60" s="267"/>
    </row>
    <row r="61" spans="1:130" x14ac:dyDescent="0.2">
      <c r="A61" s="262" t="s">
        <v>333</v>
      </c>
      <c r="B61" s="283">
        <v>55</v>
      </c>
      <c r="C61" s="267" t="s">
        <v>254</v>
      </c>
      <c r="G61" s="267" t="s">
        <v>87</v>
      </c>
      <c r="H61" s="293">
        <f>B91</f>
        <v>2</v>
      </c>
      <c r="I61" s="262" t="s">
        <v>66</v>
      </c>
      <c r="BV61" s="267"/>
      <c r="BW61" s="293"/>
      <c r="BX61" s="262"/>
      <c r="CZ61" s="267"/>
      <c r="DA61" s="287"/>
    </row>
    <row r="62" spans="1:130" x14ac:dyDescent="0.2">
      <c r="A62" s="262" t="s">
        <v>334</v>
      </c>
      <c r="B62" s="283">
        <v>55</v>
      </c>
      <c r="C62" s="267" t="s">
        <v>254</v>
      </c>
      <c r="G62" s="267" t="s">
        <v>89</v>
      </c>
      <c r="H62" s="289">
        <f>B92</f>
        <v>2.6999999999999999E-5</v>
      </c>
      <c r="I62" s="249" t="s">
        <v>82</v>
      </c>
      <c r="BV62" s="267"/>
      <c r="BW62" s="293"/>
      <c r="BX62" s="262"/>
      <c r="CZ62" s="267"/>
    </row>
    <row r="63" spans="1:130" x14ac:dyDescent="0.2">
      <c r="A63" s="262" t="s">
        <v>335</v>
      </c>
      <c r="B63" s="283">
        <v>55</v>
      </c>
      <c r="C63" s="267" t="s">
        <v>254</v>
      </c>
      <c r="G63" s="267" t="s">
        <v>90</v>
      </c>
      <c r="H63" s="288">
        <f>0.693/H67</f>
        <v>6.3E-5</v>
      </c>
      <c r="I63" s="249" t="s">
        <v>82</v>
      </c>
      <c r="BV63" s="267"/>
      <c r="BW63" s="293"/>
      <c r="BX63" s="262"/>
      <c r="CZ63" s="267"/>
    </row>
    <row r="64" spans="1:130" x14ac:dyDescent="0.2">
      <c r="A64" s="262" t="s">
        <v>343</v>
      </c>
      <c r="B64" s="283">
        <v>5</v>
      </c>
      <c r="C64" s="264" t="s">
        <v>69</v>
      </c>
      <c r="G64" s="267" t="s">
        <v>91</v>
      </c>
      <c r="H64" s="289">
        <f>B93</f>
        <v>1</v>
      </c>
      <c r="I64" s="249" t="s">
        <v>47</v>
      </c>
      <c r="AI64" s="275"/>
      <c r="AJ64" s="353"/>
      <c r="AK64" s="275"/>
      <c r="BV64" s="267"/>
    </row>
    <row r="65" spans="1:105" x14ac:dyDescent="0.2">
      <c r="A65" s="262" t="s">
        <v>342</v>
      </c>
      <c r="B65" s="283">
        <v>15</v>
      </c>
      <c r="C65" s="264" t="s">
        <v>69</v>
      </c>
      <c r="G65" s="267" t="s">
        <v>92</v>
      </c>
      <c r="H65" s="289">
        <f>B94</f>
        <v>14</v>
      </c>
      <c r="I65" s="249" t="s">
        <v>93</v>
      </c>
      <c r="AI65" s="275"/>
      <c r="AJ65" s="353"/>
      <c r="AK65" s="275"/>
      <c r="BV65" s="267"/>
    </row>
    <row r="66" spans="1:105" x14ac:dyDescent="0.2">
      <c r="A66" s="262" t="s">
        <v>341</v>
      </c>
      <c r="B66" s="283">
        <v>20</v>
      </c>
      <c r="C66" s="264" t="s">
        <v>69</v>
      </c>
      <c r="G66" s="249" t="s">
        <v>38</v>
      </c>
      <c r="H66" s="287">
        <f>B45</f>
        <v>2.9000000000000001E-2</v>
      </c>
      <c r="AI66" s="275"/>
      <c r="AJ66" s="353"/>
      <c r="AK66" s="275"/>
      <c r="BV66" s="267"/>
      <c r="CZ66" s="262"/>
      <c r="DA66" s="287"/>
    </row>
    <row r="67" spans="1:105" x14ac:dyDescent="0.2">
      <c r="A67" s="262" t="s">
        <v>340</v>
      </c>
      <c r="B67" s="283">
        <v>55</v>
      </c>
      <c r="C67" s="264" t="s">
        <v>26</v>
      </c>
      <c r="G67" s="262" t="s">
        <v>273</v>
      </c>
      <c r="H67" s="287">
        <f>B35</f>
        <v>11000</v>
      </c>
      <c r="I67" s="249" t="s">
        <v>257</v>
      </c>
      <c r="AI67" s="275"/>
      <c r="AJ67" s="353"/>
      <c r="AK67" s="275"/>
      <c r="BV67" s="267"/>
    </row>
    <row r="68" spans="1:105" x14ac:dyDescent="0.2">
      <c r="A68" s="262" t="s">
        <v>339</v>
      </c>
      <c r="B68" s="283">
        <v>55</v>
      </c>
      <c r="C68" s="264" t="s">
        <v>26</v>
      </c>
      <c r="G68" s="95" t="s">
        <v>315</v>
      </c>
      <c r="H68" s="297">
        <f>B293</f>
        <v>241</v>
      </c>
      <c r="I68" s="249" t="s">
        <v>309</v>
      </c>
      <c r="AI68" s="275"/>
      <c r="AJ68" s="353"/>
      <c r="AK68" s="275"/>
    </row>
    <row r="69" spans="1:105" x14ac:dyDescent="0.2">
      <c r="A69" s="262" t="s">
        <v>338</v>
      </c>
      <c r="B69" s="283">
        <v>55</v>
      </c>
      <c r="C69" s="264" t="s">
        <v>26</v>
      </c>
      <c r="G69" s="267" t="s">
        <v>310</v>
      </c>
      <c r="H69" s="289">
        <f>B295</f>
        <v>2.8000000000000001E-15</v>
      </c>
      <c r="AI69" s="275"/>
      <c r="AJ69" s="353"/>
      <c r="AK69" s="275"/>
      <c r="BV69" s="262"/>
      <c r="BW69" s="287"/>
    </row>
    <row r="70" spans="1:105" x14ac:dyDescent="0.2">
      <c r="A70" s="249" t="s">
        <v>344</v>
      </c>
      <c r="B70" s="284">
        <v>2</v>
      </c>
      <c r="C70" s="92" t="s">
        <v>104</v>
      </c>
      <c r="G70" s="249" t="s">
        <v>270</v>
      </c>
      <c r="H70" s="287">
        <f>B31</f>
        <v>30.167100000000001</v>
      </c>
      <c r="I70" s="249" t="s">
        <v>69</v>
      </c>
      <c r="AI70" s="275"/>
      <c r="AJ70" s="353"/>
      <c r="AK70" s="275"/>
      <c r="BV70" s="262"/>
    </row>
    <row r="71" spans="1:105" x14ac:dyDescent="0.2">
      <c r="A71" s="249" t="s">
        <v>345</v>
      </c>
      <c r="B71" s="284">
        <v>2</v>
      </c>
      <c r="C71" s="92" t="s">
        <v>104</v>
      </c>
      <c r="AI71" s="275"/>
      <c r="AJ71" s="353"/>
      <c r="AK71" s="275"/>
      <c r="BV71" s="262"/>
    </row>
    <row r="72" spans="1:105" x14ac:dyDescent="0.2">
      <c r="A72" s="262" t="s">
        <v>347</v>
      </c>
      <c r="B72" s="283">
        <v>15</v>
      </c>
      <c r="C72" s="264" t="s">
        <v>224</v>
      </c>
      <c r="AF72" s="277"/>
      <c r="AG72" s="353"/>
      <c r="AH72" s="275"/>
      <c r="AI72" s="275"/>
      <c r="AJ72" s="353"/>
      <c r="AK72" s="275"/>
    </row>
    <row r="73" spans="1:105" x14ac:dyDescent="0.2">
      <c r="A73" s="262" t="s">
        <v>348</v>
      </c>
      <c r="B73" s="283">
        <v>15</v>
      </c>
      <c r="C73" s="264" t="s">
        <v>224</v>
      </c>
      <c r="AF73" s="277"/>
      <c r="AG73" s="353"/>
      <c r="AH73" s="275"/>
      <c r="AI73" s="275"/>
      <c r="AJ73" s="353"/>
      <c r="AK73" s="275"/>
    </row>
    <row r="74" spans="1:105" x14ac:dyDescent="0.2">
      <c r="A74" s="262" t="s">
        <v>346</v>
      </c>
      <c r="B74" s="283">
        <v>15</v>
      </c>
      <c r="C74" s="264" t="s">
        <v>224</v>
      </c>
      <c r="AF74" s="277"/>
      <c r="AG74" s="353"/>
      <c r="AH74" s="275"/>
      <c r="AI74" s="275"/>
      <c r="AJ74" s="353"/>
      <c r="AK74" s="275"/>
    </row>
    <row r="75" spans="1:105" x14ac:dyDescent="0.2">
      <c r="A75" s="249" t="s">
        <v>349</v>
      </c>
      <c r="B75" s="284">
        <v>2</v>
      </c>
      <c r="C75" s="92" t="s">
        <v>98</v>
      </c>
      <c r="AF75" s="277"/>
      <c r="AG75" s="353"/>
      <c r="AH75" s="275"/>
      <c r="AI75" s="275"/>
      <c r="AJ75" s="353"/>
      <c r="AK75" s="275"/>
    </row>
    <row r="76" spans="1:105" x14ac:dyDescent="0.2">
      <c r="A76" s="249" t="s">
        <v>350</v>
      </c>
      <c r="B76" s="284">
        <v>2</v>
      </c>
      <c r="C76" s="92" t="s">
        <v>98</v>
      </c>
      <c r="AF76" s="277"/>
      <c r="AG76" s="353"/>
      <c r="AH76" s="275"/>
      <c r="AI76" s="275"/>
      <c r="AJ76" s="353"/>
      <c r="AK76" s="275"/>
    </row>
    <row r="77" spans="1:105" x14ac:dyDescent="0.2">
      <c r="A77" s="262" t="s">
        <v>103</v>
      </c>
      <c r="B77" s="283">
        <v>0.4</v>
      </c>
      <c r="AF77" s="277"/>
      <c r="AG77" s="353"/>
      <c r="AH77" s="275"/>
      <c r="AI77" s="275"/>
      <c r="AJ77" s="353"/>
      <c r="AK77" s="275"/>
    </row>
    <row r="78" spans="1:105" x14ac:dyDescent="0.2">
      <c r="A78" s="249" t="s">
        <v>353</v>
      </c>
      <c r="B78" s="284">
        <v>1</v>
      </c>
      <c r="C78" s="247"/>
      <c r="AF78" s="277"/>
      <c r="AG78" s="353"/>
    </row>
    <row r="79" spans="1:105" x14ac:dyDescent="0.2">
      <c r="A79" s="249" t="s">
        <v>158</v>
      </c>
      <c r="B79" s="284">
        <v>0.4</v>
      </c>
      <c r="C79" s="247"/>
      <c r="AF79" s="277"/>
      <c r="AG79" s="353"/>
      <c r="AH79" s="275"/>
      <c r="AI79" s="275"/>
      <c r="AJ79" s="353"/>
      <c r="AK79" s="275"/>
    </row>
    <row r="80" spans="1:105" x14ac:dyDescent="0.2">
      <c r="A80" s="249" t="s">
        <v>159</v>
      </c>
      <c r="B80" s="282">
        <f>B3</f>
        <v>8.5099999999999995E-2</v>
      </c>
      <c r="C80" s="247"/>
      <c r="AF80" s="277"/>
      <c r="AG80" s="353"/>
      <c r="AH80" s="275"/>
      <c r="AI80" s="275"/>
      <c r="AJ80" s="353"/>
      <c r="AK80" s="275"/>
    </row>
    <row r="81" spans="1:37" x14ac:dyDescent="0.2">
      <c r="A81" s="249" t="s">
        <v>62</v>
      </c>
      <c r="B81" s="282">
        <f>B4</f>
        <v>0.74199999999999999</v>
      </c>
      <c r="C81" s="247"/>
      <c r="AF81" s="277"/>
      <c r="AG81" s="353"/>
      <c r="AH81" s="275"/>
      <c r="AI81" s="275"/>
      <c r="AJ81" s="353"/>
      <c r="AK81" s="275"/>
    </row>
    <row r="82" spans="1:37" x14ac:dyDescent="0.2">
      <c r="A82" s="262" t="s">
        <v>124</v>
      </c>
      <c r="B82" s="284">
        <v>1</v>
      </c>
      <c r="C82" s="263" t="s">
        <v>125</v>
      </c>
      <c r="AF82" s="277"/>
      <c r="AG82" s="353"/>
      <c r="AH82" s="275"/>
      <c r="AI82" s="275"/>
      <c r="AJ82" s="353"/>
      <c r="AK82" s="275"/>
    </row>
    <row r="83" spans="1:37" x14ac:dyDescent="0.2">
      <c r="A83" s="249" t="s">
        <v>83</v>
      </c>
      <c r="B83" s="284">
        <v>0.5</v>
      </c>
      <c r="C83" s="249" t="s">
        <v>84</v>
      </c>
      <c r="AF83" s="277"/>
      <c r="AG83" s="353"/>
    </row>
    <row r="84" spans="1:37" x14ac:dyDescent="0.2">
      <c r="A84" s="249" t="s">
        <v>355</v>
      </c>
      <c r="B84" s="284">
        <v>0.25</v>
      </c>
      <c r="C84" s="247"/>
      <c r="AF84" s="277"/>
      <c r="AG84" s="353"/>
      <c r="AH84" s="275"/>
      <c r="AI84" s="275"/>
      <c r="AJ84" s="353"/>
      <c r="AK84" s="275"/>
    </row>
    <row r="85" spans="1:37" x14ac:dyDescent="0.2">
      <c r="A85" s="262" t="s">
        <v>41</v>
      </c>
      <c r="B85" s="284">
        <v>3.62</v>
      </c>
      <c r="C85" s="249" t="s">
        <v>42</v>
      </c>
      <c r="AF85" s="277"/>
      <c r="AG85" s="353"/>
    </row>
    <row r="86" spans="1:37" x14ac:dyDescent="0.2">
      <c r="A86" s="262" t="s">
        <v>46</v>
      </c>
      <c r="B86" s="284">
        <v>0.25</v>
      </c>
      <c r="C86" s="249" t="s">
        <v>47</v>
      </c>
      <c r="AH86" s="276"/>
      <c r="AI86" s="276"/>
      <c r="AJ86" s="277"/>
      <c r="AK86" s="276"/>
    </row>
    <row r="87" spans="1:37" x14ac:dyDescent="0.2">
      <c r="A87" s="267" t="s">
        <v>60</v>
      </c>
      <c r="B87" s="284">
        <v>10950</v>
      </c>
      <c r="C87" s="249" t="s">
        <v>61</v>
      </c>
    </row>
    <row r="88" spans="1:37" x14ac:dyDescent="0.2">
      <c r="A88" s="267" t="s">
        <v>65</v>
      </c>
      <c r="B88" s="284">
        <v>240</v>
      </c>
      <c r="C88" s="249" t="s">
        <v>66</v>
      </c>
    </row>
    <row r="89" spans="1:37" x14ac:dyDescent="0.2">
      <c r="A89" s="267" t="s">
        <v>76</v>
      </c>
      <c r="B89" s="284">
        <v>0.42</v>
      </c>
      <c r="C89" s="249" t="s">
        <v>47</v>
      </c>
    </row>
    <row r="90" spans="1:37" x14ac:dyDescent="0.2">
      <c r="A90" s="267" t="s">
        <v>85</v>
      </c>
      <c r="B90" s="284">
        <v>60</v>
      </c>
      <c r="C90" s="262" t="s">
        <v>61</v>
      </c>
    </row>
    <row r="91" spans="1:37" x14ac:dyDescent="0.2">
      <c r="A91" s="267" t="s">
        <v>87</v>
      </c>
      <c r="B91" s="284">
        <v>2</v>
      </c>
      <c r="C91" s="262" t="s">
        <v>66</v>
      </c>
    </row>
    <row r="92" spans="1:37" x14ac:dyDescent="0.2">
      <c r="A92" s="267" t="s">
        <v>89</v>
      </c>
      <c r="B92" s="284">
        <v>2.6999999999999999E-5</v>
      </c>
      <c r="C92" s="249" t="s">
        <v>82</v>
      </c>
    </row>
    <row r="93" spans="1:37" x14ac:dyDescent="0.2">
      <c r="A93" s="267" t="s">
        <v>91</v>
      </c>
      <c r="B93" s="284">
        <v>1</v>
      </c>
      <c r="C93" s="249" t="s">
        <v>47</v>
      </c>
    </row>
    <row r="94" spans="1:37" x14ac:dyDescent="0.2">
      <c r="A94" s="267" t="s">
        <v>92</v>
      </c>
      <c r="B94" s="284">
        <v>14</v>
      </c>
      <c r="C94" s="249" t="s">
        <v>93</v>
      </c>
    </row>
    <row r="95" spans="1:37" x14ac:dyDescent="0.2">
      <c r="A95" s="262" t="s">
        <v>356</v>
      </c>
      <c r="B95" s="283">
        <v>1</v>
      </c>
    </row>
    <row r="96" spans="1:37" x14ac:dyDescent="0.2">
      <c r="A96" s="262" t="s">
        <v>351</v>
      </c>
      <c r="B96" s="283">
        <v>1.752</v>
      </c>
      <c r="C96" s="264" t="s">
        <v>224</v>
      </c>
    </row>
    <row r="97" spans="1:3" x14ac:dyDescent="0.2">
      <c r="A97" s="262" t="s">
        <v>352</v>
      </c>
      <c r="B97" s="283">
        <v>16.416</v>
      </c>
      <c r="C97" s="264" t="s">
        <v>224</v>
      </c>
    </row>
    <row r="98" spans="1:3" ht="15" x14ac:dyDescent="0.2">
      <c r="A98" s="517" t="s">
        <v>5</v>
      </c>
      <c r="B98" s="517"/>
      <c r="C98" s="517"/>
    </row>
    <row r="99" spans="1:3" x14ac:dyDescent="0.2">
      <c r="A99" s="262" t="s">
        <v>358</v>
      </c>
      <c r="B99" s="284">
        <v>55</v>
      </c>
      <c r="C99" s="267" t="s">
        <v>359</v>
      </c>
    </row>
    <row r="100" spans="1:3" x14ac:dyDescent="0.2">
      <c r="A100" s="262" t="s">
        <v>360</v>
      </c>
      <c r="B100" s="284">
        <v>55</v>
      </c>
      <c r="C100" s="267" t="s">
        <v>359</v>
      </c>
    </row>
    <row r="101" spans="1:3" x14ac:dyDescent="0.2">
      <c r="A101" s="262" t="s">
        <v>305</v>
      </c>
      <c r="B101" s="283">
        <v>5</v>
      </c>
      <c r="C101" s="262" t="s">
        <v>361</v>
      </c>
    </row>
    <row r="102" spans="1:3" x14ac:dyDescent="0.2">
      <c r="A102" s="262" t="s">
        <v>306</v>
      </c>
      <c r="B102" s="283">
        <v>5</v>
      </c>
      <c r="C102" s="262" t="s">
        <v>361</v>
      </c>
    </row>
    <row r="103" spans="1:3" x14ac:dyDescent="0.2">
      <c r="A103" s="262" t="s">
        <v>362</v>
      </c>
      <c r="B103" s="284">
        <v>55</v>
      </c>
      <c r="C103" s="263" t="s">
        <v>54</v>
      </c>
    </row>
    <row r="104" spans="1:3" x14ac:dyDescent="0.2">
      <c r="A104" s="262" t="s">
        <v>363</v>
      </c>
      <c r="B104" s="284">
        <v>55</v>
      </c>
      <c r="C104" s="263" t="s">
        <v>54</v>
      </c>
    </row>
    <row r="105" spans="1:3" x14ac:dyDescent="0.2">
      <c r="A105" s="249" t="s">
        <v>187</v>
      </c>
      <c r="B105" s="284">
        <v>1</v>
      </c>
      <c r="C105" s="249" t="s">
        <v>254</v>
      </c>
    </row>
    <row r="106" spans="1:3" x14ac:dyDescent="0.2">
      <c r="A106" s="249" t="s">
        <v>188</v>
      </c>
      <c r="B106" s="284">
        <v>1</v>
      </c>
      <c r="C106" s="249" t="s">
        <v>254</v>
      </c>
    </row>
    <row r="107" spans="1:3" x14ac:dyDescent="0.2">
      <c r="A107" s="94" t="s">
        <v>373</v>
      </c>
      <c r="B107" s="283">
        <v>6</v>
      </c>
      <c r="C107" s="270" t="s">
        <v>69</v>
      </c>
    </row>
    <row r="108" spans="1:3" x14ac:dyDescent="0.2">
      <c r="A108" s="94" t="s">
        <v>372</v>
      </c>
      <c r="B108" s="283">
        <f>B109-B107</f>
        <v>20</v>
      </c>
      <c r="C108" s="270" t="s">
        <v>69</v>
      </c>
    </row>
    <row r="109" spans="1:3" x14ac:dyDescent="0.2">
      <c r="A109" s="94" t="s">
        <v>59</v>
      </c>
      <c r="B109" s="283">
        <v>26</v>
      </c>
      <c r="C109" s="270" t="s">
        <v>69</v>
      </c>
    </row>
    <row r="110" spans="1:3" x14ac:dyDescent="0.2">
      <c r="A110" s="94" t="s">
        <v>371</v>
      </c>
      <c r="B110" s="107">
        <v>75</v>
      </c>
      <c r="C110" s="94" t="s">
        <v>26</v>
      </c>
    </row>
    <row r="111" spans="1:3" x14ac:dyDescent="0.2">
      <c r="A111" s="94" t="s">
        <v>370</v>
      </c>
      <c r="B111" s="283">
        <v>75</v>
      </c>
      <c r="C111" s="94" t="s">
        <v>26</v>
      </c>
    </row>
    <row r="112" spans="1:3" x14ac:dyDescent="0.2">
      <c r="A112" s="94" t="s">
        <v>157</v>
      </c>
      <c r="B112" s="283">
        <v>75</v>
      </c>
      <c r="C112" s="94" t="s">
        <v>26</v>
      </c>
    </row>
    <row r="113" spans="1:3" x14ac:dyDescent="0.2">
      <c r="A113" s="94" t="s">
        <v>105</v>
      </c>
      <c r="B113" s="283">
        <v>1</v>
      </c>
      <c r="C113" s="92" t="s">
        <v>224</v>
      </c>
    </row>
    <row r="114" spans="1:3" x14ac:dyDescent="0.2">
      <c r="A114" s="92" t="s">
        <v>368</v>
      </c>
      <c r="B114" s="284">
        <v>1</v>
      </c>
      <c r="C114" s="92" t="s">
        <v>224</v>
      </c>
    </row>
    <row r="115" spans="1:3" x14ac:dyDescent="0.2">
      <c r="A115" s="92" t="s">
        <v>369</v>
      </c>
      <c r="B115" s="284">
        <v>1</v>
      </c>
      <c r="C115" s="92" t="s">
        <v>224</v>
      </c>
    </row>
    <row r="116" spans="1:3" x14ac:dyDescent="0.2">
      <c r="A116" s="249" t="s">
        <v>366</v>
      </c>
      <c r="B116" s="284">
        <v>1</v>
      </c>
      <c r="C116" s="249" t="s">
        <v>104</v>
      </c>
    </row>
    <row r="117" spans="1:3" x14ac:dyDescent="0.2">
      <c r="A117" s="249" t="s">
        <v>367</v>
      </c>
      <c r="B117" s="284">
        <v>1</v>
      </c>
      <c r="C117" s="249" t="s">
        <v>104</v>
      </c>
    </row>
    <row r="118" spans="1:3" x14ac:dyDescent="0.2">
      <c r="A118" s="94" t="s">
        <v>364</v>
      </c>
      <c r="B118" s="284">
        <v>1</v>
      </c>
      <c r="C118" s="92" t="s">
        <v>98</v>
      </c>
    </row>
    <row r="119" spans="1:3" x14ac:dyDescent="0.2">
      <c r="A119" s="94" t="s">
        <v>365</v>
      </c>
      <c r="B119" s="284">
        <v>1</v>
      </c>
      <c r="C119" s="92" t="s">
        <v>98</v>
      </c>
    </row>
    <row r="120" spans="1:3" x14ac:dyDescent="0.2">
      <c r="A120" s="263" t="s">
        <v>192</v>
      </c>
      <c r="B120" s="283">
        <v>1</v>
      </c>
      <c r="C120" s="249" t="s">
        <v>283</v>
      </c>
    </row>
    <row r="121" spans="1:3" x14ac:dyDescent="0.2">
      <c r="A121" s="263" t="s">
        <v>189</v>
      </c>
      <c r="B121" s="283">
        <v>1</v>
      </c>
      <c r="C121" s="249" t="s">
        <v>283</v>
      </c>
    </row>
    <row r="122" spans="1:3" x14ac:dyDescent="0.2">
      <c r="A122" s="263" t="s">
        <v>190</v>
      </c>
      <c r="B122" s="283">
        <v>1</v>
      </c>
      <c r="C122" s="249" t="s">
        <v>47</v>
      </c>
    </row>
    <row r="123" spans="1:3" x14ac:dyDescent="0.2">
      <c r="A123" s="263" t="s">
        <v>191</v>
      </c>
      <c r="B123" s="283">
        <v>1</v>
      </c>
      <c r="C123" s="249" t="s">
        <v>47</v>
      </c>
    </row>
    <row r="124" spans="1:3" x14ac:dyDescent="0.2">
      <c r="A124" s="263" t="s">
        <v>199</v>
      </c>
      <c r="B124" s="283">
        <v>1</v>
      </c>
      <c r="C124" s="249" t="s">
        <v>30</v>
      </c>
    </row>
    <row r="125" spans="1:3" x14ac:dyDescent="0.2">
      <c r="A125" s="249" t="s">
        <v>193</v>
      </c>
      <c r="B125" s="283">
        <v>1</v>
      </c>
      <c r="C125" s="249" t="s">
        <v>283</v>
      </c>
    </row>
    <row r="126" spans="1:3" x14ac:dyDescent="0.2">
      <c r="A126" s="249" t="s">
        <v>196</v>
      </c>
      <c r="B126" s="283">
        <v>1</v>
      </c>
      <c r="C126" s="249" t="s">
        <v>283</v>
      </c>
    </row>
    <row r="127" spans="1:3" x14ac:dyDescent="0.2">
      <c r="A127" s="268" t="s">
        <v>197</v>
      </c>
      <c r="B127" s="283">
        <v>1</v>
      </c>
      <c r="C127" s="249" t="s">
        <v>47</v>
      </c>
    </row>
    <row r="128" spans="1:3" x14ac:dyDescent="0.2">
      <c r="A128" s="262" t="s">
        <v>198</v>
      </c>
      <c r="B128" s="283">
        <v>1</v>
      </c>
      <c r="C128" s="249" t="s">
        <v>47</v>
      </c>
    </row>
    <row r="129" spans="1:3" x14ac:dyDescent="0.2">
      <c r="A129" s="263" t="s">
        <v>200</v>
      </c>
      <c r="B129" s="283">
        <v>1</v>
      </c>
      <c r="C129" s="249" t="s">
        <v>30</v>
      </c>
    </row>
    <row r="130" spans="1:3" x14ac:dyDescent="0.2">
      <c r="A130" s="262" t="s">
        <v>255</v>
      </c>
      <c r="B130" s="284">
        <v>1</v>
      </c>
    </row>
    <row r="131" spans="1:3" x14ac:dyDescent="0.2">
      <c r="A131" s="249" t="s">
        <v>83</v>
      </c>
      <c r="B131" s="284">
        <v>0.5</v>
      </c>
    </row>
    <row r="132" spans="1:3" ht="15" x14ac:dyDescent="0.2">
      <c r="A132" s="518" t="s">
        <v>180</v>
      </c>
      <c r="B132" s="518"/>
      <c r="C132" s="518"/>
    </row>
    <row r="133" spans="1:3" x14ac:dyDescent="0.2">
      <c r="A133" s="262" t="s">
        <v>374</v>
      </c>
      <c r="B133" s="283">
        <v>55</v>
      </c>
      <c r="C133" s="263" t="s">
        <v>54</v>
      </c>
    </row>
    <row r="134" spans="1:3" x14ac:dyDescent="0.2">
      <c r="A134" s="262" t="s">
        <v>375</v>
      </c>
      <c r="B134" s="283">
        <v>55</v>
      </c>
      <c r="C134" s="263" t="s">
        <v>54</v>
      </c>
    </row>
    <row r="135" spans="1:3" x14ac:dyDescent="0.2">
      <c r="A135" s="262" t="s">
        <v>376</v>
      </c>
      <c r="B135" s="283">
        <v>55</v>
      </c>
      <c r="C135" s="267" t="s">
        <v>359</v>
      </c>
    </row>
    <row r="136" spans="1:3" x14ac:dyDescent="0.2">
      <c r="A136" s="262" t="s">
        <v>377</v>
      </c>
      <c r="B136" s="283">
        <v>55</v>
      </c>
      <c r="C136" s="267" t="s">
        <v>359</v>
      </c>
    </row>
    <row r="137" spans="1:3" x14ac:dyDescent="0.2">
      <c r="A137" s="267" t="s">
        <v>378</v>
      </c>
      <c r="B137" s="284">
        <v>5</v>
      </c>
      <c r="C137" s="262" t="s">
        <v>30</v>
      </c>
    </row>
    <row r="138" spans="1:3" x14ac:dyDescent="0.2">
      <c r="A138" s="267" t="s">
        <v>379</v>
      </c>
      <c r="B138" s="284">
        <v>5</v>
      </c>
      <c r="C138" s="262" t="s">
        <v>30</v>
      </c>
    </row>
    <row r="139" spans="1:3" x14ac:dyDescent="0.2">
      <c r="A139" s="262" t="s">
        <v>380</v>
      </c>
      <c r="B139" s="283">
        <v>55</v>
      </c>
      <c r="C139" s="267" t="s">
        <v>254</v>
      </c>
    </row>
    <row r="140" spans="1:3" x14ac:dyDescent="0.2">
      <c r="A140" s="262" t="s">
        <v>381</v>
      </c>
      <c r="B140" s="283">
        <v>55</v>
      </c>
      <c r="C140" s="267" t="s">
        <v>254</v>
      </c>
    </row>
    <row r="141" spans="1:3" x14ac:dyDescent="0.2">
      <c r="A141" s="262" t="s">
        <v>382</v>
      </c>
      <c r="B141" s="283">
        <v>55</v>
      </c>
      <c r="C141" s="267" t="s">
        <v>254</v>
      </c>
    </row>
    <row r="142" spans="1:3" x14ac:dyDescent="0.2">
      <c r="A142" s="262" t="s">
        <v>383</v>
      </c>
      <c r="B142" s="283">
        <v>55</v>
      </c>
      <c r="C142" s="267" t="s">
        <v>254</v>
      </c>
    </row>
    <row r="143" spans="1:3" x14ac:dyDescent="0.2">
      <c r="A143" s="262" t="s">
        <v>479</v>
      </c>
      <c r="B143" s="283">
        <v>55</v>
      </c>
      <c r="C143" s="267" t="s">
        <v>254</v>
      </c>
    </row>
    <row r="144" spans="1:3" x14ac:dyDescent="0.2">
      <c r="A144" s="262" t="s">
        <v>480</v>
      </c>
      <c r="B144" s="283">
        <v>55</v>
      </c>
      <c r="C144" s="267" t="s">
        <v>254</v>
      </c>
    </row>
    <row r="145" spans="1:3" x14ac:dyDescent="0.2">
      <c r="A145" s="262" t="s">
        <v>481</v>
      </c>
      <c r="B145" s="283">
        <v>55</v>
      </c>
      <c r="C145" s="267" t="s">
        <v>254</v>
      </c>
    </row>
    <row r="146" spans="1:3" x14ac:dyDescent="0.2">
      <c r="A146" s="262" t="s">
        <v>482</v>
      </c>
      <c r="B146" s="283">
        <v>55</v>
      </c>
      <c r="C146" s="267" t="s">
        <v>254</v>
      </c>
    </row>
    <row r="147" spans="1:3" x14ac:dyDescent="0.2">
      <c r="A147" s="262" t="s">
        <v>326</v>
      </c>
      <c r="B147" s="283">
        <v>55</v>
      </c>
      <c r="C147" s="262" t="s">
        <v>254</v>
      </c>
    </row>
    <row r="148" spans="1:3" x14ac:dyDescent="0.2">
      <c r="A148" s="262" t="s">
        <v>327</v>
      </c>
      <c r="B148" s="283">
        <v>55</v>
      </c>
      <c r="C148" s="262" t="s">
        <v>254</v>
      </c>
    </row>
    <row r="149" spans="1:3" x14ac:dyDescent="0.2">
      <c r="A149" s="262" t="s">
        <v>483</v>
      </c>
      <c r="B149" s="283">
        <v>55</v>
      </c>
      <c r="C149" s="267" t="s">
        <v>254</v>
      </c>
    </row>
    <row r="150" spans="1:3" x14ac:dyDescent="0.2">
      <c r="A150" s="262" t="s">
        <v>484</v>
      </c>
      <c r="B150" s="283">
        <v>55</v>
      </c>
      <c r="C150" s="267" t="s">
        <v>254</v>
      </c>
    </row>
    <row r="151" spans="1:3" x14ac:dyDescent="0.2">
      <c r="A151" s="262" t="s">
        <v>324</v>
      </c>
      <c r="B151" s="283">
        <v>55</v>
      </c>
      <c r="C151" s="262" t="s">
        <v>254</v>
      </c>
    </row>
    <row r="152" spans="1:3" x14ac:dyDescent="0.2">
      <c r="A152" s="262" t="s">
        <v>325</v>
      </c>
      <c r="B152" s="283">
        <v>55</v>
      </c>
      <c r="C152" s="262" t="s">
        <v>254</v>
      </c>
    </row>
    <row r="153" spans="1:3" x14ac:dyDescent="0.2">
      <c r="A153" s="262" t="s">
        <v>328</v>
      </c>
      <c r="B153" s="283">
        <v>55</v>
      </c>
      <c r="C153" s="262" t="s">
        <v>254</v>
      </c>
    </row>
    <row r="154" spans="1:3" x14ac:dyDescent="0.2">
      <c r="A154" s="262" t="s">
        <v>329</v>
      </c>
      <c r="B154" s="283">
        <v>55</v>
      </c>
      <c r="C154" s="262" t="s">
        <v>254</v>
      </c>
    </row>
    <row r="155" spans="1:3" x14ac:dyDescent="0.2">
      <c r="A155" s="262" t="s">
        <v>384</v>
      </c>
      <c r="B155" s="284">
        <v>10</v>
      </c>
      <c r="C155" s="93" t="s">
        <v>69</v>
      </c>
    </row>
    <row r="156" spans="1:3" x14ac:dyDescent="0.2">
      <c r="A156" s="262" t="s">
        <v>385</v>
      </c>
      <c r="B156" s="284">
        <v>20</v>
      </c>
      <c r="C156" s="93" t="s">
        <v>69</v>
      </c>
    </row>
    <row r="157" spans="1:3" x14ac:dyDescent="0.2">
      <c r="A157" s="262" t="s">
        <v>386</v>
      </c>
      <c r="B157" s="284">
        <v>30</v>
      </c>
      <c r="C157" s="93" t="s">
        <v>69</v>
      </c>
    </row>
    <row r="158" spans="1:3" x14ac:dyDescent="0.2">
      <c r="A158" s="262" t="s">
        <v>387</v>
      </c>
      <c r="B158" s="284">
        <v>55</v>
      </c>
      <c r="C158" s="262" t="s">
        <v>26</v>
      </c>
    </row>
    <row r="159" spans="1:3" x14ac:dyDescent="0.2">
      <c r="A159" s="262" t="s">
        <v>388</v>
      </c>
      <c r="B159" s="284">
        <v>55</v>
      </c>
      <c r="C159" s="262" t="s">
        <v>26</v>
      </c>
    </row>
    <row r="160" spans="1:3" x14ac:dyDescent="0.2">
      <c r="A160" s="262" t="s">
        <v>389</v>
      </c>
      <c r="B160" s="283">
        <v>15</v>
      </c>
      <c r="C160" s="263" t="s">
        <v>224</v>
      </c>
    </row>
    <row r="161" spans="1:3" x14ac:dyDescent="0.2">
      <c r="A161" s="262" t="s">
        <v>390</v>
      </c>
      <c r="B161" s="283">
        <v>15</v>
      </c>
      <c r="C161" s="263" t="s">
        <v>224</v>
      </c>
    </row>
    <row r="162" spans="1:3" x14ac:dyDescent="0.2">
      <c r="A162" s="262" t="s">
        <v>396</v>
      </c>
      <c r="B162" s="283">
        <v>15</v>
      </c>
      <c r="C162" s="263" t="s">
        <v>224</v>
      </c>
    </row>
    <row r="163" spans="1:3" x14ac:dyDescent="0.2">
      <c r="A163" s="249" t="s">
        <v>393</v>
      </c>
      <c r="B163" s="283">
        <v>2</v>
      </c>
      <c r="C163" s="267" t="s">
        <v>395</v>
      </c>
    </row>
    <row r="164" spans="1:3" x14ac:dyDescent="0.2">
      <c r="A164" s="249" t="s">
        <v>394</v>
      </c>
      <c r="B164" s="283">
        <v>2</v>
      </c>
      <c r="C164" s="267" t="s">
        <v>395</v>
      </c>
    </row>
    <row r="165" spans="1:3" x14ac:dyDescent="0.2">
      <c r="A165" s="262" t="s">
        <v>391</v>
      </c>
      <c r="B165" s="283">
        <v>12.167999999999999</v>
      </c>
      <c r="C165" s="263" t="s">
        <v>224</v>
      </c>
    </row>
    <row r="166" spans="1:3" x14ac:dyDescent="0.2">
      <c r="A166" s="262" t="s">
        <v>392</v>
      </c>
      <c r="B166" s="283">
        <v>10.007999999999999</v>
      </c>
      <c r="C166" s="263" t="s">
        <v>224</v>
      </c>
    </row>
    <row r="167" spans="1:3" x14ac:dyDescent="0.2">
      <c r="A167" s="262" t="s">
        <v>397</v>
      </c>
      <c r="B167" s="283">
        <v>2</v>
      </c>
      <c r="C167" s="267" t="s">
        <v>166</v>
      </c>
    </row>
    <row r="168" spans="1:3" x14ac:dyDescent="0.2">
      <c r="A168" s="262" t="s">
        <v>398</v>
      </c>
      <c r="B168" s="283">
        <v>2</v>
      </c>
      <c r="C168" s="267" t="s">
        <v>166</v>
      </c>
    </row>
    <row r="169" spans="1:3" x14ac:dyDescent="0.2">
      <c r="A169" s="262" t="s">
        <v>103</v>
      </c>
      <c r="B169" s="283">
        <v>0.4</v>
      </c>
      <c r="C169" s="247"/>
    </row>
    <row r="170" spans="1:3" x14ac:dyDescent="0.2">
      <c r="A170" s="262" t="s">
        <v>158</v>
      </c>
      <c r="B170" s="283">
        <v>0.4</v>
      </c>
      <c r="C170" s="247"/>
    </row>
    <row r="171" spans="1:3" x14ac:dyDescent="0.2">
      <c r="A171" s="262" t="s">
        <v>159</v>
      </c>
      <c r="B171" s="282">
        <f>B3</f>
        <v>8.5099999999999995E-2</v>
      </c>
      <c r="C171" s="247"/>
    </row>
    <row r="172" spans="1:3" x14ac:dyDescent="0.2">
      <c r="A172" s="262" t="s">
        <v>62</v>
      </c>
      <c r="B172" s="282">
        <f>B4</f>
        <v>0.74199999999999999</v>
      </c>
      <c r="C172" s="247"/>
    </row>
    <row r="173" spans="1:3" x14ac:dyDescent="0.2">
      <c r="A173" s="262" t="s">
        <v>255</v>
      </c>
      <c r="B173" s="284">
        <v>2</v>
      </c>
      <c r="C173" s="247"/>
    </row>
    <row r="174" spans="1:3" x14ac:dyDescent="0.2">
      <c r="A174" s="267" t="s">
        <v>399</v>
      </c>
      <c r="B174" s="283">
        <v>2</v>
      </c>
      <c r="C174" s="247"/>
    </row>
    <row r="175" spans="1:3" x14ac:dyDescent="0.2">
      <c r="A175" s="267" t="s">
        <v>400</v>
      </c>
      <c r="B175" s="283">
        <v>2</v>
      </c>
      <c r="C175" s="247"/>
    </row>
    <row r="176" spans="1:3" x14ac:dyDescent="0.2">
      <c r="A176" s="267" t="s">
        <v>401</v>
      </c>
      <c r="B176" s="283">
        <v>2</v>
      </c>
      <c r="C176" s="247"/>
    </row>
    <row r="177" spans="1:3" x14ac:dyDescent="0.2">
      <c r="A177" s="267" t="s">
        <v>402</v>
      </c>
      <c r="B177" s="283">
        <v>2</v>
      </c>
      <c r="C177" s="247"/>
    </row>
    <row r="178" spans="1:3" x14ac:dyDescent="0.2">
      <c r="A178" s="267" t="s">
        <v>403</v>
      </c>
      <c r="B178" s="283">
        <v>2</v>
      </c>
      <c r="C178" s="247"/>
    </row>
    <row r="179" spans="1:3" x14ac:dyDescent="0.2">
      <c r="A179" s="267" t="s">
        <v>404</v>
      </c>
      <c r="B179" s="283">
        <v>2</v>
      </c>
      <c r="C179" s="247"/>
    </row>
    <row r="180" spans="1:3" x14ac:dyDescent="0.2">
      <c r="A180" s="267" t="s">
        <v>405</v>
      </c>
      <c r="B180" s="284">
        <v>2</v>
      </c>
      <c r="C180" s="247"/>
    </row>
    <row r="181" spans="1:3" x14ac:dyDescent="0.2">
      <c r="A181" s="262" t="s">
        <v>41</v>
      </c>
      <c r="B181" s="284">
        <v>3.62</v>
      </c>
      <c r="C181" s="249" t="s">
        <v>42</v>
      </c>
    </row>
    <row r="182" spans="1:3" x14ac:dyDescent="0.2">
      <c r="A182" s="262" t="s">
        <v>46</v>
      </c>
      <c r="B182" s="284">
        <v>0.25</v>
      </c>
      <c r="C182" s="249" t="s">
        <v>47</v>
      </c>
    </row>
    <row r="183" spans="1:3" x14ac:dyDescent="0.2">
      <c r="A183" s="267" t="s">
        <v>60</v>
      </c>
      <c r="B183" s="284">
        <v>10950</v>
      </c>
      <c r="C183" s="249" t="s">
        <v>61</v>
      </c>
    </row>
    <row r="184" spans="1:3" x14ac:dyDescent="0.2">
      <c r="A184" s="267" t="s">
        <v>65</v>
      </c>
      <c r="B184" s="284">
        <v>240</v>
      </c>
      <c r="C184" s="249" t="s">
        <v>66</v>
      </c>
    </row>
    <row r="185" spans="1:3" x14ac:dyDescent="0.2">
      <c r="A185" s="267" t="s">
        <v>76</v>
      </c>
      <c r="B185" s="284">
        <v>0.42</v>
      </c>
      <c r="C185" s="249" t="s">
        <v>47</v>
      </c>
    </row>
    <row r="186" spans="1:3" x14ac:dyDescent="0.2">
      <c r="A186" s="267" t="s">
        <v>85</v>
      </c>
      <c r="B186" s="284">
        <v>60</v>
      </c>
      <c r="C186" s="262" t="s">
        <v>61</v>
      </c>
    </row>
    <row r="187" spans="1:3" x14ac:dyDescent="0.2">
      <c r="A187" s="267" t="s">
        <v>87</v>
      </c>
      <c r="B187" s="284">
        <v>2</v>
      </c>
      <c r="C187" s="262" t="s">
        <v>66</v>
      </c>
    </row>
    <row r="188" spans="1:3" x14ac:dyDescent="0.2">
      <c r="A188" s="267" t="s">
        <v>89</v>
      </c>
      <c r="B188" s="284">
        <v>2.6999999999999999E-5</v>
      </c>
      <c r="C188" s="249" t="s">
        <v>82</v>
      </c>
    </row>
    <row r="189" spans="1:3" x14ac:dyDescent="0.2">
      <c r="A189" s="267" t="s">
        <v>91</v>
      </c>
      <c r="B189" s="284">
        <v>1</v>
      </c>
      <c r="C189" s="249" t="s">
        <v>47</v>
      </c>
    </row>
    <row r="190" spans="1:3" x14ac:dyDescent="0.2">
      <c r="A190" s="267" t="s">
        <v>92</v>
      </c>
      <c r="B190" s="284">
        <v>14</v>
      </c>
      <c r="C190" s="249" t="s">
        <v>93</v>
      </c>
    </row>
    <row r="191" spans="1:3" x14ac:dyDescent="0.2">
      <c r="A191" s="262" t="s">
        <v>29</v>
      </c>
      <c r="B191" s="284">
        <v>92</v>
      </c>
      <c r="C191" s="262" t="s">
        <v>30</v>
      </c>
    </row>
    <row r="192" spans="1:3" x14ac:dyDescent="0.2">
      <c r="A192" s="249" t="s">
        <v>287</v>
      </c>
      <c r="B192" s="283">
        <v>1.03</v>
      </c>
      <c r="C192" s="249" t="s">
        <v>288</v>
      </c>
    </row>
    <row r="193" spans="1:3" x14ac:dyDescent="0.2">
      <c r="A193" s="262" t="s">
        <v>406</v>
      </c>
      <c r="B193" s="284">
        <v>20.3</v>
      </c>
      <c r="C193" s="249" t="s">
        <v>283</v>
      </c>
    </row>
    <row r="194" spans="1:3" x14ac:dyDescent="0.2">
      <c r="A194" s="262" t="s">
        <v>407</v>
      </c>
      <c r="B194" s="284">
        <v>0.4</v>
      </c>
      <c r="C194" s="249" t="s">
        <v>283</v>
      </c>
    </row>
    <row r="195" spans="1:3" x14ac:dyDescent="0.2">
      <c r="A195" s="262" t="s">
        <v>408</v>
      </c>
      <c r="B195" s="284">
        <v>1</v>
      </c>
      <c r="C195" s="247"/>
    </row>
    <row r="196" spans="1:3" x14ac:dyDescent="0.2">
      <c r="A196" s="262" t="s">
        <v>409</v>
      </c>
      <c r="B196" s="284">
        <v>1</v>
      </c>
      <c r="C196" s="247"/>
    </row>
    <row r="197" spans="1:3" x14ac:dyDescent="0.2">
      <c r="A197" s="262" t="s">
        <v>31</v>
      </c>
      <c r="B197" s="284">
        <v>53</v>
      </c>
      <c r="C197" s="262" t="s">
        <v>30</v>
      </c>
    </row>
    <row r="198" spans="1:3" x14ac:dyDescent="0.2">
      <c r="A198" s="262" t="s">
        <v>410</v>
      </c>
      <c r="B198" s="284">
        <v>11.77</v>
      </c>
      <c r="C198" s="249" t="s">
        <v>283</v>
      </c>
    </row>
    <row r="199" spans="1:3" x14ac:dyDescent="0.2">
      <c r="A199" s="262" t="s">
        <v>411</v>
      </c>
      <c r="B199" s="284">
        <v>0.5</v>
      </c>
      <c r="C199" s="249" t="s">
        <v>283</v>
      </c>
    </row>
    <row r="200" spans="1:3" x14ac:dyDescent="0.2">
      <c r="A200" s="262" t="s">
        <v>412</v>
      </c>
      <c r="B200" s="284">
        <v>1</v>
      </c>
      <c r="C200" s="247"/>
    </row>
    <row r="201" spans="1:3" x14ac:dyDescent="0.2">
      <c r="A201" s="262" t="s">
        <v>413</v>
      </c>
      <c r="B201" s="284">
        <v>1</v>
      </c>
      <c r="C201" s="247"/>
    </row>
    <row r="202" spans="1:3" x14ac:dyDescent="0.2">
      <c r="A202" s="262" t="s">
        <v>173</v>
      </c>
      <c r="B202" s="283">
        <v>0.4</v>
      </c>
      <c r="C202" s="262" t="s">
        <v>30</v>
      </c>
    </row>
    <row r="203" spans="1:3" x14ac:dyDescent="0.2">
      <c r="A203" s="262" t="s">
        <v>177</v>
      </c>
      <c r="B203" s="284">
        <v>0.2</v>
      </c>
      <c r="C203" s="249" t="s">
        <v>283</v>
      </c>
    </row>
    <row r="204" spans="1:3" x14ac:dyDescent="0.2">
      <c r="A204" s="262" t="s">
        <v>176</v>
      </c>
      <c r="B204" s="284">
        <v>2.1999999999999999E-2</v>
      </c>
      <c r="C204" s="249" t="s">
        <v>283</v>
      </c>
    </row>
    <row r="205" spans="1:3" x14ac:dyDescent="0.2">
      <c r="A205" s="262" t="s">
        <v>178</v>
      </c>
      <c r="B205" s="283">
        <v>1</v>
      </c>
      <c r="C205" s="247"/>
    </row>
    <row r="206" spans="1:3" x14ac:dyDescent="0.2">
      <c r="A206" s="262" t="s">
        <v>179</v>
      </c>
      <c r="B206" s="283">
        <v>1</v>
      </c>
      <c r="C206" s="247"/>
    </row>
    <row r="207" spans="1:3" x14ac:dyDescent="0.2">
      <c r="A207" s="262" t="s">
        <v>414</v>
      </c>
      <c r="B207" s="283">
        <v>0.4</v>
      </c>
      <c r="C207" s="262" t="s">
        <v>30</v>
      </c>
    </row>
    <row r="208" spans="1:3" x14ac:dyDescent="0.2">
      <c r="A208" s="262" t="s">
        <v>415</v>
      </c>
      <c r="B208" s="284">
        <v>0.2</v>
      </c>
      <c r="C208" s="249" t="s">
        <v>283</v>
      </c>
    </row>
    <row r="209" spans="1:3" x14ac:dyDescent="0.2">
      <c r="A209" s="262" t="s">
        <v>416</v>
      </c>
      <c r="B209" s="284">
        <v>2.1999999999999999E-2</v>
      </c>
      <c r="C209" s="249" t="s">
        <v>283</v>
      </c>
    </row>
    <row r="210" spans="1:3" x14ac:dyDescent="0.2">
      <c r="A210" s="262" t="s">
        <v>417</v>
      </c>
      <c r="B210" s="284">
        <v>1</v>
      </c>
      <c r="C210" s="247"/>
    </row>
    <row r="211" spans="1:3" x14ac:dyDescent="0.2">
      <c r="A211" s="262" t="s">
        <v>418</v>
      </c>
      <c r="B211" s="284">
        <v>1</v>
      </c>
      <c r="C211" s="247"/>
    </row>
    <row r="212" spans="1:3" x14ac:dyDescent="0.2">
      <c r="A212" s="262" t="s">
        <v>174</v>
      </c>
      <c r="B212" s="284">
        <v>11.4</v>
      </c>
      <c r="C212" s="262" t="s">
        <v>30</v>
      </c>
    </row>
    <row r="213" spans="1:3" x14ac:dyDescent="0.2">
      <c r="A213" s="262" t="s">
        <v>419</v>
      </c>
      <c r="B213" s="284">
        <v>4.7</v>
      </c>
      <c r="C213" s="249" t="s">
        <v>283</v>
      </c>
    </row>
    <row r="214" spans="1:3" x14ac:dyDescent="0.2">
      <c r="A214" s="262" t="s">
        <v>420</v>
      </c>
      <c r="B214" s="284">
        <v>0.37</v>
      </c>
      <c r="C214" s="249" t="s">
        <v>283</v>
      </c>
    </row>
    <row r="215" spans="1:3" x14ac:dyDescent="0.2">
      <c r="A215" s="262" t="s">
        <v>421</v>
      </c>
      <c r="B215" s="284">
        <v>1</v>
      </c>
      <c r="C215" s="247"/>
    </row>
    <row r="216" spans="1:3" x14ac:dyDescent="0.2">
      <c r="A216" s="262" t="s">
        <v>422</v>
      </c>
      <c r="B216" s="284">
        <v>1</v>
      </c>
      <c r="C216" s="247"/>
    </row>
    <row r="217" spans="1:3" x14ac:dyDescent="0.2">
      <c r="A217" s="249" t="s">
        <v>83</v>
      </c>
      <c r="B217" s="284">
        <v>0.5</v>
      </c>
    </row>
    <row r="218" spans="1:3" x14ac:dyDescent="0.2">
      <c r="A218" s="558" t="s">
        <v>423</v>
      </c>
      <c r="B218" s="558"/>
      <c r="C218" s="558"/>
    </row>
    <row r="219" spans="1:3" x14ac:dyDescent="0.2">
      <c r="A219" s="249" t="s">
        <v>424</v>
      </c>
      <c r="B219" s="283">
        <v>55</v>
      </c>
      <c r="C219" s="263" t="s">
        <v>359</v>
      </c>
    </row>
    <row r="220" spans="1:3" x14ac:dyDescent="0.2">
      <c r="A220" s="262" t="s">
        <v>425</v>
      </c>
      <c r="B220" s="283">
        <v>55</v>
      </c>
      <c r="C220" s="249" t="s">
        <v>26</v>
      </c>
    </row>
    <row r="221" spans="1:3" x14ac:dyDescent="0.2">
      <c r="A221" s="262" t="s">
        <v>75</v>
      </c>
      <c r="B221" s="284">
        <v>5</v>
      </c>
      <c r="C221" s="249" t="s">
        <v>69</v>
      </c>
    </row>
    <row r="222" spans="1:3" x14ac:dyDescent="0.2">
      <c r="A222" s="262" t="s">
        <v>426</v>
      </c>
      <c r="B222" s="283">
        <v>55</v>
      </c>
      <c r="C222" s="263" t="s">
        <v>54</v>
      </c>
    </row>
    <row r="223" spans="1:3" x14ac:dyDescent="0.2">
      <c r="A223" s="249" t="s">
        <v>353</v>
      </c>
      <c r="B223" s="284">
        <v>1</v>
      </c>
      <c r="C223" s="247"/>
    </row>
    <row r="224" spans="1:3" x14ac:dyDescent="0.2">
      <c r="A224" s="262" t="s">
        <v>56</v>
      </c>
      <c r="B224" s="284">
        <v>1</v>
      </c>
      <c r="C224" s="247"/>
    </row>
    <row r="225" spans="1:3" x14ac:dyDescent="0.2">
      <c r="A225" s="262" t="s">
        <v>52</v>
      </c>
      <c r="B225" s="284">
        <v>0.4</v>
      </c>
      <c r="C225" s="247"/>
    </row>
    <row r="226" spans="1:3" x14ac:dyDescent="0.2">
      <c r="A226" s="262" t="s">
        <v>62</v>
      </c>
      <c r="B226" s="284">
        <v>1</v>
      </c>
      <c r="C226" s="247"/>
    </row>
    <row r="227" spans="1:3" x14ac:dyDescent="0.2">
      <c r="A227" s="262" t="s">
        <v>467</v>
      </c>
      <c r="B227" s="283">
        <v>2</v>
      </c>
      <c r="C227" s="249" t="s">
        <v>224</v>
      </c>
    </row>
    <row r="228" spans="1:3" x14ac:dyDescent="0.2">
      <c r="A228" s="262" t="s">
        <v>468</v>
      </c>
      <c r="B228" s="283">
        <v>3</v>
      </c>
      <c r="C228" s="249" t="s">
        <v>224</v>
      </c>
    </row>
    <row r="229" spans="1:3" x14ac:dyDescent="0.2">
      <c r="A229" s="262" t="s">
        <v>103</v>
      </c>
      <c r="B229" s="283">
        <v>0.4</v>
      </c>
      <c r="C229" s="247"/>
    </row>
    <row r="230" spans="1:3" x14ac:dyDescent="0.2">
      <c r="A230" s="558" t="s">
        <v>427</v>
      </c>
      <c r="B230" s="558"/>
      <c r="C230" s="558"/>
    </row>
    <row r="231" spans="1:3" x14ac:dyDescent="0.2">
      <c r="A231" s="249" t="s">
        <v>428</v>
      </c>
      <c r="B231" s="283">
        <v>55</v>
      </c>
      <c r="C231" s="263" t="s">
        <v>359</v>
      </c>
    </row>
    <row r="232" spans="1:3" x14ac:dyDescent="0.2">
      <c r="A232" s="262" t="s">
        <v>40</v>
      </c>
      <c r="B232" s="283">
        <v>55</v>
      </c>
      <c r="C232" s="249" t="s">
        <v>26</v>
      </c>
    </row>
    <row r="233" spans="1:3" x14ac:dyDescent="0.2">
      <c r="A233" s="262" t="s">
        <v>429</v>
      </c>
      <c r="B233" s="284">
        <v>5</v>
      </c>
      <c r="C233" s="249" t="s">
        <v>69</v>
      </c>
    </row>
    <row r="234" spans="1:3" x14ac:dyDescent="0.2">
      <c r="A234" s="262" t="s">
        <v>79</v>
      </c>
      <c r="B234" s="283">
        <v>55</v>
      </c>
      <c r="C234" s="263" t="s">
        <v>54</v>
      </c>
    </row>
    <row r="235" spans="1:3" x14ac:dyDescent="0.2">
      <c r="A235" s="249" t="s">
        <v>353</v>
      </c>
      <c r="B235" s="284">
        <v>1</v>
      </c>
      <c r="C235" s="247"/>
    </row>
    <row r="236" spans="1:3" x14ac:dyDescent="0.2">
      <c r="A236" s="262" t="s">
        <v>56</v>
      </c>
      <c r="B236" s="284">
        <v>1</v>
      </c>
      <c r="C236" s="247"/>
    </row>
    <row r="237" spans="1:3" x14ac:dyDescent="0.2">
      <c r="A237" s="262" t="s">
        <v>52</v>
      </c>
      <c r="B237" s="284">
        <v>0.4</v>
      </c>
      <c r="C237" s="247"/>
    </row>
    <row r="238" spans="1:3" x14ac:dyDescent="0.2">
      <c r="A238" s="262" t="s">
        <v>62</v>
      </c>
      <c r="B238" s="284">
        <v>1</v>
      </c>
      <c r="C238" s="247"/>
    </row>
    <row r="239" spans="1:3" x14ac:dyDescent="0.2">
      <c r="A239" s="262" t="s">
        <v>469</v>
      </c>
      <c r="B239" s="283">
        <v>0</v>
      </c>
      <c r="C239" s="249" t="s">
        <v>224</v>
      </c>
    </row>
    <row r="240" spans="1:3" x14ac:dyDescent="0.2">
      <c r="A240" s="262" t="s">
        <v>470</v>
      </c>
      <c r="B240" s="283">
        <v>5</v>
      </c>
      <c r="C240" s="249" t="s">
        <v>224</v>
      </c>
    </row>
    <row r="241" spans="1:3" x14ac:dyDescent="0.2">
      <c r="A241" s="262" t="s">
        <v>103</v>
      </c>
      <c r="B241" s="283">
        <v>0.4</v>
      </c>
      <c r="C241" s="247"/>
    </row>
    <row r="242" spans="1:3" x14ac:dyDescent="0.2">
      <c r="A242" s="558" t="s">
        <v>430</v>
      </c>
      <c r="B242" s="558"/>
      <c r="C242" s="558"/>
    </row>
    <row r="243" spans="1:3" x14ac:dyDescent="0.2">
      <c r="A243" s="249" t="s">
        <v>58</v>
      </c>
      <c r="B243" s="283">
        <v>55</v>
      </c>
      <c r="C243" s="263" t="s">
        <v>359</v>
      </c>
    </row>
    <row r="244" spans="1:3" x14ac:dyDescent="0.2">
      <c r="A244" s="262" t="s">
        <v>431</v>
      </c>
      <c r="B244" s="283">
        <v>55</v>
      </c>
      <c r="C244" s="249" t="s">
        <v>26</v>
      </c>
    </row>
    <row r="245" spans="1:3" x14ac:dyDescent="0.2">
      <c r="A245" s="262" t="s">
        <v>432</v>
      </c>
      <c r="B245" s="284">
        <v>5</v>
      </c>
      <c r="C245" s="249" t="s">
        <v>69</v>
      </c>
    </row>
    <row r="246" spans="1:3" x14ac:dyDescent="0.2">
      <c r="A246" s="262" t="s">
        <v>433</v>
      </c>
      <c r="B246" s="283">
        <v>55</v>
      </c>
      <c r="C246" s="263" t="s">
        <v>54</v>
      </c>
    </row>
    <row r="247" spans="1:3" x14ac:dyDescent="0.2">
      <c r="A247" s="249" t="s">
        <v>353</v>
      </c>
      <c r="B247" s="284">
        <v>1</v>
      </c>
      <c r="C247" s="247"/>
    </row>
    <row r="248" spans="1:3" x14ac:dyDescent="0.2">
      <c r="A248" s="262" t="s">
        <v>56</v>
      </c>
      <c r="B248" s="284">
        <v>1</v>
      </c>
      <c r="C248" s="247"/>
    </row>
    <row r="249" spans="1:3" x14ac:dyDescent="0.2">
      <c r="A249" s="262" t="s">
        <v>52</v>
      </c>
      <c r="B249" s="284">
        <v>0.4</v>
      </c>
      <c r="C249" s="247"/>
    </row>
    <row r="250" spans="1:3" x14ac:dyDescent="0.2">
      <c r="A250" s="262" t="s">
        <v>62</v>
      </c>
      <c r="B250" s="284">
        <v>1</v>
      </c>
      <c r="C250" s="247"/>
    </row>
    <row r="251" spans="1:3" x14ac:dyDescent="0.2">
      <c r="A251" s="262" t="s">
        <v>466</v>
      </c>
      <c r="B251" s="283">
        <v>5</v>
      </c>
      <c r="C251" s="249" t="s">
        <v>224</v>
      </c>
    </row>
    <row r="252" spans="1:3" x14ac:dyDescent="0.2">
      <c r="A252" s="262" t="s">
        <v>465</v>
      </c>
      <c r="B252" s="283">
        <v>0</v>
      </c>
      <c r="C252" s="249" t="s">
        <v>224</v>
      </c>
    </row>
    <row r="253" spans="1:3" x14ac:dyDescent="0.2">
      <c r="A253" s="262" t="s">
        <v>103</v>
      </c>
      <c r="B253" s="283">
        <v>0.4</v>
      </c>
      <c r="C253" s="247"/>
    </row>
    <row r="254" spans="1:3" x14ac:dyDescent="0.2">
      <c r="A254" s="558" t="s">
        <v>434</v>
      </c>
      <c r="B254" s="558"/>
      <c r="C254" s="558"/>
    </row>
    <row r="255" spans="1:3" x14ac:dyDescent="0.2">
      <c r="A255" s="249" t="s">
        <v>435</v>
      </c>
      <c r="B255" s="283">
        <v>55</v>
      </c>
      <c r="C255" s="263" t="s">
        <v>359</v>
      </c>
    </row>
    <row r="256" spans="1:3" x14ac:dyDescent="0.2">
      <c r="A256" s="262" t="s">
        <v>221</v>
      </c>
      <c r="B256" s="283">
        <v>55</v>
      </c>
      <c r="C256" s="249" t="s">
        <v>26</v>
      </c>
    </row>
    <row r="257" spans="1:3" x14ac:dyDescent="0.2">
      <c r="A257" s="262" t="s">
        <v>186</v>
      </c>
      <c r="B257" s="284">
        <v>5</v>
      </c>
      <c r="C257" s="249" t="s">
        <v>69</v>
      </c>
    </row>
    <row r="258" spans="1:3" x14ac:dyDescent="0.2">
      <c r="A258" s="262" t="s">
        <v>436</v>
      </c>
      <c r="B258" s="283">
        <v>55</v>
      </c>
      <c r="C258" s="263" t="s">
        <v>54</v>
      </c>
    </row>
    <row r="259" spans="1:3" x14ac:dyDescent="0.2">
      <c r="A259" s="249" t="s">
        <v>353</v>
      </c>
      <c r="B259" s="284">
        <v>1</v>
      </c>
      <c r="C259" s="247"/>
    </row>
    <row r="260" spans="1:3" x14ac:dyDescent="0.2">
      <c r="A260" s="262" t="s">
        <v>56</v>
      </c>
      <c r="B260" s="284">
        <v>1</v>
      </c>
      <c r="C260" s="247"/>
    </row>
    <row r="261" spans="1:3" x14ac:dyDescent="0.2">
      <c r="A261" s="262" t="s">
        <v>52</v>
      </c>
      <c r="B261" s="284">
        <v>0.4</v>
      </c>
      <c r="C261" s="247"/>
    </row>
    <row r="262" spans="1:3" x14ac:dyDescent="0.2">
      <c r="A262" s="262" t="s">
        <v>62</v>
      </c>
      <c r="B262" s="284">
        <v>1</v>
      </c>
      <c r="C262" s="247"/>
    </row>
    <row r="263" spans="1:3" x14ac:dyDescent="0.2">
      <c r="A263" s="262" t="s">
        <v>471</v>
      </c>
      <c r="B263" s="283">
        <v>5</v>
      </c>
      <c r="C263" s="249" t="s">
        <v>224</v>
      </c>
    </row>
    <row r="264" spans="1:3" x14ac:dyDescent="0.2">
      <c r="A264" s="262" t="s">
        <v>472</v>
      </c>
      <c r="B264" s="283">
        <v>0</v>
      </c>
      <c r="C264" s="249" t="s">
        <v>224</v>
      </c>
    </row>
    <row r="265" spans="1:3" x14ac:dyDescent="0.2">
      <c r="A265" s="262" t="s">
        <v>103</v>
      </c>
      <c r="B265" s="283">
        <v>0.4</v>
      </c>
      <c r="C265" s="247"/>
    </row>
    <row r="266" spans="1:3" x14ac:dyDescent="0.2">
      <c r="A266" s="262" t="s">
        <v>220</v>
      </c>
      <c r="B266" s="283">
        <v>5</v>
      </c>
      <c r="C266" s="249" t="s">
        <v>129</v>
      </c>
    </row>
    <row r="267" spans="1:3" x14ac:dyDescent="0.2">
      <c r="A267" s="262" t="s">
        <v>219</v>
      </c>
      <c r="B267" s="283">
        <v>11</v>
      </c>
      <c r="C267" s="249" t="s">
        <v>130</v>
      </c>
    </row>
    <row r="268" spans="1:3" x14ac:dyDescent="0.2">
      <c r="A268" s="558" t="s">
        <v>437</v>
      </c>
      <c r="B268" s="558"/>
      <c r="C268" s="558"/>
    </row>
    <row r="269" spans="1:3" x14ac:dyDescent="0.2">
      <c r="A269" s="249" t="s">
        <v>435</v>
      </c>
      <c r="B269" s="283">
        <v>55</v>
      </c>
      <c r="C269" s="263" t="s">
        <v>359</v>
      </c>
    </row>
    <row r="270" spans="1:3" x14ac:dyDescent="0.2">
      <c r="A270" s="262" t="s">
        <v>221</v>
      </c>
      <c r="B270" s="283">
        <v>55</v>
      </c>
      <c r="C270" s="249" t="s">
        <v>26</v>
      </c>
    </row>
    <row r="271" spans="1:3" x14ac:dyDescent="0.2">
      <c r="A271" s="262" t="s">
        <v>186</v>
      </c>
      <c r="B271" s="284">
        <v>5</v>
      </c>
      <c r="C271" s="249" t="s">
        <v>69</v>
      </c>
    </row>
    <row r="272" spans="1:3" x14ac:dyDescent="0.2">
      <c r="A272" s="262" t="s">
        <v>436</v>
      </c>
      <c r="B272" s="283">
        <v>55</v>
      </c>
      <c r="C272" s="263" t="s">
        <v>54</v>
      </c>
    </row>
    <row r="273" spans="1:3" x14ac:dyDescent="0.2">
      <c r="A273" s="262" t="s">
        <v>56</v>
      </c>
      <c r="B273" s="284">
        <v>1</v>
      </c>
      <c r="C273" s="247"/>
    </row>
    <row r="274" spans="1:3" x14ac:dyDescent="0.2">
      <c r="A274" s="262" t="s">
        <v>52</v>
      </c>
      <c r="B274" s="284">
        <v>0.4</v>
      </c>
      <c r="C274" s="247"/>
    </row>
    <row r="275" spans="1:3" x14ac:dyDescent="0.2">
      <c r="A275" s="262" t="s">
        <v>62</v>
      </c>
      <c r="B275" s="284">
        <v>1</v>
      </c>
      <c r="C275" s="247"/>
    </row>
    <row r="276" spans="1:3" x14ac:dyDescent="0.2">
      <c r="A276" s="262" t="s">
        <v>471</v>
      </c>
      <c r="B276" s="283">
        <v>5</v>
      </c>
      <c r="C276" s="249" t="s">
        <v>224</v>
      </c>
    </row>
    <row r="277" spans="1:3" x14ac:dyDescent="0.2">
      <c r="A277" s="262" t="s">
        <v>472</v>
      </c>
      <c r="B277" s="283">
        <v>0</v>
      </c>
      <c r="C277" s="249" t="s">
        <v>224</v>
      </c>
    </row>
    <row r="278" spans="1:3" x14ac:dyDescent="0.2">
      <c r="A278" s="262" t="s">
        <v>103</v>
      </c>
      <c r="B278" s="283">
        <v>0.4</v>
      </c>
      <c r="C278" s="247"/>
    </row>
    <row r="279" spans="1:3" x14ac:dyDescent="0.2">
      <c r="A279" s="262" t="s">
        <v>220</v>
      </c>
      <c r="B279" s="283">
        <v>5</v>
      </c>
      <c r="C279" s="249" t="s">
        <v>129</v>
      </c>
    </row>
    <row r="280" spans="1:3" x14ac:dyDescent="0.2">
      <c r="A280" s="262" t="s">
        <v>219</v>
      </c>
      <c r="B280" s="283">
        <v>11</v>
      </c>
      <c r="C280" s="249" t="s">
        <v>130</v>
      </c>
    </row>
    <row r="281" spans="1:3" x14ac:dyDescent="0.2">
      <c r="A281" s="663" t="s">
        <v>576</v>
      </c>
      <c r="B281" s="663"/>
      <c r="C281" s="663"/>
    </row>
    <row r="282" spans="1:3" x14ac:dyDescent="0.2">
      <c r="A282" s="263" t="s">
        <v>577</v>
      </c>
      <c r="B282" s="283">
        <v>2</v>
      </c>
    </row>
    <row r="283" spans="1:3" x14ac:dyDescent="0.2">
      <c r="A283" s="249" t="s">
        <v>100</v>
      </c>
      <c r="B283" s="283">
        <v>0.6</v>
      </c>
    </row>
    <row r="284" spans="1:3" x14ac:dyDescent="0.2">
      <c r="A284" s="249" t="s">
        <v>107</v>
      </c>
      <c r="B284" s="283">
        <v>20</v>
      </c>
      <c r="C284" s="249" t="s">
        <v>69</v>
      </c>
    </row>
    <row r="285" spans="1:3" x14ac:dyDescent="0.2">
      <c r="A285" s="263" t="s">
        <v>39</v>
      </c>
      <c r="B285" s="283">
        <v>50</v>
      </c>
      <c r="C285" s="249" t="s">
        <v>69</v>
      </c>
    </row>
    <row r="286" spans="1:3" x14ac:dyDescent="0.2">
      <c r="A286" s="263" t="s">
        <v>83</v>
      </c>
      <c r="B286" s="283">
        <v>2</v>
      </c>
      <c r="C286" s="249" t="s">
        <v>582</v>
      </c>
    </row>
    <row r="287" spans="1:3" x14ac:dyDescent="0.2">
      <c r="A287" s="249" t="s">
        <v>109</v>
      </c>
      <c r="B287" s="283">
        <v>2</v>
      </c>
      <c r="C287" s="249" t="s">
        <v>110</v>
      </c>
    </row>
    <row r="288" spans="1:3" x14ac:dyDescent="0.2">
      <c r="A288" s="249" t="s">
        <v>114</v>
      </c>
      <c r="B288" s="283">
        <v>0.36</v>
      </c>
      <c r="C288" s="249" t="s">
        <v>582</v>
      </c>
    </row>
    <row r="289" spans="1:3" x14ac:dyDescent="0.2">
      <c r="A289" s="249" t="s">
        <v>116</v>
      </c>
      <c r="B289" s="283">
        <v>2</v>
      </c>
      <c r="C289" s="249" t="s">
        <v>113</v>
      </c>
    </row>
    <row r="290" spans="1:3" x14ac:dyDescent="0.2">
      <c r="A290" s="249" t="s">
        <v>118</v>
      </c>
      <c r="B290" s="283">
        <v>2</v>
      </c>
      <c r="C290" s="249" t="s">
        <v>113</v>
      </c>
    </row>
    <row r="291" spans="1:3" x14ac:dyDescent="0.2">
      <c r="A291" s="249" t="s">
        <v>119</v>
      </c>
      <c r="B291" s="283">
        <v>2</v>
      </c>
      <c r="C291" s="249" t="s">
        <v>113</v>
      </c>
    </row>
    <row r="293" spans="1:3" x14ac:dyDescent="0.2">
      <c r="A293" s="263" t="s">
        <v>315</v>
      </c>
      <c r="B293" s="284">
        <v>241</v>
      </c>
    </row>
    <row r="294" spans="1:3" x14ac:dyDescent="0.2">
      <c r="A294" s="266" t="s">
        <v>310</v>
      </c>
      <c r="B294" s="284">
        <v>2.8000000000000002E-12</v>
      </c>
    </row>
    <row r="295" spans="1:3" x14ac:dyDescent="0.2">
      <c r="A295" s="266" t="s">
        <v>310</v>
      </c>
      <c r="B295" s="284">
        <v>2.8000000000000001E-15</v>
      </c>
    </row>
  </sheetData>
  <mergeCells count="335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B18:CD18"/>
    <mergeCell ref="CE18:CG18"/>
    <mergeCell ref="CK18:CM18"/>
    <mergeCell ref="CN18:CP18"/>
    <mergeCell ref="CO19:CO21"/>
    <mergeCell ref="CP19:CP21"/>
    <mergeCell ref="CQ18:CS18"/>
    <mergeCell ref="GY2:GY4"/>
    <mergeCell ref="GZ2:GZ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C2:BC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T2:T4"/>
    <mergeCell ref="U2:U4"/>
    <mergeCell ref="AC2:AC4"/>
    <mergeCell ref="AN2:AN4"/>
    <mergeCell ref="AO2:AO4"/>
    <mergeCell ref="AP2:AP4"/>
    <mergeCell ref="AQ2:AQ4"/>
    <mergeCell ref="AR2:AR4"/>
    <mergeCell ref="AI2:AI4"/>
    <mergeCell ref="AJ2:AJ4"/>
    <mergeCell ref="AK2:AK4"/>
    <mergeCell ref="AL2:AL4"/>
    <mergeCell ref="AM2:AM4"/>
    <mergeCell ref="GU1:GW1"/>
    <mergeCell ref="GX1:GZ1"/>
    <mergeCell ref="HA1:HC1"/>
    <mergeCell ref="HD1:HF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D2:AD4"/>
    <mergeCell ref="AE2:AE4"/>
    <mergeCell ref="AF2:AF4"/>
    <mergeCell ref="AG2:AG4"/>
    <mergeCell ref="AH2:AH4"/>
    <mergeCell ref="R2:R4"/>
    <mergeCell ref="S2:S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5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85546875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9.85546875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8.85546875" style="289" bestFit="1" customWidth="1"/>
    <col min="127" max="127" width="6.28515625" style="249" bestFit="1" customWidth="1"/>
    <col min="128" max="128" width="12" style="249" bestFit="1" customWidth="1"/>
    <col min="129" max="129" width="8.85546875" style="289" bestFit="1" customWidth="1"/>
    <col min="130" max="130" width="6.285156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8.85546875" style="289" bestFit="1" customWidth="1"/>
    <col min="142" max="142" width="6.28515625" style="249" bestFit="1" customWidth="1"/>
    <col min="143" max="143" width="12" style="249" bestFit="1" customWidth="1"/>
    <col min="144" max="144" width="8.85546875" style="289" bestFit="1" customWidth="1"/>
    <col min="145" max="145" width="7.42578125" style="249" bestFit="1" customWidth="1"/>
    <col min="146" max="146" width="12" style="249" bestFit="1" customWidth="1"/>
    <col min="147" max="147" width="8.8554687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7.42578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7.42578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7.42578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7.425781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thickTop="1" thickBot="1" x14ac:dyDescent="0.25">
      <c r="A1" s="691" t="s">
        <v>279</v>
      </c>
      <c r="B1" s="692"/>
      <c r="C1" s="693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1/((1/H10)+(1/H11)+(1/H12)+(1/H13))</f>
        <v>2.0140754845232836E-12</v>
      </c>
      <c r="I2" s="625" t="s">
        <v>313</v>
      </c>
      <c r="J2" s="619" t="s">
        <v>507</v>
      </c>
      <c r="K2" s="623">
        <f>1/((1/K14)+(1/K15)+(1/K16)+(1/K17))</f>
        <v>1.0881815636178801E-7</v>
      </c>
      <c r="L2" s="621" t="s">
        <v>311</v>
      </c>
      <c r="M2" s="617" t="s">
        <v>516</v>
      </c>
      <c r="N2" s="647">
        <f>((N5*N6*N7)/((1-EXP(-N7*N6))*N10*N15*(N9/365)*N13*(((N14/24)*N12)+((N16/24)*N11))))*N8*N17*N18</f>
        <v>1.2416090950797792E-7</v>
      </c>
      <c r="O2" s="615" t="s">
        <v>311</v>
      </c>
      <c r="P2" s="639" t="s">
        <v>516</v>
      </c>
      <c r="Q2" s="647">
        <f>((Q5*Q6*Q7)/((1-EXP(-Q7*Q6))*Q10*Q15*(Q9/365)*Q13*(((Q14/24)*Q12)+((Q16/24)*Q11))))*Q8*Q17*Q18</f>
        <v>1.0471098089065674E-7</v>
      </c>
      <c r="R2" s="637" t="s">
        <v>311</v>
      </c>
      <c r="S2" s="641" t="s">
        <v>516</v>
      </c>
      <c r="T2" s="647">
        <f>((T5*T6*T7)/((1-EXP(-T7*T6))*T10*T15*(T9/365)*T13*(((T14/24)*T12)+((T16/24)*T11))))*T8*T17*T18</f>
        <v>2.300886027465747E-8</v>
      </c>
      <c r="U2" s="643" t="s">
        <v>311</v>
      </c>
      <c r="V2" s="55"/>
      <c r="W2" s="357"/>
      <c r="X2" s="56"/>
      <c r="Y2" s="57"/>
      <c r="Z2" s="357"/>
      <c r="AA2" s="58"/>
      <c r="AB2" s="650"/>
      <c r="AC2" s="660">
        <f>1/((1/AC32)+(1/AC33)+(1/AC34))</f>
        <v>8.1966376853183518E-7</v>
      </c>
      <c r="AD2" s="657">
        <f>1/((1/AD32)+(1/AD33)+(1/AD34))</f>
        <v>2.0385736849771026E-6</v>
      </c>
      <c r="AE2" s="657">
        <f>1/((1/AE32)+(1/AE33)+(1/AE34))</f>
        <v>8.1966376853183518E-7</v>
      </c>
      <c r="AF2" s="657">
        <f>1/((1/AF32)+(1/AF33)+(1/AF34))</f>
        <v>4.3496218046099151E-6</v>
      </c>
      <c r="AG2" s="654">
        <f>1/((1/AG32)+(1/AG33)+(1/AG34))</f>
        <v>7.9485294722977985E-6</v>
      </c>
      <c r="AH2" s="652" t="s">
        <v>311</v>
      </c>
      <c r="AI2" s="381" t="s">
        <v>516</v>
      </c>
      <c r="AJ2" s="387">
        <f>((AJ5*AJ6*AJ7)/((1-EXP(-AJ7*AJ6))*AJ15*(AJ9/365)*AJ10*(AJ16/24)*AJ11*AJ13))*AJ8*AJ17*AJ18</f>
        <v>2.0562778674381134E-6</v>
      </c>
      <c r="AK2" s="629" t="s">
        <v>311</v>
      </c>
      <c r="AL2" s="383" t="s">
        <v>516</v>
      </c>
      <c r="AM2" s="387">
        <f>((AM5*AM6*AM7)/((1-EXP(-AM7*AM6))*AM15*(AM9/365)*AM10*(AM16/24)*AM11*AM13))*AM8*AM17*AM18</f>
        <v>1.1035563105936581E-5</v>
      </c>
      <c r="AN2" s="629" t="s">
        <v>311</v>
      </c>
      <c r="AO2" s="383" t="s">
        <v>516</v>
      </c>
      <c r="AP2" s="387">
        <f>((AP5*AP6*AP7)/((1-EXP(-AP7*AP6))*AP15*(AP9/365)*AP10*(AP16/24)*AP11*AP13))*AP8*AP17*AP18</f>
        <v>2.4249197877518546E-6</v>
      </c>
      <c r="AQ2" s="635" t="s">
        <v>311</v>
      </c>
      <c r="AR2" s="381" t="s">
        <v>516</v>
      </c>
      <c r="AS2" s="387">
        <f>((AS5*AS6*AS7)/((1-EXP(-AS7*AS6))*AS15*(AS9/365)*AS10*(AS14/24)*AS12*AS13))*AS8*AS17*AS18</f>
        <v>8.2251114697524531E-7</v>
      </c>
      <c r="AT2" s="391" t="s">
        <v>311</v>
      </c>
      <c r="AU2" s="383" t="s">
        <v>516</v>
      </c>
      <c r="AV2" s="387">
        <f>((AV5*AV6*AV7)/((1-EXP(-AV7*AV6))*AV15*(AV9/365)*AV10*(AV14/24)*AV12*AV13))*AV8*AV17*AV18</f>
        <v>4.4142252423746316E-6</v>
      </c>
      <c r="AW2" s="391" t="s">
        <v>311</v>
      </c>
      <c r="AX2" s="383" t="s">
        <v>516</v>
      </c>
      <c r="AY2" s="387">
        <f>((AY5*AY6*AY7)/((1-EXP(-AY7*AY6))*AY15*(AY9/365)*AY10*(AY14/24)*AY12*AY13))*AY8*AY17*AY18</f>
        <v>9.6996791510074187E-7</v>
      </c>
      <c r="AZ2" s="385" t="s">
        <v>311</v>
      </c>
      <c r="BA2" s="381" t="s">
        <v>516</v>
      </c>
      <c r="BB2" s="387">
        <f>((BB5*BB6*BB7)/((1-EXP(-BB7*BB6))*BB15*(BB9/365)*BB10*((BB14+BB16)/24)*BB12*BB13))*BB8*BB17*BB18</f>
        <v>8.2251114697524531E-7</v>
      </c>
      <c r="BC2" s="391" t="s">
        <v>311</v>
      </c>
      <c r="BD2" s="383" t="s">
        <v>516</v>
      </c>
      <c r="BE2" s="387">
        <f>((BE5*BE6*BE7)/((1-EXP(-BE7*BE6))*BE15*(BE9/365)*BE10*((BE14+BE16)/24)*BE12*BE13))*BE8*BE17*BE18</f>
        <v>4.4142252423746316E-6</v>
      </c>
      <c r="BF2" s="391" t="s">
        <v>311</v>
      </c>
      <c r="BG2" s="383" t="s">
        <v>516</v>
      </c>
      <c r="BH2" s="387">
        <f>((BH5*BH6*BH7)/((1-EXP(-BH7*BH6))*BH15*(BH9/365)*BH10*((BH14+BH16)/24)*BH12*BH13))*BH8*BH17*BH18</f>
        <v>9.6996791510074187E-7</v>
      </c>
      <c r="BI2" s="385" t="s">
        <v>311</v>
      </c>
      <c r="BJ2" s="381" t="s">
        <v>558</v>
      </c>
      <c r="BK2" s="389">
        <f>((BK5*BK6*BK7)/((1-EXP(-BK7*BK6))*BK12*BK16*(BK9/365)*BK14*(BK15/24)*BK13))*BK8*BK17*BK18</f>
        <v>8.3751949634983454E-6</v>
      </c>
      <c r="BL2" s="391" t="s">
        <v>311</v>
      </c>
      <c r="BM2" s="383" t="s">
        <v>559</v>
      </c>
      <c r="BN2" s="389">
        <f>((BN5*BN6*BN7)/((1-EXP(-BN7*BN6))*BN12*BN16*(BN9/365)*BN14*(BN15/24)*BN13))*BN8*BN17*BN18</f>
        <v>1.2175695204925838E-4</v>
      </c>
      <c r="BO2" s="391" t="s">
        <v>311</v>
      </c>
      <c r="BP2" s="383" t="s">
        <v>560</v>
      </c>
      <c r="BQ2" s="389">
        <f>((BQ5*BQ6*BQ7)/((1-EXP(-BQ7*BQ6))*BQ12*BQ16*(BQ9/365)*BQ14*(BQ15/24)*BQ13))*BQ8*BQ17*BQ18</f>
        <v>1.2787806556284581E-5</v>
      </c>
      <c r="BR2" s="385" t="s">
        <v>311</v>
      </c>
      <c r="BS2" s="59"/>
      <c r="BT2" s="110"/>
      <c r="BU2" s="250"/>
      <c r="BV2" s="402" t="s">
        <v>563</v>
      </c>
      <c r="BW2" s="400">
        <f>1/((1/BW10)+(1/BW11))</f>
        <v>2.8777624684309808E-10</v>
      </c>
      <c r="BX2" s="404" t="s">
        <v>313</v>
      </c>
      <c r="BY2" s="402" t="s">
        <v>563</v>
      </c>
      <c r="BZ2" s="400">
        <f>1/((1/BZ13)+(1/BZ14)+(1/BZ15))</f>
        <v>4.2457144371701872E-6</v>
      </c>
      <c r="CA2" s="398" t="s">
        <v>311</v>
      </c>
      <c r="CB2" s="410" t="s">
        <v>558</v>
      </c>
      <c r="CC2" s="400">
        <f>((CC5*CC6*CC7)/((1-EXP(-CC7*CC6))*CC10*CC14*(CC9/365)*CC12*(CC13/24)*CC11))*CC8*CC15*CC16</f>
        <v>5.9324746671443557E-6</v>
      </c>
      <c r="CD2" s="404" t="s">
        <v>311</v>
      </c>
      <c r="CE2" s="402" t="s">
        <v>559</v>
      </c>
      <c r="CF2" s="400">
        <f>((CF5*CF6*CF7)/((1-EXP(-CF7*CF6))*CF10*CF14*(CF9/365)*CF12*(CF13/24)*CF11))*CF8*CF15*CF16</f>
        <v>8.6245160468386299E-5</v>
      </c>
      <c r="CG2" s="404" t="s">
        <v>311</v>
      </c>
      <c r="CH2" s="402" t="s">
        <v>560</v>
      </c>
      <c r="CI2" s="400">
        <f>((CI5*CI6*CI7)/((1-EXP(-CI7*CI6))*CI10*CI14*(CI9/365)*CI12*(CI13/24)*CI11))*CI8*CI15*CI16</f>
        <v>9.0580982023864933E-6</v>
      </c>
      <c r="CJ2" s="398" t="s">
        <v>311</v>
      </c>
      <c r="CK2" s="410" t="s">
        <v>510</v>
      </c>
      <c r="CL2" s="400">
        <f>(CL5/(CL6*CL7*CL8*CL9))*CL11*CL10*CL15</f>
        <v>1.0765740837683282E-6</v>
      </c>
      <c r="CM2" s="404" t="s">
        <v>311</v>
      </c>
      <c r="CN2" s="402" t="s">
        <v>7</v>
      </c>
      <c r="CO2" s="400" t="e">
        <f>(CL2/(CO5*((CO10*CO12*CO13*(CO6+CO7))+(CO11*CO12))))*CL13</f>
        <v>#DIV/0!</v>
      </c>
      <c r="CP2" s="412" t="s">
        <v>311</v>
      </c>
      <c r="CQ2" s="402" t="s">
        <v>6</v>
      </c>
      <c r="CR2" s="400" t="e">
        <f>CL2/(CR5*CR6*(1/CR7))</f>
        <v>#DIV/0!</v>
      </c>
      <c r="CS2" s="415" t="s">
        <v>313</v>
      </c>
      <c r="CT2" s="208"/>
      <c r="CU2" s="61"/>
      <c r="CV2" s="62"/>
      <c r="CW2" s="63"/>
      <c r="CX2" s="151"/>
      <c r="CY2" s="64"/>
      <c r="CZ2" s="65"/>
      <c r="DA2" s="66"/>
      <c r="DB2" s="67"/>
      <c r="DC2" s="704" t="s">
        <v>510</v>
      </c>
      <c r="DD2" s="674">
        <f>((DD5)/(DD6*(DD7+DD10)*DD20))*DD22*DD23*DD24</f>
        <v>5.7832492103257316E-9</v>
      </c>
      <c r="DE2" s="706" t="s">
        <v>311</v>
      </c>
      <c r="DF2" s="670" t="s">
        <v>510</v>
      </c>
      <c r="DG2" s="668">
        <f>(DD2/((1/DG24)*(DG5+DG6+DG7)))</f>
        <v>4.3143503545951743E-7</v>
      </c>
      <c r="DH2" s="666" t="s">
        <v>313</v>
      </c>
      <c r="DI2" s="680" t="s">
        <v>510</v>
      </c>
      <c r="DJ2" s="668">
        <f>(DD2/(DJ5+DJ6))*CU11</f>
        <v>2.1183098462245536E-8</v>
      </c>
      <c r="DK2" s="666" t="s">
        <v>313</v>
      </c>
      <c r="DL2" s="680" t="s">
        <v>554</v>
      </c>
      <c r="DM2" s="668">
        <f>(DD2/(DM5+DM6))*((DM9*DD21)/(1-EXP(-DD21*DM9)))</f>
        <v>2.1183098462245536E-8</v>
      </c>
      <c r="DN2" s="666" t="s">
        <v>313</v>
      </c>
      <c r="DO2" s="680" t="s">
        <v>553</v>
      </c>
      <c r="DP2" s="668">
        <f>-(DP5+DP6+DP7)/(DP23+DP24)</f>
        <v>-48.781547491595369</v>
      </c>
      <c r="DQ2" s="678" t="s">
        <v>19</v>
      </c>
      <c r="DR2" s="556" t="s">
        <v>510</v>
      </c>
      <c r="DS2" s="460">
        <f>(DS5/(DS6*DS7*DS16))*DS19*DS20*DS21</f>
        <v>1.1566498420651463E-8</v>
      </c>
      <c r="DT2" s="466" t="s">
        <v>311</v>
      </c>
      <c r="DU2" s="464" t="s">
        <v>510</v>
      </c>
      <c r="DV2" s="462">
        <f>DS2/(DV5*(1/DV8)*DV6*(1/DV7))</f>
        <v>3.4077498207296929E-4</v>
      </c>
      <c r="DW2" s="480" t="s">
        <v>313</v>
      </c>
      <c r="DX2" s="478" t="s">
        <v>510</v>
      </c>
      <c r="DY2" s="462">
        <f>(DS2/(DY9*(1/DY14)*((DY10*DY12*DY13*(DY5+DY6))+(DY11*DY12))))*CU11</f>
        <v>5.4218011584478692E-6</v>
      </c>
      <c r="DZ2" s="480" t="s">
        <v>313</v>
      </c>
      <c r="EA2" s="478" t="s">
        <v>554</v>
      </c>
      <c r="EB2" s="462">
        <f>(DS2/(EB9*(1/EB14)*((EB10*EB12*EB13*(EB5+EB6))+(EB11*EB12))))*((EB15*DS18)/(1-EXP(-DS18*EB15)))</f>
        <v>5.4218011584478692E-6</v>
      </c>
      <c r="EC2" s="480" t="s">
        <v>313</v>
      </c>
      <c r="ED2" s="478" t="s">
        <v>553</v>
      </c>
      <c r="EE2" s="462">
        <f>-EE15/((EE10*EE12*EE13*(EE5+EE6))+(EE11*EE12))</f>
        <v>-15.807288534561259</v>
      </c>
      <c r="EF2" s="476" t="s">
        <v>19</v>
      </c>
      <c r="EG2" s="474" t="s">
        <v>510</v>
      </c>
      <c r="EH2" s="472">
        <f>(EH5/(EH6*EH7*EH16))*EH19*EH20*EH21</f>
        <v>1.1566498420651463E-8</v>
      </c>
      <c r="EI2" s="470" t="s">
        <v>311</v>
      </c>
      <c r="EJ2" s="468" t="s">
        <v>510</v>
      </c>
      <c r="EK2" s="502">
        <f>EH2/(EK5*EK6*(1/EK7))</f>
        <v>1.2837401132798515E-4</v>
      </c>
      <c r="EL2" s="500" t="s">
        <v>313</v>
      </c>
      <c r="EM2" s="504" t="s">
        <v>510</v>
      </c>
      <c r="EN2" s="502">
        <f>(EH2/(EN9*((EN10*EN12*EN13*(EN5+EN6))+(EN11*EN12))))*CU11</f>
        <v>1.8800144714226291E-6</v>
      </c>
      <c r="EO2" s="500" t="s">
        <v>311</v>
      </c>
      <c r="EP2" s="504" t="s">
        <v>554</v>
      </c>
      <c r="EQ2" s="502">
        <f>(EH2/(EQ9*((EQ10*EQ12*EQ13*(EQ5+EQ6))+(EQ11*EQ12))))*((EQ14*EH18)/(1-EXP(-EH18*EQ14)))</f>
        <v>1.8800144714226291E-6</v>
      </c>
      <c r="ER2" s="500" t="s">
        <v>313</v>
      </c>
      <c r="ES2" s="504" t="s">
        <v>553</v>
      </c>
      <c r="ET2" s="502">
        <f>-ET15/((ET10*ET12*ET13*(ET5+ET6))+(ET11*ET12))</f>
        <v>-14.550086614194845</v>
      </c>
      <c r="EU2" s="514" t="s">
        <v>19</v>
      </c>
      <c r="EV2" s="512" t="s">
        <v>510</v>
      </c>
      <c r="EW2" s="510">
        <f>(EW5/(EW6*EW7*EW16))*EW19*EW20*EW21</f>
        <v>1.1566498420651463E-8</v>
      </c>
      <c r="EX2" s="508" t="s">
        <v>311</v>
      </c>
      <c r="EY2" s="506" t="s">
        <v>510</v>
      </c>
      <c r="EZ2" s="494" t="e">
        <f>EW2/(EZ5*EZ6*(1/EZ7))</f>
        <v>#DIV/0!</v>
      </c>
      <c r="FA2" s="498" t="s">
        <v>313</v>
      </c>
      <c r="FB2" s="496" t="s">
        <v>510</v>
      </c>
      <c r="FC2" s="494" t="e">
        <f>(EW2/(FC9*((FC10*FC12*FC13*(FC5+FC6))+(FC11*FC12))))*CU11</f>
        <v>#DIV/0!</v>
      </c>
      <c r="FD2" s="498" t="s">
        <v>311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313</v>
      </c>
      <c r="FH2" s="496" t="s">
        <v>553</v>
      </c>
      <c r="FI2" s="494">
        <f>-FI15/((FI10*FI12*FI13*(FI5+FI6))+(FI11*FI12))</f>
        <v>-5.3050397877984095</v>
      </c>
      <c r="FJ2" s="492" t="s">
        <v>19</v>
      </c>
      <c r="FK2" s="490" t="s">
        <v>510</v>
      </c>
      <c r="FL2" s="488">
        <f>(FL5/(FL6*FL7*FL16))*FL19*FL20*FL21</f>
        <v>1.1566498420651463E-8</v>
      </c>
      <c r="FM2" s="486" t="s">
        <v>311</v>
      </c>
      <c r="FN2" s="484" t="s">
        <v>510</v>
      </c>
      <c r="FO2" s="430">
        <f>FL2/(FO5*(1/FO6))</f>
        <v>2.8916246051628656E-6</v>
      </c>
      <c r="FP2" s="428" t="s">
        <v>313</v>
      </c>
      <c r="FQ2" s="482" t="s">
        <v>510</v>
      </c>
      <c r="FR2" s="430">
        <f>((FL2*FR6)/FR5)*CU11</f>
        <v>2.9104518132202257E-9</v>
      </c>
      <c r="FS2" s="428" t="s">
        <v>311</v>
      </c>
      <c r="FT2" s="426" t="s">
        <v>554</v>
      </c>
      <c r="FU2" s="430">
        <f>((FL2*FU6)/FU5)*((FU7*FL18)/(1-EXP(-FL18*FU7)))</f>
        <v>2.9104518132202257E-9</v>
      </c>
      <c r="FV2" s="428" t="s">
        <v>313</v>
      </c>
      <c r="FW2" s="426" t="s">
        <v>553</v>
      </c>
      <c r="FX2" s="430">
        <f>-FX5/FX6</f>
        <v>-1E-3</v>
      </c>
      <c r="FY2" s="438" t="s">
        <v>19</v>
      </c>
      <c r="FZ2" s="436" t="s">
        <v>510</v>
      </c>
      <c r="GA2" s="434">
        <f>(GA5/(GA6*GA7*GA16))*GA19*GA20*GA21</f>
        <v>1.1566498420651463E-8</v>
      </c>
      <c r="GB2" s="432" t="s">
        <v>311</v>
      </c>
      <c r="GC2" s="458" t="s">
        <v>510</v>
      </c>
      <c r="GD2" s="417" t="e">
        <f>(GA2/(GD5*GD6*(1/GD7)))</f>
        <v>#DIV/0!</v>
      </c>
      <c r="GE2" s="421" t="s">
        <v>313</v>
      </c>
      <c r="GF2" s="419" t="s">
        <v>510</v>
      </c>
      <c r="GG2" s="417" t="e">
        <f>(GA2/((GG9)*((GG10*GG12*GG13*(GG5+GG6))+(GG11*GG12))))*CU11</f>
        <v>#DIV/0!</v>
      </c>
      <c r="GH2" s="421" t="s">
        <v>311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313</v>
      </c>
      <c r="GL2" s="419" t="s">
        <v>553</v>
      </c>
      <c r="GM2" s="417">
        <f>-GM15/((GM10*GM12*GM13*(GM5+GM6))+(GM11*GM12))</f>
        <v>-5.3050397877984095</v>
      </c>
      <c r="GN2" s="456" t="s">
        <v>19</v>
      </c>
      <c r="GO2" s="454" t="s">
        <v>510</v>
      </c>
      <c r="GP2" s="452">
        <f>(GP5/(GP6*GP7*GP15))*GP18*GP19*GP20</f>
        <v>1.1566498420651463E-8</v>
      </c>
      <c r="GQ2" s="450" t="s">
        <v>311</v>
      </c>
      <c r="GR2" s="448" t="s">
        <v>510</v>
      </c>
      <c r="GS2" s="442" t="e">
        <f>GP2/(GS5*GS6*(1/GS7))</f>
        <v>#DIV/0!</v>
      </c>
      <c r="GT2" s="446" t="s">
        <v>313</v>
      </c>
      <c r="GU2" s="444" t="s">
        <v>510</v>
      </c>
      <c r="GV2" s="442" t="e">
        <f>(GP2/((GV9)*((GV10*GV12*GV13*(GV5+GV6))+(GV11*GV12))))*CU11</f>
        <v>#DIV/0!</v>
      </c>
      <c r="GW2" s="446" t="s">
        <v>311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313</v>
      </c>
      <c r="HA2" s="444" t="s">
        <v>553</v>
      </c>
      <c r="HB2" s="442">
        <f>-HB15/((HB10*HB12*HB13*(HB5+HB6))+(HB11*HB12))</f>
        <v>-7.0158163579297179</v>
      </c>
      <c r="HC2" s="440" t="s">
        <v>19</v>
      </c>
      <c r="HD2" s="251"/>
      <c r="HE2" s="350"/>
      <c r="HF2" s="252"/>
    </row>
    <row r="3" spans="1:214" ht="13.5" thickTop="1" x14ac:dyDescent="0.2">
      <c r="A3" s="278" t="s">
        <v>456</v>
      </c>
      <c r="B3" s="362">
        <v>0.124</v>
      </c>
      <c r="C3" s="240"/>
      <c r="D3" s="317" t="s">
        <v>15</v>
      </c>
      <c r="E3" s="285">
        <f>1/((1/E20)+(1/E21))</f>
        <v>6.3213158047299817E-13</v>
      </c>
      <c r="F3" s="253" t="s">
        <v>312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1.2150073104085178E-11</v>
      </c>
      <c r="X3" s="254" t="s">
        <v>312</v>
      </c>
      <c r="Y3" s="321" t="s">
        <v>16</v>
      </c>
      <c r="Z3" s="358">
        <f>1/((1/Z18)+(1/Z19))</f>
        <v>1.2150073104085178E-11</v>
      </c>
      <c r="AA3" s="255" t="s">
        <v>312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8.5580890894805901E-12</v>
      </c>
      <c r="BU3" s="250" t="s">
        <v>312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1/((1/CU14)+(1/CU15)+(1/CU16)+(1/CU17)+(1/CU20)+(1/CU21)+(1/CU23))</f>
        <v>2.513160033603779E-9</v>
      </c>
      <c r="CV3" s="71" t="s">
        <v>311</v>
      </c>
      <c r="CW3" s="326" t="s">
        <v>15</v>
      </c>
      <c r="CX3" s="117">
        <f>1/((1/CX20)+(1/CX21))</f>
        <v>6.7425342407105581E-13</v>
      </c>
      <c r="CY3" s="256" t="s">
        <v>312</v>
      </c>
      <c r="CZ3" s="338" t="s">
        <v>285</v>
      </c>
      <c r="DA3" s="336">
        <f>1/((1/DA13)+(1/DA15)+(1/DA16)+(1/DA19)+(1/DA20)+(1/DA22))</f>
        <v>1.7810314352547688E-7</v>
      </c>
      <c r="DB3" s="72" t="s">
        <v>313</v>
      </c>
      <c r="DC3" s="704"/>
      <c r="DD3" s="674"/>
      <c r="DE3" s="706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(HE5*HE13*10^-3*(HE14+(HE9/HE10))*((HE11*HE7)/(1-EXP(-HE7*HE11))))*HE8*HE15*HE16</f>
        <v>7.0483602506984956E-9</v>
      </c>
      <c r="HF3" s="252" t="s">
        <v>311</v>
      </c>
    </row>
    <row r="4" spans="1:214" ht="13.5" thickBot="1" x14ac:dyDescent="0.25">
      <c r="A4" s="279" t="s">
        <v>457</v>
      </c>
      <c r="B4" s="363">
        <v>0.79200000000000004</v>
      </c>
      <c r="C4" s="241"/>
      <c r="D4" s="318" t="s">
        <v>16</v>
      </c>
      <c r="E4" s="286">
        <f>1/((1/E22)+(1/E23))</f>
        <v>6.3487345324784205E-13</v>
      </c>
      <c r="F4" s="257" t="s">
        <v>312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1.2136926345081562E-11</v>
      </c>
      <c r="X4" s="258" t="s">
        <v>312</v>
      </c>
      <c r="Y4" s="322" t="s">
        <v>15</v>
      </c>
      <c r="Z4" s="359">
        <f>1/((1/Z16)+(1/Z17))</f>
        <v>1.2136926345081562E-11</v>
      </c>
      <c r="AA4" s="259" t="s">
        <v>312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8.6063669213772256E-12</v>
      </c>
      <c r="BU4" s="260" t="s">
        <v>312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1.8656784663592941E-8</v>
      </c>
      <c r="CV4" s="73" t="s">
        <v>311</v>
      </c>
      <c r="CW4" s="327" t="s">
        <v>16</v>
      </c>
      <c r="CX4" s="106">
        <f>1/((1/CX22)+(1/CX23))</f>
        <v>6.7864345086627277E-13</v>
      </c>
      <c r="CY4" s="261" t="s">
        <v>312</v>
      </c>
      <c r="CZ4" s="339" t="s">
        <v>11</v>
      </c>
      <c r="DA4" s="337">
        <f>1/((1/DA15)+(1/DA16)+(1/DA13))</f>
        <v>1.9018010906457096E-7</v>
      </c>
      <c r="DB4" s="74" t="s">
        <v>313</v>
      </c>
      <c r="DC4" s="705"/>
      <c r="DD4" s="675"/>
      <c r="DE4" s="707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2.6296550064871491E-15</v>
      </c>
      <c r="HF4" s="75" t="s">
        <v>311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0.52543733718458041</v>
      </c>
      <c r="DH5" s="249" t="s">
        <v>19</v>
      </c>
      <c r="DI5" s="262" t="s">
        <v>20</v>
      </c>
      <c r="DJ5" s="305">
        <f>DJ7</f>
        <v>1.4789999999999999E-2</v>
      </c>
      <c r="DK5" s="262"/>
      <c r="DL5" s="262" t="s">
        <v>20</v>
      </c>
      <c r="DM5" s="305">
        <f>DM7</f>
        <v>1.4789999999999999E-2</v>
      </c>
      <c r="DO5" s="249" t="s">
        <v>18</v>
      </c>
      <c r="DP5" s="118">
        <f>(DP8*DP9*DP10*((1-EXP(-DP11*DP12))))/(DP13*DP11)</f>
        <v>0.52543733718458041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3.8000000000000002E-4</v>
      </c>
      <c r="DW5" s="262"/>
      <c r="DX5" s="262" t="s">
        <v>21</v>
      </c>
      <c r="DY5" s="305">
        <f>DY7</f>
        <v>1.7000000000000001E-2</v>
      </c>
      <c r="DZ5" s="262"/>
      <c r="EA5" s="262" t="s">
        <v>21</v>
      </c>
      <c r="EB5" s="305">
        <f>EB7</f>
        <v>1.7000000000000001E-2</v>
      </c>
      <c r="EC5" s="263"/>
      <c r="ED5" s="262" t="s">
        <v>21</v>
      </c>
      <c r="EE5" s="305">
        <f>EE7</f>
        <v>1.7000000000000001E-2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1.6999999999999999E-3</v>
      </c>
      <c r="EL5" s="262"/>
      <c r="EM5" s="262" t="s">
        <v>21</v>
      </c>
      <c r="EN5" s="305">
        <f>EN7</f>
        <v>1.7000000000000001E-2</v>
      </c>
      <c r="EO5" s="262"/>
      <c r="EP5" s="262" t="s">
        <v>21</v>
      </c>
      <c r="EQ5" s="305">
        <f>EQ7</f>
        <v>1.7000000000000001E-2</v>
      </c>
      <c r="ER5" s="263"/>
      <c r="ES5" s="262" t="s">
        <v>21</v>
      </c>
      <c r="ET5" s="305">
        <f>ET7</f>
        <v>1.7000000000000001E-2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1.7000000000000001E-2</v>
      </c>
      <c r="FD5" s="262"/>
      <c r="FE5" s="262" t="s">
        <v>21</v>
      </c>
      <c r="FF5" s="305">
        <f>FF7</f>
        <v>1.7000000000000001E-2</v>
      </c>
      <c r="FG5" s="263"/>
      <c r="FH5" s="263" t="s">
        <v>21</v>
      </c>
      <c r="FI5" s="290">
        <f>FI7</f>
        <v>1.7000000000000001E-2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4</v>
      </c>
      <c r="FP5" s="263"/>
      <c r="FQ5" s="263" t="s">
        <v>122</v>
      </c>
      <c r="FR5" s="298">
        <f>B36</f>
        <v>4</v>
      </c>
      <c r="FS5" s="263"/>
      <c r="FT5" s="263" t="s">
        <v>122</v>
      </c>
      <c r="FU5" s="298">
        <f>B36</f>
        <v>4</v>
      </c>
      <c r="FV5" s="263"/>
      <c r="FW5" s="262" t="s">
        <v>181</v>
      </c>
      <c r="FX5" s="305">
        <f>B46</f>
        <v>1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1.7000000000000001E-2</v>
      </c>
      <c r="GH5" s="262"/>
      <c r="GI5" s="262" t="s">
        <v>21</v>
      </c>
      <c r="GJ5" s="305">
        <f>GJ7</f>
        <v>1.7000000000000001E-2</v>
      </c>
      <c r="GK5" s="262"/>
      <c r="GL5" s="262" t="s">
        <v>21</v>
      </c>
      <c r="GM5" s="305">
        <f>GM7</f>
        <v>1.7000000000000001E-2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1.7000000000000001E-2</v>
      </c>
      <c r="GW5" s="262"/>
      <c r="GX5" s="262" t="s">
        <v>21</v>
      </c>
      <c r="GY5" s="305">
        <f>GY7</f>
        <v>1.7000000000000001E-2</v>
      </c>
      <c r="GZ5" s="262"/>
      <c r="HA5" s="262" t="s">
        <v>21</v>
      </c>
      <c r="HB5" s="305">
        <f>HB7</f>
        <v>1.7000000000000001E-2</v>
      </c>
      <c r="HC5" s="263"/>
      <c r="HD5" s="265" t="s">
        <v>22</v>
      </c>
      <c r="HE5" s="292">
        <f>B47</f>
        <v>5</v>
      </c>
      <c r="HF5" s="262" t="s">
        <v>580</v>
      </c>
    </row>
    <row r="6" spans="1:214" ht="13.5" thickTop="1" x14ac:dyDescent="0.2">
      <c r="A6" s="278" t="s">
        <v>454</v>
      </c>
      <c r="B6" s="362">
        <v>5.8099999999999999E-2</v>
      </c>
      <c r="C6" s="240"/>
      <c r="D6" s="262" t="s">
        <v>23</v>
      </c>
      <c r="E6" s="288">
        <f>0.693/E7</f>
        <v>4.3312499999999997E-4</v>
      </c>
      <c r="G6" s="262" t="s">
        <v>439</v>
      </c>
      <c r="H6" s="287">
        <f>B20</f>
        <v>3.8480000000000001E-10</v>
      </c>
      <c r="I6" s="262" t="s">
        <v>35</v>
      </c>
      <c r="J6" s="262" t="s">
        <v>316</v>
      </c>
      <c r="K6" s="287">
        <f>B21</f>
        <v>6.7709999999999997E-10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4.3312499999999997E-4</v>
      </c>
      <c r="Y6" s="262" t="s">
        <v>23</v>
      </c>
      <c r="Z6" s="288">
        <f>0.693/Z7</f>
        <v>4.3312499999999997E-4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BQ12</f>
        <v>5</v>
      </c>
      <c r="BR6" s="249" t="s">
        <v>69</v>
      </c>
      <c r="BS6" s="262" t="s">
        <v>23</v>
      </c>
      <c r="BT6" s="288">
        <f>0.693/BT7</f>
        <v>4.3312499999999997E-4</v>
      </c>
      <c r="BV6" s="262" t="s">
        <v>163</v>
      </c>
      <c r="BW6" s="287">
        <f>B20</f>
        <v>3.8480000000000001E-10</v>
      </c>
      <c r="BX6" s="262" t="s">
        <v>35</v>
      </c>
      <c r="BY6" s="262" t="s">
        <v>45</v>
      </c>
      <c r="BZ6" s="287">
        <f>B21</f>
        <v>6.7709999999999997E-10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5.1429999999999997E-10</v>
      </c>
      <c r="CM6" s="266" t="s">
        <v>13</v>
      </c>
      <c r="CN6" s="263" t="s">
        <v>21</v>
      </c>
      <c r="CO6" s="290">
        <f>CO8</f>
        <v>1.7000000000000001E-2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6.7709999999999997E-10</v>
      </c>
      <c r="CV6" s="262" t="s">
        <v>35</v>
      </c>
      <c r="CW6" s="262" t="s">
        <v>23</v>
      </c>
      <c r="CX6" s="288">
        <f>0.693/CX7</f>
        <v>4.3312499999999997E-4</v>
      </c>
      <c r="CZ6" s="262" t="s">
        <v>163</v>
      </c>
      <c r="DA6" s="287">
        <f>B20</f>
        <v>3.8480000000000001E-10</v>
      </c>
      <c r="DB6" s="262" t="s">
        <v>35</v>
      </c>
      <c r="DC6" s="262" t="s">
        <v>438</v>
      </c>
      <c r="DD6" s="287">
        <f>B30</f>
        <v>5.1429999999999997E-10</v>
      </c>
      <c r="DE6" s="267" t="s">
        <v>35</v>
      </c>
      <c r="DF6" s="249" t="s">
        <v>27</v>
      </c>
      <c r="DG6" s="118">
        <f>(DG8*DG9*DG14*((1-EXP(-DG11*DG12))))/(DG13*DG11)</f>
        <v>9.2368970701819411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9.2368970701819411</v>
      </c>
      <c r="DQ6" s="249" t="s">
        <v>19</v>
      </c>
      <c r="DR6" s="262" t="s">
        <v>438</v>
      </c>
      <c r="DS6" s="287">
        <f>B30</f>
        <v>5.1429999999999997E-10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5.1429999999999997E-10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5.1429999999999997E-10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5.1429999999999997E-10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</v>
      </c>
      <c r="FS6" s="249" t="s">
        <v>19</v>
      </c>
      <c r="FT6" s="262" t="s">
        <v>181</v>
      </c>
      <c r="FU6" s="305">
        <f>B46</f>
        <v>1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5.1429999999999997E-10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5.1429999999999997E-10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2.0140754845232836E-12</v>
      </c>
      <c r="HF6" s="262" t="s">
        <v>313</v>
      </c>
    </row>
    <row r="7" spans="1:214" x14ac:dyDescent="0.2">
      <c r="A7" s="279" t="s">
        <v>455</v>
      </c>
      <c r="B7" s="363">
        <v>0.624</v>
      </c>
      <c r="C7" s="241"/>
      <c r="D7" s="266" t="s">
        <v>270</v>
      </c>
      <c r="E7" s="287">
        <f>B31</f>
        <v>1600</v>
      </c>
      <c r="F7" s="249" t="s">
        <v>69</v>
      </c>
      <c r="G7" s="262" t="s">
        <v>43</v>
      </c>
      <c r="H7" s="290">
        <f>B19</f>
        <v>2.8231E-8</v>
      </c>
      <c r="I7" s="263" t="s">
        <v>35</v>
      </c>
      <c r="J7" s="262" t="s">
        <v>43</v>
      </c>
      <c r="K7" s="290">
        <f>B19</f>
        <v>2.8231E-8</v>
      </c>
      <c r="L7" s="263" t="s">
        <v>35</v>
      </c>
      <c r="M7" s="262" t="s">
        <v>23</v>
      </c>
      <c r="N7" s="288">
        <f>0.693/N8</f>
        <v>4.3312499999999997E-4</v>
      </c>
      <c r="P7" s="262" t="s">
        <v>23</v>
      </c>
      <c r="Q7" s="288">
        <f>0.693/Q8</f>
        <v>4.3312499999999997E-4</v>
      </c>
      <c r="S7" s="262" t="s">
        <v>23</v>
      </c>
      <c r="T7" s="288">
        <f>0.693/T8</f>
        <v>4.3312499999999997E-4</v>
      </c>
      <c r="V7" s="266" t="s">
        <v>270</v>
      </c>
      <c r="W7" s="287">
        <f>B31</f>
        <v>1600</v>
      </c>
      <c r="X7" s="249" t="s">
        <v>69</v>
      </c>
      <c r="Y7" s="266" t="s">
        <v>270</v>
      </c>
      <c r="Z7" s="287">
        <f>B31</f>
        <v>1600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4.3312499999999997E-4</v>
      </c>
      <c r="AL7" s="262" t="s">
        <v>23</v>
      </c>
      <c r="AM7" s="288">
        <f>0.693/AM8</f>
        <v>4.3312499999999997E-4</v>
      </c>
      <c r="AO7" s="262" t="s">
        <v>23</v>
      </c>
      <c r="AP7" s="288">
        <f>0.693/AP8</f>
        <v>4.3312499999999997E-4</v>
      </c>
      <c r="AR7" s="262" t="s">
        <v>23</v>
      </c>
      <c r="AS7" s="288">
        <f>0.693/AS8</f>
        <v>4.3312499999999997E-4</v>
      </c>
      <c r="AU7" s="262" t="s">
        <v>23</v>
      </c>
      <c r="AV7" s="288">
        <f>0.693/AV8</f>
        <v>4.3312499999999997E-4</v>
      </c>
      <c r="AX7" s="262" t="s">
        <v>23</v>
      </c>
      <c r="AY7" s="288">
        <f>0.693/AY8</f>
        <v>4.3312499999999997E-4</v>
      </c>
      <c r="BA7" s="262" t="s">
        <v>23</v>
      </c>
      <c r="BB7" s="288">
        <f>0.693/BB8</f>
        <v>4.3312499999999997E-4</v>
      </c>
      <c r="BD7" s="262" t="s">
        <v>23</v>
      </c>
      <c r="BE7" s="288">
        <f>0.693/BE8</f>
        <v>4.3312499999999997E-4</v>
      </c>
      <c r="BG7" s="262" t="s">
        <v>23</v>
      </c>
      <c r="BH7" s="288">
        <f>0.693/BH8</f>
        <v>4.3312499999999997E-4</v>
      </c>
      <c r="BJ7" s="262" t="s">
        <v>23</v>
      </c>
      <c r="BK7" s="288">
        <f>0.693/BK8</f>
        <v>4.3312499999999997E-4</v>
      </c>
      <c r="BM7" s="262" t="s">
        <v>23</v>
      </c>
      <c r="BN7" s="288">
        <f>0.693/BN8</f>
        <v>4.3312499999999997E-4</v>
      </c>
      <c r="BP7" s="262" t="s">
        <v>23</v>
      </c>
      <c r="BQ7" s="288">
        <f>0.693/BQ8</f>
        <v>4.3312499999999997E-4</v>
      </c>
      <c r="BS7" s="266" t="s">
        <v>270</v>
      </c>
      <c r="BT7" s="287">
        <f>B31</f>
        <v>1600</v>
      </c>
      <c r="BU7" s="249" t="s">
        <v>69</v>
      </c>
      <c r="BV7" s="262" t="s">
        <v>43</v>
      </c>
      <c r="BW7" s="290">
        <f>E10</f>
        <v>2.8231E-8</v>
      </c>
      <c r="BX7" s="263" t="s">
        <v>35</v>
      </c>
      <c r="BY7" s="262" t="s">
        <v>43</v>
      </c>
      <c r="BZ7" s="290">
        <f>B19</f>
        <v>2.8231E-8</v>
      </c>
      <c r="CA7" s="263" t="s">
        <v>35</v>
      </c>
      <c r="CB7" s="262" t="s">
        <v>23</v>
      </c>
      <c r="CC7" s="288">
        <f>0.693/CC8</f>
        <v>4.3312499999999997E-4</v>
      </c>
      <c r="CE7" s="262" t="s">
        <v>23</v>
      </c>
      <c r="CF7" s="288">
        <f>0.693/CF8</f>
        <v>4.3312499999999997E-4</v>
      </c>
      <c r="CH7" s="262" t="s">
        <v>23</v>
      </c>
      <c r="CI7" s="288">
        <f>0.693/CI8</f>
        <v>4.3312499999999997E-4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2.8231E-8</v>
      </c>
      <c r="CV7" s="263" t="s">
        <v>35</v>
      </c>
      <c r="CW7" s="266" t="s">
        <v>270</v>
      </c>
      <c r="CX7" s="287">
        <f>B31</f>
        <v>1600</v>
      </c>
      <c r="CY7" s="249" t="s">
        <v>69</v>
      </c>
      <c r="CZ7" s="263" t="s">
        <v>43</v>
      </c>
      <c r="DA7" s="290">
        <f>B19</f>
        <v>2.8231E-8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3.6423470278489711</v>
      </c>
      <c r="DH7" s="249" t="s">
        <v>19</v>
      </c>
      <c r="DI7" s="262" t="s">
        <v>37</v>
      </c>
      <c r="DJ7" s="287">
        <f>B44</f>
        <v>1.4789999999999999E-2</v>
      </c>
      <c r="DL7" s="262" t="s">
        <v>37</v>
      </c>
      <c r="DM7" s="287">
        <f>B44</f>
        <v>1.4789999999999999E-2</v>
      </c>
      <c r="DO7" s="249" t="s">
        <v>36</v>
      </c>
      <c r="DP7" s="118">
        <f>(DP8*DP9*DP15*DP21*((1-EXP(-DP16*DP17))))/(DP18*DP16)</f>
        <v>3.6423470278489711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1.7000000000000001E-2</v>
      </c>
      <c r="EA7" s="262" t="s">
        <v>38</v>
      </c>
      <c r="EB7" s="287">
        <f>B45</f>
        <v>1.7000000000000001E-2</v>
      </c>
      <c r="EC7" s="263"/>
      <c r="ED7" s="262" t="s">
        <v>38</v>
      </c>
      <c r="EE7" s="287">
        <f>B45</f>
        <v>1.7000000000000001E-2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1.7000000000000001E-2</v>
      </c>
      <c r="EP7" s="262" t="s">
        <v>38</v>
      </c>
      <c r="EQ7" s="287">
        <f>B45</f>
        <v>1.7000000000000001E-2</v>
      </c>
      <c r="ER7" s="263"/>
      <c r="ES7" s="262" t="s">
        <v>38</v>
      </c>
      <c r="ET7" s="287">
        <f>B45</f>
        <v>1.7000000000000001E-2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1.7000000000000001E-2</v>
      </c>
      <c r="FD7" s="262"/>
      <c r="FE7" s="262" t="s">
        <v>38</v>
      </c>
      <c r="FF7" s="305">
        <f>B45</f>
        <v>1.7000000000000001E-2</v>
      </c>
      <c r="FG7" s="263"/>
      <c r="FH7" s="263" t="s">
        <v>38</v>
      </c>
      <c r="FI7" s="290">
        <f>B45</f>
        <v>1.7000000000000001E-2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1.7000000000000001E-2</v>
      </c>
      <c r="GH7" s="262"/>
      <c r="GI7" s="262" t="s">
        <v>38</v>
      </c>
      <c r="GJ7" s="305">
        <f>B45</f>
        <v>1.7000000000000001E-2</v>
      </c>
      <c r="GK7" s="262"/>
      <c r="GL7" s="262" t="s">
        <v>38</v>
      </c>
      <c r="GM7" s="305">
        <f>B45</f>
        <v>1.7000000000000001E-2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1.7000000000000001E-2</v>
      </c>
      <c r="GW7" s="262"/>
      <c r="GX7" s="262" t="s">
        <v>38</v>
      </c>
      <c r="GY7" s="305">
        <f>B45</f>
        <v>1.7000000000000001E-2</v>
      </c>
      <c r="GZ7" s="262"/>
      <c r="HA7" s="262" t="s">
        <v>38</v>
      </c>
      <c r="HB7" s="305">
        <f>B45</f>
        <v>1.7000000000000001E-2</v>
      </c>
      <c r="HC7" s="263"/>
      <c r="HD7" s="262" t="s">
        <v>23</v>
      </c>
      <c r="HE7" s="288">
        <f>0.693/HE8</f>
        <v>4.3312499999999997E-4</v>
      </c>
    </row>
    <row r="8" spans="1:214" x14ac:dyDescent="0.2">
      <c r="A8" s="279" t="s">
        <v>458</v>
      </c>
      <c r="B8" s="363">
        <v>6.8599999999999994E-2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1.6813889280000001E-11</v>
      </c>
      <c r="I8" s="263" t="s">
        <v>35</v>
      </c>
      <c r="J8" s="262" t="s">
        <v>71</v>
      </c>
      <c r="K8" s="287">
        <f>B23</f>
        <v>8.3719157040000005E-6</v>
      </c>
      <c r="L8" s="262" t="s">
        <v>445</v>
      </c>
      <c r="M8" s="266" t="s">
        <v>270</v>
      </c>
      <c r="N8" s="287">
        <f>B31</f>
        <v>1600</v>
      </c>
      <c r="O8" s="249" t="s">
        <v>69</v>
      </c>
      <c r="P8" s="266" t="s">
        <v>270</v>
      </c>
      <c r="Q8" s="287">
        <f>B31</f>
        <v>1600</v>
      </c>
      <c r="R8" s="249" t="s">
        <v>69</v>
      </c>
      <c r="S8" s="266" t="s">
        <v>270</v>
      </c>
      <c r="T8" s="287">
        <f>B31</f>
        <v>1600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1600</v>
      </c>
      <c r="AK8" s="249" t="s">
        <v>69</v>
      </c>
      <c r="AL8" s="266" t="s">
        <v>270</v>
      </c>
      <c r="AM8" s="287">
        <f>B31</f>
        <v>1600</v>
      </c>
      <c r="AN8" s="249" t="s">
        <v>69</v>
      </c>
      <c r="AO8" s="266" t="s">
        <v>270</v>
      </c>
      <c r="AP8" s="287">
        <f>B31</f>
        <v>1600</v>
      </c>
      <c r="AQ8" s="249" t="s">
        <v>69</v>
      </c>
      <c r="AR8" s="266" t="s">
        <v>270</v>
      </c>
      <c r="AS8" s="287">
        <f>B31</f>
        <v>1600</v>
      </c>
      <c r="AT8" s="249" t="s">
        <v>69</v>
      </c>
      <c r="AU8" s="266" t="s">
        <v>270</v>
      </c>
      <c r="AV8" s="287">
        <f>B31</f>
        <v>1600</v>
      </c>
      <c r="AW8" s="249" t="s">
        <v>69</v>
      </c>
      <c r="AX8" s="266" t="s">
        <v>270</v>
      </c>
      <c r="AY8" s="287">
        <f>B31</f>
        <v>1600</v>
      </c>
      <c r="AZ8" s="249" t="s">
        <v>69</v>
      </c>
      <c r="BA8" s="266" t="s">
        <v>270</v>
      </c>
      <c r="BB8" s="287">
        <f>B31</f>
        <v>1600</v>
      </c>
      <c r="BC8" s="249" t="s">
        <v>69</v>
      </c>
      <c r="BD8" s="266" t="s">
        <v>270</v>
      </c>
      <c r="BE8" s="287">
        <f>B31</f>
        <v>1600</v>
      </c>
      <c r="BF8" s="249" t="s">
        <v>69</v>
      </c>
      <c r="BG8" s="266" t="s">
        <v>270</v>
      </c>
      <c r="BH8" s="287">
        <f>B31</f>
        <v>1600</v>
      </c>
      <c r="BI8" s="249" t="s">
        <v>69</v>
      </c>
      <c r="BJ8" s="266" t="s">
        <v>270</v>
      </c>
      <c r="BK8" s="287">
        <f>B31</f>
        <v>1600</v>
      </c>
      <c r="BL8" s="249" t="s">
        <v>69</v>
      </c>
      <c r="BM8" s="266" t="s">
        <v>270</v>
      </c>
      <c r="BN8" s="287">
        <f>B31</f>
        <v>1600</v>
      </c>
      <c r="BO8" s="249" t="s">
        <v>69</v>
      </c>
      <c r="BP8" s="266" t="s">
        <v>270</v>
      </c>
      <c r="BQ8" s="287">
        <f>B31</f>
        <v>1600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1.6813889280000001E-11</v>
      </c>
      <c r="BX8" s="263" t="s">
        <v>35</v>
      </c>
      <c r="BY8" s="262" t="s">
        <v>71</v>
      </c>
      <c r="BZ8" s="287">
        <f>B23</f>
        <v>8.3719157040000005E-6</v>
      </c>
      <c r="CA8" s="262" t="s">
        <v>95</v>
      </c>
      <c r="CB8" s="266" t="s">
        <v>270</v>
      </c>
      <c r="CC8" s="287">
        <f>B31</f>
        <v>1600</v>
      </c>
      <c r="CD8" s="249" t="s">
        <v>69</v>
      </c>
      <c r="CE8" s="266" t="s">
        <v>270</v>
      </c>
      <c r="CF8" s="287">
        <f>B31</f>
        <v>1600</v>
      </c>
      <c r="CG8" s="249" t="s">
        <v>69</v>
      </c>
      <c r="CH8" s="266" t="s">
        <v>270</v>
      </c>
      <c r="CI8" s="287">
        <f>B31</f>
        <v>1600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1.7000000000000001E-2</v>
      </c>
      <c r="CT8" s="262" t="s">
        <v>71</v>
      </c>
      <c r="CU8" s="287">
        <f>B23</f>
        <v>8.3719157040000005E-6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1.6813889280000001E-11</v>
      </c>
      <c r="DB8" s="262" t="s">
        <v>35</v>
      </c>
      <c r="DC8" s="262" t="s">
        <v>380</v>
      </c>
      <c r="DD8" s="297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1600</v>
      </c>
      <c r="HF8" s="249" t="s">
        <v>69</v>
      </c>
    </row>
    <row r="9" spans="1:214" x14ac:dyDescent="0.2">
      <c r="A9" s="279" t="s">
        <v>459</v>
      </c>
      <c r="B9" s="363">
        <v>0.73699999999999999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5.1429999999999997E-10</v>
      </c>
      <c r="I9" s="267" t="s">
        <v>35</v>
      </c>
      <c r="J9" s="262" t="s">
        <v>438</v>
      </c>
      <c r="K9" s="287">
        <f>B30</f>
        <v>5.1429999999999997E-10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2.9489E-10</v>
      </c>
      <c r="AD9" s="287">
        <f>B22</f>
        <v>2.9489E-10</v>
      </c>
      <c r="AE9" s="287">
        <f>B22</f>
        <v>2.9489E-10</v>
      </c>
      <c r="AF9" s="287">
        <f>B22</f>
        <v>2.9489E-10</v>
      </c>
      <c r="AG9" s="287">
        <f>B22</f>
        <v>2.9489E-10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5.1429999999999997E-10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5.1429999999999997E-10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5.1429999999999997E-10</v>
      </c>
      <c r="DB9" s="263" t="s">
        <v>35</v>
      </c>
      <c r="DC9" s="262" t="s">
        <v>381</v>
      </c>
      <c r="DD9" s="297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3.8000000000000002E-4</v>
      </c>
      <c r="EA9" s="262" t="s">
        <v>278</v>
      </c>
      <c r="EB9" s="287">
        <f>B37</f>
        <v>3.8000000000000002E-4</v>
      </c>
      <c r="EC9" s="263"/>
      <c r="ED9" s="262" t="s">
        <v>278</v>
      </c>
      <c r="EE9" s="287">
        <f>B37</f>
        <v>3.8000000000000002E-4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1.6999999999999999E-3</v>
      </c>
      <c r="EP9" s="262" t="s">
        <v>275</v>
      </c>
      <c r="EQ9" s="310">
        <f>B38</f>
        <v>1.6999999999999999E-3</v>
      </c>
      <c r="ER9" s="263"/>
      <c r="ES9" s="262" t="s">
        <v>275</v>
      </c>
      <c r="ET9" s="310">
        <f>B38</f>
        <v>1.6999999999999999E-3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0.10100000000000001</v>
      </c>
      <c r="C10" s="241"/>
      <c r="D10" s="88" t="s">
        <v>43</v>
      </c>
      <c r="E10" s="187">
        <f>B19</f>
        <v>2.8231E-8</v>
      </c>
      <c r="F10" s="188" t="s">
        <v>35</v>
      </c>
      <c r="G10" s="266" t="s">
        <v>80</v>
      </c>
      <c r="H10" s="294">
        <f>(H5/(H6*H15))*H70*H68*H69</f>
        <v>5.101493101493101E-10</v>
      </c>
      <c r="I10" s="271" t="s">
        <v>313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2.8231E-8</v>
      </c>
      <c r="X10" s="263" t="s">
        <v>44</v>
      </c>
      <c r="Y10" s="249" t="s">
        <v>43</v>
      </c>
      <c r="Z10" s="290">
        <f>B19</f>
        <v>2.8231E-8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2.8231E-8</v>
      </c>
      <c r="BU10" s="263" t="s">
        <v>35</v>
      </c>
      <c r="BV10" s="266" t="s">
        <v>80</v>
      </c>
      <c r="BW10" s="294">
        <f>(BW5/(BW6*BW12))*BW34*BW32*BW33</f>
        <v>2.8777653393038008E-10</v>
      </c>
      <c r="BX10" s="271" t="s">
        <v>313</v>
      </c>
      <c r="BY10" s="188" t="s">
        <v>16</v>
      </c>
      <c r="BZ10" s="109">
        <f>(BZ33*BZ11)/(1-EXP(-BZ11*BZ33))</f>
        <v>1.0056411929569626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315</v>
      </c>
      <c r="CL10" s="289">
        <f>B293</f>
        <v>241</v>
      </c>
      <c r="CM10" s="249" t="s">
        <v>309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2.8231E-8</v>
      </c>
      <c r="CY10" s="263" t="s">
        <v>35</v>
      </c>
      <c r="CZ10" s="263" t="s">
        <v>16</v>
      </c>
      <c r="DA10" s="288">
        <f>(DA38*DA11)/(1-EXP(-DA11*DA38))</f>
        <v>1.0065109447553271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1.4789999999999999E-2</v>
      </c>
      <c r="DL10" s="267"/>
      <c r="DO10" s="267" t="s">
        <v>37</v>
      </c>
      <c r="DP10" s="287">
        <f>B44</f>
        <v>1.4789999999999999E-2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0.751</v>
      </c>
      <c r="C11" s="241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(H5/(H7*H16*H28))*H70*H68*H69</f>
        <v>2.0228486884033176E-12</v>
      </c>
      <c r="I11" s="271" t="s">
        <v>313</v>
      </c>
      <c r="J11" s="188" t="s">
        <v>16</v>
      </c>
      <c r="K11" s="109">
        <f>(K46*K12)/(1-EXP(-K12*K46))</f>
        <v>1.0043375032343622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(BW5/(BW8*(1/BW31)*BW15))*BW34*BW32*BW33</f>
        <v>2.8846715286748748E-4</v>
      </c>
      <c r="BX11" s="271" t="s">
        <v>313</v>
      </c>
      <c r="BY11" s="266" t="s">
        <v>23</v>
      </c>
      <c r="BZ11" s="109">
        <f>0.693/BZ12</f>
        <v>4.3312499999999997E-4</v>
      </c>
      <c r="CA11" s="88"/>
      <c r="CB11" s="249" t="s">
        <v>456</v>
      </c>
      <c r="CC11" s="287">
        <f>B3</f>
        <v>0.124</v>
      </c>
      <c r="CE11" s="249" t="s">
        <v>454</v>
      </c>
      <c r="CF11" s="287">
        <f>B6</f>
        <v>5.8099999999999999E-2</v>
      </c>
      <c r="CH11" s="249" t="s">
        <v>460</v>
      </c>
      <c r="CI11" s="287">
        <f>B10</f>
        <v>0.10100000000000001</v>
      </c>
      <c r="CK11" s="266" t="s">
        <v>270</v>
      </c>
      <c r="CL11" s="287">
        <f>B31</f>
        <v>1600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1.0065109447553271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4.3312499999999997E-4</v>
      </c>
      <c r="DC11" s="262" t="s">
        <v>382</v>
      </c>
      <c r="DD11" s="297">
        <f>B141</f>
        <v>55</v>
      </c>
      <c r="DE11" s="267" t="s">
        <v>254</v>
      </c>
      <c r="DF11" s="267" t="s">
        <v>55</v>
      </c>
      <c r="DG11" s="288">
        <f>DG19+DG20</f>
        <v>2.8186643835616437E-5</v>
      </c>
      <c r="DL11" s="267"/>
      <c r="DO11" s="267" t="s">
        <v>55</v>
      </c>
      <c r="DP11" s="288">
        <f>DP19+DP20</f>
        <v>2.8186643835616437E-5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3.44E-2</v>
      </c>
      <c r="C12" s="241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(H5/(H8*(1/H45)*H21))*H70*H68*H69</f>
        <v>1.278433972935456E-4</v>
      </c>
      <c r="I12" s="271" t="s">
        <v>313</v>
      </c>
      <c r="J12" s="266" t="s">
        <v>23</v>
      </c>
      <c r="K12" s="109">
        <f>0.693/K13</f>
        <v>4.3312499999999997E-4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1600</v>
      </c>
      <c r="CA12" s="88" t="s">
        <v>69</v>
      </c>
      <c r="CB12" s="249" t="s">
        <v>457</v>
      </c>
      <c r="CC12" s="287">
        <f>B4</f>
        <v>0.79200000000000004</v>
      </c>
      <c r="CE12" s="249" t="s">
        <v>455</v>
      </c>
      <c r="CF12" s="287">
        <f>B7</f>
        <v>0.624</v>
      </c>
      <c r="CH12" s="249" t="s">
        <v>461</v>
      </c>
      <c r="CI12" s="287">
        <f>B11</f>
        <v>0.751</v>
      </c>
      <c r="CK12" s="249" t="s">
        <v>23</v>
      </c>
      <c r="CL12" s="288">
        <f>693/CL11</f>
        <v>0.43312499999999998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4.3312499999999997E-4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1600</v>
      </c>
      <c r="DB12" s="249" t="s">
        <v>69</v>
      </c>
      <c r="DC12" s="262" t="s">
        <v>383</v>
      </c>
      <c r="DD12" s="297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0.45600000000000002</v>
      </c>
      <c r="C13" s="242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>
        <f>(H14/((1/H42)*(H50+H51+H52)))</f>
        <v>5.1772204255142087E-9</v>
      </c>
      <c r="I13" s="271" t="s">
        <v>313</v>
      </c>
      <c r="J13" s="266" t="s">
        <v>270</v>
      </c>
      <c r="K13" s="189">
        <f>B31</f>
        <v>1600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0.124</v>
      </c>
      <c r="BM13" s="249" t="s">
        <v>454</v>
      </c>
      <c r="BN13" s="287">
        <f>B6</f>
        <v>5.8099999999999999E-2</v>
      </c>
      <c r="BP13" s="249" t="s">
        <v>460</v>
      </c>
      <c r="BQ13" s="287">
        <f>B10</f>
        <v>0.10100000000000001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>
        <f>((BZ5/(BZ6*BZ16*(1/BZ36)))*BZ10)*BZ12*BZ37*BZ38</f>
        <v>1.4951611245019274E-5</v>
      </c>
      <c r="CA13" s="271" t="s">
        <v>311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11.261394841645959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1600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>
        <f>(DA5/(DA6*DA23))*DA12*DA50*DA51</f>
        <v>3.4009954009954009E-7</v>
      </c>
      <c r="DB13" s="266" t="s">
        <v>313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>
        <f>(H5/(H9*(H22+H25)*H43))*H70*H68*H69</f>
        <v>6.9398990523908773E-11</v>
      </c>
      <c r="I14" s="271" t="s">
        <v>311</v>
      </c>
      <c r="J14" s="266" t="s">
        <v>80</v>
      </c>
      <c r="K14" s="294">
        <f>((K5/(K6*K19*(1/K49)))*K11)*K13*K54*K55</f>
        <v>2.647076839589538E-5</v>
      </c>
      <c r="L14" s="271" t="s">
        <v>311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7.7413948559999998E-9</v>
      </c>
      <c r="X14" s="262" t="s">
        <v>64</v>
      </c>
      <c r="Y14" s="262" t="s">
        <v>63</v>
      </c>
      <c r="Z14" s="287">
        <f>B28</f>
        <v>7.7413948559999998E-9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0.79200000000000004</v>
      </c>
      <c r="BM14" s="249" t="s">
        <v>455</v>
      </c>
      <c r="BN14" s="287">
        <f>B7</f>
        <v>0.624</v>
      </c>
      <c r="BP14" s="249" t="s">
        <v>461</v>
      </c>
      <c r="BQ14" s="287">
        <f>B11</f>
        <v>0.751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((BZ5/(BZ7*BZ17*(1/BZ9)*BZ35))*BZ10)*BZ12*BZ37*BZ38</f>
        <v>1.169917711587227E-2</v>
      </c>
      <c r="CA14" s="271" t="s">
        <v>311</v>
      </c>
      <c r="CB14" s="249" t="s">
        <v>71</v>
      </c>
      <c r="CC14" s="290">
        <f>B23</f>
        <v>8.3719157040000005E-6</v>
      </c>
      <c r="CD14" s="263" t="s">
        <v>72</v>
      </c>
      <c r="CE14" s="249" t="s">
        <v>71</v>
      </c>
      <c r="CF14" s="290">
        <f>B25</f>
        <v>1.5599552831999999E-6</v>
      </c>
      <c r="CG14" s="263" t="s">
        <v>72</v>
      </c>
      <c r="CH14" s="249" t="s">
        <v>71</v>
      </c>
      <c r="CI14" s="290">
        <f>B27</f>
        <v>7.0991976959999998E-6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((CU5/(CU6*CU24*(1/CU47)))*CU11)*CU13*CU48*CU49</f>
        <v>1.7685368395086837E-5</v>
      </c>
      <c r="CV14" s="271" t="s">
        <v>311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(DA5/(DA7*DA24*DA46))*DA12*DA50*DA51</f>
        <v>1.3485657922688779E-9</v>
      </c>
      <c r="DB14" s="266" t="s">
        <v>313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((K5/(K7*K20*(1/K10)*K48))*K11)*K13*K54*K55</f>
        <v>1.3808376135603349E-3</v>
      </c>
      <c r="L15" s="271" t="s">
        <v>311</v>
      </c>
      <c r="M15" s="249" t="s">
        <v>448</v>
      </c>
      <c r="N15" s="290">
        <f>B23</f>
        <v>8.3719157040000005E-6</v>
      </c>
      <c r="O15" s="263" t="s">
        <v>446</v>
      </c>
      <c r="P15" s="249" t="s">
        <v>449</v>
      </c>
      <c r="Q15" s="290">
        <f>B25</f>
        <v>1.5599552831999999E-6</v>
      </c>
      <c r="R15" s="263" t="s">
        <v>446</v>
      </c>
      <c r="S15" s="249" t="s">
        <v>453</v>
      </c>
      <c r="T15" s="290">
        <f>B27</f>
        <v>7.0991976959999998E-6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8.3719157040000005E-6</v>
      </c>
      <c r="AK15" s="263" t="s">
        <v>72</v>
      </c>
      <c r="AL15" s="262" t="s">
        <v>449</v>
      </c>
      <c r="AM15" s="290">
        <f>B25</f>
        <v>1.5599552831999999E-6</v>
      </c>
      <c r="AN15" s="263" t="s">
        <v>72</v>
      </c>
      <c r="AO15" s="262" t="s">
        <v>452</v>
      </c>
      <c r="AP15" s="290">
        <f>B27</f>
        <v>7.0991976959999998E-6</v>
      </c>
      <c r="AQ15" s="263" t="s">
        <v>72</v>
      </c>
      <c r="AR15" s="249" t="s">
        <v>448</v>
      </c>
      <c r="AS15" s="290">
        <f>B23</f>
        <v>8.3719157040000005E-6</v>
      </c>
      <c r="AT15" s="263" t="s">
        <v>72</v>
      </c>
      <c r="AU15" s="262" t="s">
        <v>449</v>
      </c>
      <c r="AV15" s="290">
        <f>B25</f>
        <v>1.5599552831999999E-6</v>
      </c>
      <c r="AW15" s="263" t="s">
        <v>72</v>
      </c>
      <c r="AX15" s="262" t="s">
        <v>452</v>
      </c>
      <c r="AY15" s="290">
        <f>B27</f>
        <v>7.0991976959999998E-6</v>
      </c>
      <c r="AZ15" s="263" t="s">
        <v>72</v>
      </c>
      <c r="BA15" s="249" t="s">
        <v>448</v>
      </c>
      <c r="BB15" s="290">
        <f>B23</f>
        <v>8.3719157040000005E-6</v>
      </c>
      <c r="BC15" s="263" t="s">
        <v>72</v>
      </c>
      <c r="BD15" s="262" t="s">
        <v>449</v>
      </c>
      <c r="BE15" s="290">
        <f>B25</f>
        <v>1.5599552831999999E-6</v>
      </c>
      <c r="BF15" s="263" t="s">
        <v>72</v>
      </c>
      <c r="BG15" s="262" t="s">
        <v>452</v>
      </c>
      <c r="BH15" s="290">
        <f>B27</f>
        <v>7.0991976959999998E-6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(((BZ5)/(BZ8*BZ22*(1/BZ34)*BZ25*BZ28*(1/24)*BZ31*BZ32))*BZ10)*BZ12*BZ37*BZ38</f>
        <v>5.932474667144354E-6</v>
      </c>
      <c r="CA15" s="271" t="s">
        <v>311</v>
      </c>
      <c r="CB15" s="95" t="s">
        <v>315</v>
      </c>
      <c r="CC15" s="289">
        <f>B293</f>
        <v>241</v>
      </c>
      <c r="CD15" s="249" t="s">
        <v>309</v>
      </c>
      <c r="CE15" s="95" t="s">
        <v>315</v>
      </c>
      <c r="CF15" s="289">
        <f>B293</f>
        <v>241</v>
      </c>
      <c r="CG15" s="249" t="s">
        <v>309</v>
      </c>
      <c r="CH15" s="95" t="s">
        <v>315</v>
      </c>
      <c r="CI15" s="289">
        <f>B293</f>
        <v>241</v>
      </c>
      <c r="CJ15" s="249" t="s">
        <v>309</v>
      </c>
      <c r="CK15" s="267" t="s">
        <v>310</v>
      </c>
      <c r="CL15" s="289">
        <f>B294</f>
        <v>2.8000000000000002E-12</v>
      </c>
      <c r="CT15" s="266" t="s">
        <v>74</v>
      </c>
      <c r="CU15" s="295">
        <f>((CU5/(CU7*CU25*(1/CU10)*CU46))*CU11)*CU13*CU48*CU49</f>
        <v>9.2255054799972444E-4</v>
      </c>
      <c r="CV15" s="271" t="s">
        <v>311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(DA5/(DA8*DA25*(DA47/DA48)))*DA12*DA50*DA51</f>
        <v>8.5228931529030383E-2</v>
      </c>
      <c r="DB15" s="266" t="s">
        <v>313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95" t="s">
        <v>315</v>
      </c>
      <c r="HE15" s="292">
        <f>B293</f>
        <v>241</v>
      </c>
      <c r="HF15" s="249" t="s">
        <v>309</v>
      </c>
    </row>
    <row r="16" spans="1:214" x14ac:dyDescent="0.2">
      <c r="A16" s="585"/>
      <c r="B16" s="586"/>
      <c r="C16" s="6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((K5/(K8*K45*((K40*K44*(1/24))+(K41*K43*(1/24)))*K32*(1/K47)*K34))*K11)*K13*K54*K55</f>
        <v>1.9198744313044345E-7</v>
      </c>
      <c r="L16" s="271" t="s">
        <v>311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((W5)/((W11/W12)*W8*W9*W10*W13))*W7*W20*W21</f>
        <v>1.2137092130419904E-11</v>
      </c>
      <c r="X16" s="88" t="s">
        <v>15</v>
      </c>
      <c r="Y16" s="88" t="s">
        <v>74</v>
      </c>
      <c r="Z16" s="294">
        <f>((Z5)/((Z11/Z12)*Z8*Z9*Z10*Z13))*Z7*Z20*Z21</f>
        <v>1.2137092130419904E-11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0.124</v>
      </c>
      <c r="AG16" s="305">
        <f>B3</f>
        <v>0.124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8.3719157040000005E-6</v>
      </c>
      <c r="BL16" s="263" t="s">
        <v>72</v>
      </c>
      <c r="BM16" s="262" t="s">
        <v>449</v>
      </c>
      <c r="BN16" s="290">
        <f>B25</f>
        <v>1.5599552831999999E-6</v>
      </c>
      <c r="BO16" s="263" t="s">
        <v>72</v>
      </c>
      <c r="BP16" s="262" t="s">
        <v>452</v>
      </c>
      <c r="BQ16" s="290">
        <f>B27</f>
        <v>7.0991976959999998E-6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B16" s="267" t="s">
        <v>310</v>
      </c>
      <c r="CC16" s="293">
        <f>B294</f>
        <v>2.8000000000000002E-12</v>
      </c>
      <c r="CD16" s="262"/>
      <c r="CE16" s="267" t="s">
        <v>310</v>
      </c>
      <c r="CF16" s="293">
        <f>B294</f>
        <v>2.8000000000000002E-12</v>
      </c>
      <c r="CG16" s="262"/>
      <c r="CH16" s="267" t="s">
        <v>310</v>
      </c>
      <c r="CI16" s="289">
        <f>B294</f>
        <v>2.8000000000000002E-12</v>
      </c>
      <c r="CK16" s="267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((CU5*CU44*CU12)/((1-EXP(-CU12*CU44))*CU8*CU31*(1/365)*CU32*((CU38*(1/24)*CU42)+(CU39*(1/24)*CU41))*CU43))*CU13*CU48*CU49</f>
        <v>1.5785995027587669E-7</v>
      </c>
      <c r="CV16" s="271" t="s">
        <v>311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>
        <f>DG2</f>
        <v>4.3143503545951743E-7</v>
      </c>
      <c r="DB16" s="266" t="s">
        <v>313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4.9501186643835612E-2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4.9501186643835612E-2</v>
      </c>
      <c r="DQ16" s="262" t="s">
        <v>82</v>
      </c>
      <c r="DR16" s="267" t="s">
        <v>400</v>
      </c>
      <c r="DS16" s="297">
        <f>B175</f>
        <v>2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4.9501186643835612E-2</v>
      </c>
      <c r="EF16" s="262" t="s">
        <v>82</v>
      </c>
      <c r="EG16" s="267" t="s">
        <v>401</v>
      </c>
      <c r="EH16" s="297">
        <f>B176</f>
        <v>2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4.9501186643835612E-2</v>
      </c>
      <c r="EU16" s="262" t="s">
        <v>82</v>
      </c>
      <c r="EV16" s="267" t="s">
        <v>402</v>
      </c>
      <c r="EW16" s="297">
        <f>B177</f>
        <v>2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4.9501186643835612E-2</v>
      </c>
      <c r="FJ16" s="262" t="s">
        <v>82</v>
      </c>
      <c r="FK16" s="267" t="s">
        <v>403</v>
      </c>
      <c r="FL16" s="297">
        <f>B178</f>
        <v>2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2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4.9501186643835612E-2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4.9501186643835612E-2</v>
      </c>
      <c r="HC16" s="262" t="s">
        <v>82</v>
      </c>
      <c r="HD16" s="267" t="s">
        <v>310</v>
      </c>
      <c r="HE16" s="292">
        <f>B294</f>
        <v>2.8000000000000002E-12</v>
      </c>
      <c r="HF16" s="267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>
        <f>(K18/(K50+K51))*K11</f>
        <v>2.5364827275289384E-7</v>
      </c>
      <c r="L17" s="271" t="s">
        <v>311</v>
      </c>
      <c r="M17" s="95" t="s">
        <v>315</v>
      </c>
      <c r="N17" s="293">
        <f>B293</f>
        <v>241</v>
      </c>
      <c r="O17" s="249" t="s">
        <v>309</v>
      </c>
      <c r="P17" s="95" t="s">
        <v>315</v>
      </c>
      <c r="Q17" s="293">
        <f>B293</f>
        <v>241</v>
      </c>
      <c r="R17" s="249" t="s">
        <v>309</v>
      </c>
      <c r="S17" s="95" t="s">
        <v>315</v>
      </c>
      <c r="T17" s="293">
        <f>B293</f>
        <v>241</v>
      </c>
      <c r="U17" s="249" t="s">
        <v>309</v>
      </c>
      <c r="V17" s="88" t="s">
        <v>78</v>
      </c>
      <c r="W17" s="296">
        <f>((W5)/((W11/W12)*W8*W9*W14*(1/365)))*W7*W20*W21</f>
        <v>8.885405350356833E-7</v>
      </c>
      <c r="X17" s="88" t="s">
        <v>15</v>
      </c>
      <c r="Y17" s="88" t="s">
        <v>78</v>
      </c>
      <c r="Z17" s="296">
        <f>((Z5)/((Z11/Z12)*Z8*Z9*Z14*(1/365)))*Z7*Z20*Z21</f>
        <v>8.885405350356833E-7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95" t="s">
        <v>315</v>
      </c>
      <c r="AJ17" s="293">
        <f>B293</f>
        <v>241</v>
      </c>
      <c r="AK17" s="249" t="s">
        <v>309</v>
      </c>
      <c r="AL17" s="95" t="s">
        <v>315</v>
      </c>
      <c r="AM17" s="293">
        <f>B293</f>
        <v>241</v>
      </c>
      <c r="AN17" s="249" t="s">
        <v>309</v>
      </c>
      <c r="AO17" s="95" t="s">
        <v>315</v>
      </c>
      <c r="AP17" s="293">
        <f>B293</f>
        <v>241</v>
      </c>
      <c r="AQ17" s="249" t="s">
        <v>309</v>
      </c>
      <c r="AR17" s="95" t="s">
        <v>315</v>
      </c>
      <c r="AS17" s="293">
        <f>B293</f>
        <v>241</v>
      </c>
      <c r="AT17" s="249" t="s">
        <v>309</v>
      </c>
      <c r="AU17" s="95" t="s">
        <v>315</v>
      </c>
      <c r="AV17" s="293">
        <f>B293</f>
        <v>241</v>
      </c>
      <c r="AW17" s="249" t="s">
        <v>309</v>
      </c>
      <c r="AX17" s="95" t="s">
        <v>315</v>
      </c>
      <c r="AY17" s="293">
        <f>B293</f>
        <v>241</v>
      </c>
      <c r="AZ17" s="249" t="s">
        <v>309</v>
      </c>
      <c r="BA17" s="95" t="s">
        <v>315</v>
      </c>
      <c r="BB17" s="293">
        <f>B293</f>
        <v>241</v>
      </c>
      <c r="BC17" s="249" t="s">
        <v>309</v>
      </c>
      <c r="BD17" s="95" t="s">
        <v>315</v>
      </c>
      <c r="BE17" s="293">
        <f>B293</f>
        <v>241</v>
      </c>
      <c r="BF17" s="249" t="s">
        <v>309</v>
      </c>
      <c r="BG17" s="95" t="s">
        <v>315</v>
      </c>
      <c r="BH17" s="293">
        <f>B293</f>
        <v>241</v>
      </c>
      <c r="BI17" s="249" t="s">
        <v>309</v>
      </c>
      <c r="BJ17" s="95" t="s">
        <v>315</v>
      </c>
      <c r="BK17" s="293">
        <f>B293</f>
        <v>241</v>
      </c>
      <c r="BL17" s="249" t="s">
        <v>309</v>
      </c>
      <c r="BM17" s="95" t="s">
        <v>315</v>
      </c>
      <c r="BN17" s="293">
        <f>B293</f>
        <v>241</v>
      </c>
      <c r="BO17" s="249" t="s">
        <v>309</v>
      </c>
      <c r="BP17" s="95" t="s">
        <v>315</v>
      </c>
      <c r="BQ17" s="293">
        <f>B293</f>
        <v>241</v>
      </c>
      <c r="BR17" s="249" t="s">
        <v>309</v>
      </c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2.1183098462245536E-8</v>
      </c>
      <c r="CV17" s="271" t="s">
        <v>311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4.3312499999999997E-4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7.7413948559999998E-9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>
        <f>(K5/(K9*(K25+K28)*K39))*K13*K54*K55</f>
        <v>6.9398990523908779E-8</v>
      </c>
      <c r="L18" s="271" t="s">
        <v>311</v>
      </c>
      <c r="M18" s="267" t="s">
        <v>310</v>
      </c>
      <c r="N18" s="289">
        <f>B294</f>
        <v>2.8000000000000002E-12</v>
      </c>
      <c r="P18" s="267" t="s">
        <v>310</v>
      </c>
      <c r="Q18" s="289">
        <f>B294</f>
        <v>2.8000000000000002E-12</v>
      </c>
      <c r="S18" s="267" t="s">
        <v>310</v>
      </c>
      <c r="T18" s="289">
        <f>B294</f>
        <v>2.8000000000000002E-12</v>
      </c>
      <c r="V18" s="88" t="s">
        <v>74</v>
      </c>
      <c r="W18" s="294">
        <f>((W5*W6*W9)/((W11/W12)*(1-EXP(-W6*W9))*W10*W13*W8*W9))*W7*W20*W21</f>
        <v>1.215023906900275E-11</v>
      </c>
      <c r="X18" s="88" t="s">
        <v>16</v>
      </c>
      <c r="Y18" s="88" t="s">
        <v>74</v>
      </c>
      <c r="Z18" s="294">
        <f>((Z5*Z6*Z9)/((Z11/Z12)*(1-EXP(-Z6*Z9))*Z10*Z13*Z8*Z9))*Z7*Z20*Z21</f>
        <v>1.215023906900275E-11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AI18" s="267" t="s">
        <v>310</v>
      </c>
      <c r="AJ18" s="289">
        <f>B294</f>
        <v>2.8000000000000002E-12</v>
      </c>
      <c r="AL18" s="267" t="s">
        <v>310</v>
      </c>
      <c r="AM18" s="289">
        <f>B294</f>
        <v>2.8000000000000002E-12</v>
      </c>
      <c r="AO18" s="267" t="s">
        <v>310</v>
      </c>
      <c r="AP18" s="289">
        <f>B294</f>
        <v>2.8000000000000002E-12</v>
      </c>
      <c r="AR18" s="267" t="s">
        <v>310</v>
      </c>
      <c r="AS18" s="289">
        <f>B294</f>
        <v>2.8000000000000002E-12</v>
      </c>
      <c r="AU18" s="267" t="s">
        <v>310</v>
      </c>
      <c r="AV18" s="289">
        <f>B294</f>
        <v>2.8000000000000002E-12</v>
      </c>
      <c r="AX18" s="267" t="s">
        <v>310</v>
      </c>
      <c r="AY18" s="289">
        <f>B294</f>
        <v>2.8000000000000002E-12</v>
      </c>
      <c r="BA18" s="267" t="s">
        <v>310</v>
      </c>
      <c r="BB18" s="289">
        <f>B294</f>
        <v>2.8000000000000002E-12</v>
      </c>
      <c r="BD18" s="267" t="s">
        <v>310</v>
      </c>
      <c r="BE18" s="289">
        <f>B294</f>
        <v>2.8000000000000002E-12</v>
      </c>
      <c r="BG18" s="267" t="s">
        <v>310</v>
      </c>
      <c r="BH18" s="289">
        <f>B294</f>
        <v>2.8000000000000002E-12</v>
      </c>
      <c r="BJ18" s="267" t="s">
        <v>310</v>
      </c>
      <c r="BK18" s="289">
        <f>B294</f>
        <v>2.8000000000000002E-12</v>
      </c>
      <c r="BM18" s="267" t="s">
        <v>310</v>
      </c>
      <c r="BN18" s="289">
        <f>B294</f>
        <v>2.8000000000000002E-12</v>
      </c>
      <c r="BP18" s="267" t="s">
        <v>310</v>
      </c>
      <c r="BQ18" s="289">
        <f>B294</f>
        <v>2.8000000000000002E-12</v>
      </c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311</v>
      </c>
      <c r="CW18" s="266" t="s">
        <v>63</v>
      </c>
      <c r="CX18" s="189">
        <f>B28</f>
        <v>7.7413948559999998E-9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4.3312499999999997E-4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4.3312499999999997E-4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4.3312499999999997E-4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4.3312499999999997E-4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4.3312499999999997E-4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1600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2.8231E-8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((W5*W6*W9)/((W11/W12)*(1-EXP(-W6*W9))*W14*W8*W9*(1/365)))*W7*W20*W21</f>
        <v>8.8950300509992587E-7</v>
      </c>
      <c r="X19" s="88" t="s">
        <v>16</v>
      </c>
      <c r="Y19" s="88" t="s">
        <v>78</v>
      </c>
      <c r="Z19" s="296">
        <f>((Z5*Z6*Z9)/((Z11/Z12)*(1-EXP(-Z6*Z9))*Z14*Z8*Z9*(1/365)))*Z7*Z20*Z21</f>
        <v>8.8950300509992587E-7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0.79200000000000004</v>
      </c>
      <c r="AG19" s="305">
        <f>B4</f>
        <v>0.79200000000000004</v>
      </c>
      <c r="AH19" s="267"/>
      <c r="BS19" s="262" t="s">
        <v>63</v>
      </c>
      <c r="BT19" s="287">
        <f>E18</f>
        <v>7.7413948559999998E-9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((CC22*CC23*CC24)/((1-EXP(-CC24*CC23))*CC27*CC31*(CC26/365)*CC29*(CC30/24)*CC28))*CC25*CC32*CC33</f>
        <v>2.0484967404568215E-4</v>
      </c>
      <c r="CD19" s="404" t="s">
        <v>314</v>
      </c>
      <c r="CE19" s="402" t="s">
        <v>562</v>
      </c>
      <c r="CF19" s="400">
        <f>((CF22*CF23*CF24)/((1-EXP(-CF24*CF23))*CF27*CF31*(CF26/365)*CF29*(CF30/24)*CF28))*CF25*CF32*CF33</f>
        <v>2.1606898291631461E-5</v>
      </c>
      <c r="CG19" s="398" t="s">
        <v>311</v>
      </c>
      <c r="CK19" s="410" t="s">
        <v>510</v>
      </c>
      <c r="CL19" s="400">
        <f>(CL22/(CL23*CL24*CL25*CL26))*CL28*CL27*CL32</f>
        <v>1.0765740837683282E-6</v>
      </c>
      <c r="CM19" s="404" t="s">
        <v>311</v>
      </c>
      <c r="CN19" s="402" t="s">
        <v>7</v>
      </c>
      <c r="CO19" s="400">
        <f>(CL19/(CO22*((CO27*CO29*CO30*(CO23+CO24))+(CO28*CO29))))*CL30</f>
        <v>5.628731990156636E-3</v>
      </c>
      <c r="CP19" s="412" t="s">
        <v>311</v>
      </c>
      <c r="CQ19" s="402" t="s">
        <v>6</v>
      </c>
      <c r="CR19" s="400">
        <f>CL19/(CR22*CR23*(1/CR24))</f>
        <v>0.63327887280489892</v>
      </c>
      <c r="CS19" s="415" t="s">
        <v>313</v>
      </c>
      <c r="CT19" s="266" t="s">
        <v>258</v>
      </c>
      <c r="CU19" s="295" t="e">
        <f>GV2</f>
        <v>#DIV/0!</v>
      </c>
      <c r="CV19" s="271" t="s">
        <v>311</v>
      </c>
      <c r="CW19" s="266" t="s">
        <v>255</v>
      </c>
      <c r="CX19" s="304">
        <f>B173</f>
        <v>2</v>
      </c>
      <c r="CY19" s="88"/>
      <c r="CZ19" s="266" t="s">
        <v>184</v>
      </c>
      <c r="DA19" s="295">
        <f>EK2</f>
        <v>1.2837401132798515E-4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1600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1600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1600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1600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1600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315</v>
      </c>
      <c r="GP19" s="292">
        <f>B293</f>
        <v>241</v>
      </c>
      <c r="GQ19" s="249" t="s">
        <v>309</v>
      </c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3.8480000000000001E-10</v>
      </c>
      <c r="C20" s="263" t="s">
        <v>35</v>
      </c>
      <c r="D20" s="88" t="s">
        <v>74</v>
      </c>
      <c r="E20" s="294">
        <f>((E5)/(E10*E11))*E7*E26*E27</f>
        <v>6.3214021512603671E-13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315</v>
      </c>
      <c r="W20" s="289">
        <f>B293</f>
        <v>241</v>
      </c>
      <c r="X20" s="249" t="s">
        <v>309</v>
      </c>
      <c r="Y20" s="95" t="s">
        <v>315</v>
      </c>
      <c r="Z20" s="289">
        <f>B293</f>
        <v>241</v>
      </c>
      <c r="AA20" s="249" t="s">
        <v>309</v>
      </c>
      <c r="AB20" s="262" t="s">
        <v>71</v>
      </c>
      <c r="AC20" s="287">
        <f>B23</f>
        <v>8.3719157040000005E-6</v>
      </c>
      <c r="AD20" s="287">
        <f>B23</f>
        <v>8.3719157040000005E-6</v>
      </c>
      <c r="AE20" s="287">
        <f>B23</f>
        <v>8.3719157040000005E-6</v>
      </c>
      <c r="AF20" s="287">
        <f>B23</f>
        <v>8.3719157040000005E-6</v>
      </c>
      <c r="AG20" s="287">
        <f>B23</f>
        <v>8.3719157040000005E-6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1.8800144714226291E-6</v>
      </c>
      <c r="CV20" s="271" t="s">
        <v>311</v>
      </c>
      <c r="CW20" s="88" t="s">
        <v>74</v>
      </c>
      <c r="CX20" s="294">
        <f>((CX5)/((CX14/CX15)*CX10*CX11))*CX7*CX26*CX27</f>
        <v>6.7428289613443898E-13</v>
      </c>
      <c r="CY20" s="88" t="s">
        <v>15</v>
      </c>
      <c r="CZ20" s="266" t="s">
        <v>493</v>
      </c>
      <c r="DA20" s="295">
        <f>DV2</f>
        <v>3.4077498207296929E-4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1.1866438356164383E-6</v>
      </c>
      <c r="DH20" s="249" t="s">
        <v>82</v>
      </c>
      <c r="DL20" s="267"/>
      <c r="DO20" s="267" t="s">
        <v>90</v>
      </c>
      <c r="DP20" s="288">
        <f>0.693/B35</f>
        <v>1.1866438356164383E-6</v>
      </c>
      <c r="DQ20" s="249" t="s">
        <v>82</v>
      </c>
      <c r="DR20" s="95" t="s">
        <v>315</v>
      </c>
      <c r="DS20" s="289">
        <f>B293</f>
        <v>241</v>
      </c>
      <c r="DT20" s="249" t="s">
        <v>309</v>
      </c>
      <c r="DU20" s="267"/>
      <c r="EA20" s="267"/>
      <c r="EB20" s="307"/>
      <c r="EC20" s="263"/>
      <c r="ED20" s="267" t="s">
        <v>90</v>
      </c>
      <c r="EE20" s="299">
        <f>0.693/B35</f>
        <v>1.1866438356164383E-6</v>
      </c>
      <c r="EF20" s="263" t="s">
        <v>82</v>
      </c>
      <c r="EG20" s="249" t="s">
        <v>315</v>
      </c>
      <c r="EH20" s="297">
        <f>B293</f>
        <v>241</v>
      </c>
      <c r="EI20" s="249" t="s">
        <v>309</v>
      </c>
      <c r="EJ20" s="267"/>
      <c r="EP20" s="267"/>
      <c r="EQ20" s="307"/>
      <c r="ER20" s="263"/>
      <c r="ES20" s="267" t="s">
        <v>90</v>
      </c>
      <c r="ET20" s="299">
        <f>0.693/B35</f>
        <v>1.1866438356164383E-6</v>
      </c>
      <c r="EU20" s="263" t="s">
        <v>82</v>
      </c>
      <c r="EV20" s="95" t="s">
        <v>315</v>
      </c>
      <c r="EW20" s="297">
        <f>B293</f>
        <v>241</v>
      </c>
      <c r="EX20" s="249" t="s">
        <v>309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1.1866438356164383E-6</v>
      </c>
      <c r="FJ20" s="263" t="s">
        <v>82</v>
      </c>
      <c r="FK20" s="95" t="s">
        <v>315</v>
      </c>
      <c r="FL20" s="297">
        <f>B293</f>
        <v>241</v>
      </c>
      <c r="FM20" s="249" t="s">
        <v>309</v>
      </c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315</v>
      </c>
      <c r="GA20" s="292">
        <f>B293</f>
        <v>241</v>
      </c>
      <c r="GB20" s="249" t="s">
        <v>309</v>
      </c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1.1866438356164383E-6</v>
      </c>
      <c r="GN20" s="263" t="s">
        <v>82</v>
      </c>
      <c r="GO20" s="267" t="s">
        <v>310</v>
      </c>
      <c r="GP20" s="292">
        <f>B294</f>
        <v>2.8000000000000002E-12</v>
      </c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1.1866438356164383E-6</v>
      </c>
      <c r="HC20" s="263" t="s">
        <v>82</v>
      </c>
    </row>
    <row r="21" spans="1:214" ht="15" thickTop="1" thickBot="1" x14ac:dyDescent="0.25">
      <c r="A21" s="262" t="s">
        <v>316</v>
      </c>
      <c r="B21" s="315">
        <v>6.7709999999999997E-10</v>
      </c>
      <c r="C21" s="262" t="s">
        <v>35</v>
      </c>
      <c r="D21" s="88" t="s">
        <v>78</v>
      </c>
      <c r="E21" s="295">
        <f>((E5)/((E14/E15)*E8*E9*E18*(1/365)*E19))*E7*E26*E27</f>
        <v>4.6278152866441848E-8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((N24*N25*N26)/((1-EXP(-N26*N25))*N29*N34*(N28/365)*N32*(((N33/24)*N31)+((N35/24)*N30))))*N27*N36*N37</f>
        <v>6.8479517013246287E-7</v>
      </c>
      <c r="O21" s="637" t="s">
        <v>314</v>
      </c>
      <c r="P21" s="639" t="s">
        <v>516</v>
      </c>
      <c r="Q21" s="647">
        <f>((Q24*Q25*Q26)/((1-EXP(-Q26*Q25))*Q29*Q34*(Q28/365)*Q32*(((Q33/24)*Q31)+((Q35/24)*Q30))))*Q27*Q36*Q37</f>
        <v>2.3280170532745863E-7</v>
      </c>
      <c r="R21" s="643" t="s">
        <v>311</v>
      </c>
      <c r="V21" s="267" t="s">
        <v>310</v>
      </c>
      <c r="W21" s="289">
        <f>B295</f>
        <v>2.8000000000000001E-15</v>
      </c>
      <c r="Y21" s="267" t="s">
        <v>310</v>
      </c>
      <c r="Z21" s="289">
        <f>B295</f>
        <v>2.8000000000000001E-15</v>
      </c>
      <c r="AB21" s="262" t="s">
        <v>43</v>
      </c>
      <c r="AC21" s="290">
        <f>B19</f>
        <v>2.8231E-8</v>
      </c>
      <c r="AD21" s="290">
        <f>B19</f>
        <v>2.8231E-8</v>
      </c>
      <c r="AE21" s="290">
        <f>B19</f>
        <v>2.8231E-8</v>
      </c>
      <c r="AF21" s="290">
        <f>B19</f>
        <v>2.8231E-8</v>
      </c>
      <c r="AG21" s="290">
        <f>B19</f>
        <v>2.8231E-8</v>
      </c>
      <c r="AH21" s="263" t="s">
        <v>35</v>
      </c>
      <c r="AI21" s="381" t="s">
        <v>516</v>
      </c>
      <c r="AJ21" s="387">
        <f>((AJ24*AJ25*AJ26)/((1-EXP(-AJ26*AJ25))*AJ34*(AJ28/365)*AJ29*(AJ35/24)*AJ30*AJ32))*AJ27*AJ36*AJ37</f>
        <v>1.1341163315024057E-5</v>
      </c>
      <c r="AK21" s="629" t="s">
        <v>314</v>
      </c>
      <c r="AL21" s="383" t="s">
        <v>516</v>
      </c>
      <c r="AM21" s="387">
        <f>((AM24*AM25*AM26)/((1-EXP(-AM26*AM25))*AM34*(AM28/365)*AM29*(AM35/24)*AM30*AM32))*AM27*AM36*AM37</f>
        <v>3.8555210014464635E-6</v>
      </c>
      <c r="AN21" s="635" t="s">
        <v>311</v>
      </c>
      <c r="AR21" s="381" t="s">
        <v>516</v>
      </c>
      <c r="AS21" s="387">
        <f>((AS24*AS25*AS26)/((1-EXP(-AS26*AS25))*AS34*(AS28/365)*AS29*(AS33/24)*AS31*AS32))*AS27*AS36*AS37</f>
        <v>4.5364653260096218E-6</v>
      </c>
      <c r="AT21" s="391" t="s">
        <v>314</v>
      </c>
      <c r="AU21" s="383" t="s">
        <v>516</v>
      </c>
      <c r="AV21" s="387">
        <f>((AV24*AV25*AV26)/((1-EXP(-AV26*AV25))*AV34*(AV28/365)*AV29*(AV33/24)*AV31*AV32))*AV27*AV36*AV37</f>
        <v>1.5422084005785853E-6</v>
      </c>
      <c r="AW21" s="385" t="s">
        <v>311</v>
      </c>
      <c r="BA21" s="381" t="s">
        <v>516</v>
      </c>
      <c r="BB21" s="387">
        <f>((BB24*BB25*BB26)/((1-EXP(-BB26*BB25))*BB34*(BB28/365)*BB29*((BB33+BB35)/24)*BB31*BB32))*BB27*BB36*BB37</f>
        <v>4.5364653260096218E-6</v>
      </c>
      <c r="BC21" s="391" t="s">
        <v>314</v>
      </c>
      <c r="BD21" s="383" t="s">
        <v>516</v>
      </c>
      <c r="BE21" s="387">
        <f>((BE24*BE25*BE26)/((1-EXP(-BE26*BE25))*BE34*(BE28/365)*BE29*((BE33+BE35)/24)*BE31*BE32))*BE27*BE36*BE37</f>
        <v>1.5422084005785853E-6</v>
      </c>
      <c r="BF21" s="385" t="s">
        <v>311</v>
      </c>
      <c r="BJ21" s="381" t="s">
        <v>561</v>
      </c>
      <c r="BK21" s="389">
        <f>((BK24*BK25*BK26)/((1-EXP(-BK26*BK25))*BK31*BK35*(BK28/365)*BK33*(BK34/24)*BK32))*BK27*BK36*BK37</f>
        <v>2.8919735095430575E-4</v>
      </c>
      <c r="BL21" s="391" t="s">
        <v>314</v>
      </c>
      <c r="BM21" s="383" t="s">
        <v>562</v>
      </c>
      <c r="BN21" s="389">
        <f>((BN24*BN25*BN26)/((1-EXP(-BN26*BN25))*BN31*BN35*(BN28/365)*BN33*(BN34/24)*BN32))*BN27*BN36*BN37</f>
        <v>3.0503625536086829E-5</v>
      </c>
      <c r="BO21" s="385" t="s">
        <v>311</v>
      </c>
      <c r="BS21" s="88" t="s">
        <v>74</v>
      </c>
      <c r="BT21" s="294">
        <f>((BT5)/(BT10*BT11))*BT7*BT29*BT30</f>
        <v>8.5582059893986504E-12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5.4218011584478692E-6</v>
      </c>
      <c r="CV21" s="271" t="s">
        <v>311</v>
      </c>
      <c r="CW21" s="88" t="s">
        <v>78</v>
      </c>
      <c r="CX21" s="296">
        <f>((CX5)/((CX14/CX15)*CX8*CX9*CX18*(1/365)*CX19))*CX7*CX26*CX27</f>
        <v>1.5426050955480618E-8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4.3312499999999997E-4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R21" s="267" t="s">
        <v>310</v>
      </c>
      <c r="DS21" s="289">
        <f>B294</f>
        <v>2.8000000000000002E-12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G21" s="267" t="s">
        <v>310</v>
      </c>
      <c r="EH21" s="289">
        <f>B294</f>
        <v>2.8000000000000002E-12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V21" s="267" t="s">
        <v>310</v>
      </c>
      <c r="EW21" s="289">
        <f>B294</f>
        <v>2.8000000000000002E-12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 t="s">
        <v>310</v>
      </c>
      <c r="FL21" s="292">
        <f>B294</f>
        <v>2.8000000000000002E-12</v>
      </c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FZ21" s="267" t="s">
        <v>310</v>
      </c>
      <c r="GA21" s="289">
        <f>B294</f>
        <v>2.8000000000000002E-12</v>
      </c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2.9489E-10</v>
      </c>
      <c r="C22" s="262" t="s">
        <v>35</v>
      </c>
      <c r="D22" s="88" t="s">
        <v>74</v>
      </c>
      <c r="E22" s="295">
        <f>((E5*E9*E6)/((1-EXP(-E6*E9))*E10*E11))*E7*E26*E27</f>
        <v>6.3488212535371617E-13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((BT5)/((BT14/24)*(BT8/365)*BT9*BT19*BT20))*BT7*BT29*BT30</f>
        <v>6.2653499265336653E-7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1.6999999999999999E-3</v>
      </c>
      <c r="CQ22" s="262" t="s">
        <v>265</v>
      </c>
      <c r="CR22" s="287">
        <f>CO22</f>
        <v>1.6999999999999999E-3</v>
      </c>
      <c r="CT22" s="266" t="s">
        <v>492</v>
      </c>
      <c r="CU22" s="295" t="e">
        <f>GG2</f>
        <v>#DIV/0!</v>
      </c>
      <c r="CV22" s="271" t="s">
        <v>311</v>
      </c>
      <c r="CW22" s="88" t="s">
        <v>74</v>
      </c>
      <c r="CX22" s="294">
        <f>((CX5*CX9*CX6)/((CX14/CX15)*(1-EXP(-CX6*CX9))*CX10*CX11))*CX7*CX26*CX27</f>
        <v>6.7867311482063244E-13</v>
      </c>
      <c r="CY22" s="88" t="s">
        <v>16</v>
      </c>
      <c r="CZ22" s="266" t="s">
        <v>183</v>
      </c>
      <c r="DA22" s="296">
        <f>FO2</f>
        <v>2.8916246051628656E-6</v>
      </c>
      <c r="DB22" s="88"/>
      <c r="DC22" s="266" t="s">
        <v>270</v>
      </c>
      <c r="DD22" s="287">
        <f>B31</f>
        <v>1600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8.3719157040000005E-6</v>
      </c>
      <c r="C23" s="262" t="s">
        <v>95</v>
      </c>
      <c r="D23" s="88" t="s">
        <v>78</v>
      </c>
      <c r="E23" s="296">
        <f>((E5*E9*E6)/((E14/E15)*E8*E9*(1-EXP(-E6*E9))*E18*(1/365)*E19))*E7*E26*E27</f>
        <v>4.6478884504180346E-8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((BT5*BT28*BT6)/((1-EXP(-BT6*BT28))*BT10*BT11))*BT7*BT29*BT30</f>
        <v>8.6064844807502806E-12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5.1429999999999997E-10</v>
      </c>
      <c r="CM23" s="266" t="s">
        <v>13</v>
      </c>
      <c r="CN23" s="249" t="s">
        <v>21</v>
      </c>
      <c r="CO23" s="290">
        <f>CO25</f>
        <v>1.7000000000000001E-2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2.9104518132202257E-9</v>
      </c>
      <c r="CV23" s="271" t="s">
        <v>311</v>
      </c>
      <c r="CW23" s="88" t="s">
        <v>78</v>
      </c>
      <c r="CX23" s="296">
        <f>((CX5*CX9*CX6)/((CX14/CX15)*CX8*CX9*(1-EXP(-CX6*CX9))*CX18*(1/365)*CX19))*CX7*CX26*CX27</f>
        <v>1.5526489121044615E-8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C23" s="95" t="s">
        <v>315</v>
      </c>
      <c r="DD23" s="297">
        <f>B293</f>
        <v>241</v>
      </c>
      <c r="DE23" s="249" t="s">
        <v>309</v>
      </c>
      <c r="DF23" s="262" t="s">
        <v>17</v>
      </c>
      <c r="DG23" s="287">
        <f>B35</f>
        <v>584000</v>
      </c>
      <c r="DH23" s="249" t="s">
        <v>257</v>
      </c>
      <c r="DO23" s="262" t="s">
        <v>20</v>
      </c>
      <c r="DP23" s="305">
        <f>DP25</f>
        <v>1.4789999999999999E-2</v>
      </c>
      <c r="EA23" s="262"/>
      <c r="EB23" s="293"/>
      <c r="EC23" s="263"/>
      <c r="ED23" s="262" t="s">
        <v>20</v>
      </c>
      <c r="EE23" s="305">
        <f>EE25</f>
        <v>1.7000000000000001E-2</v>
      </c>
      <c r="EF23" s="263"/>
      <c r="EP23" s="262"/>
      <c r="EQ23" s="293"/>
      <c r="ER23" s="263"/>
      <c r="ES23" s="262" t="s">
        <v>20</v>
      </c>
      <c r="ET23" s="305">
        <f>ET25</f>
        <v>1.7000000000000001E-2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1.4789999999999999E-2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1.4789999999999999E-2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1.4789999999999999E-2</v>
      </c>
      <c r="HC23" s="263"/>
      <c r="HD23" s="219" t="s">
        <v>574</v>
      </c>
      <c r="HE23" s="348">
        <f>((HE25*HE33*HE38*HE32*10^-3*HE31*HE27)/(HE30*HE41*(1-EXP(-HE27*HE31))))*HE28*HE15*HE16</f>
        <v>7.6420183464904509E-8</v>
      </c>
      <c r="HF23" s="252" t="s">
        <v>311</v>
      </c>
    </row>
    <row r="24" spans="1:214" ht="14.25" thickTop="1" thickBot="1" x14ac:dyDescent="0.25">
      <c r="A24" s="262" t="s">
        <v>450</v>
      </c>
      <c r="B24" s="315">
        <v>1.5179205599999999E-6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((BT5*BT28*BT6)/((BT14/24)*(BT8/365)*BT9*(1-EXP(-BT6*BT28))*BT19*BT20))*BT7*BT29*BT30</f>
        <v>6.3006939744121339E-7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4.3312499999999997E-4</v>
      </c>
      <c r="CE24" s="262" t="s">
        <v>23</v>
      </c>
      <c r="CF24" s="288">
        <f>0.693/CF25</f>
        <v>4.3312499999999997E-4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C24" s="267" t="s">
        <v>310</v>
      </c>
      <c r="DD24" s="289">
        <f>B294</f>
        <v>2.8000000000000002E-12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2.8511414130008102E-14</v>
      </c>
      <c r="HF24" s="75" t="s">
        <v>311</v>
      </c>
    </row>
    <row r="25" spans="1:214" ht="13.5" thickTop="1" x14ac:dyDescent="0.2">
      <c r="A25" s="262" t="s">
        <v>449</v>
      </c>
      <c r="B25" s="315">
        <v>1.5599552831999999E-6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1.2150073104085178E-11</v>
      </c>
      <c r="X25" s="254" t="s">
        <v>312</v>
      </c>
      <c r="Y25" s="321" t="s">
        <v>16</v>
      </c>
      <c r="Z25" s="358">
        <f>1/((1/Z38)+(1/Z39))</f>
        <v>1.2138892415912351E-11</v>
      </c>
      <c r="AA25" s="255" t="s">
        <v>312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1600</v>
      </c>
      <c r="CD25" s="249" t="s">
        <v>69</v>
      </c>
      <c r="CE25" s="266" t="s">
        <v>270</v>
      </c>
      <c r="CF25" s="287">
        <f>B31</f>
        <v>1600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1.7000000000000001E-2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1.4789999999999999E-2</v>
      </c>
      <c r="EA25" s="262"/>
      <c r="EC25" s="263"/>
      <c r="ED25" s="262" t="s">
        <v>38</v>
      </c>
      <c r="EE25" s="287">
        <f>B45</f>
        <v>1.7000000000000001E-2</v>
      </c>
      <c r="EF25" s="263"/>
      <c r="EP25" s="262"/>
      <c r="ER25" s="263"/>
      <c r="ES25" s="263" t="s">
        <v>37</v>
      </c>
      <c r="ET25" s="287">
        <f>B45</f>
        <v>1.7000000000000001E-2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1.4789999999999999E-2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1.4789999999999999E-2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1.4789999999999999E-2</v>
      </c>
      <c r="HC25" s="263"/>
      <c r="HD25" s="265" t="s">
        <v>22</v>
      </c>
      <c r="HE25" s="292">
        <f>B47</f>
        <v>5</v>
      </c>
      <c r="HF25" s="262" t="s">
        <v>580</v>
      </c>
    </row>
    <row r="26" spans="1:214" ht="13.5" thickBot="1" x14ac:dyDescent="0.25">
      <c r="A26" s="262" t="s">
        <v>451</v>
      </c>
      <c r="B26" s="315">
        <v>4.4650217087999997E-6</v>
      </c>
      <c r="C26" s="262" t="s">
        <v>95</v>
      </c>
      <c r="D26" s="263" t="s">
        <v>315</v>
      </c>
      <c r="E26" s="289">
        <f>B293</f>
        <v>241</v>
      </c>
      <c r="F26" s="249" t="s">
        <v>309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4.3312499999999997E-4</v>
      </c>
      <c r="P26" s="262" t="s">
        <v>23</v>
      </c>
      <c r="Q26" s="288">
        <f>0.693/Q27</f>
        <v>4.3312499999999997E-4</v>
      </c>
      <c r="V26" s="320" t="s">
        <v>15</v>
      </c>
      <c r="W26" s="359">
        <f>1/((1/W38)+(1/W39))</f>
        <v>1.2136926345081562E-11</v>
      </c>
      <c r="X26" s="258" t="s">
        <v>312</v>
      </c>
      <c r="Y26" s="322" t="s">
        <v>15</v>
      </c>
      <c r="Z26" s="360">
        <f>1/((1/Z40)+(1/Z41))</f>
        <v>1.2136926345081564E-11</v>
      </c>
      <c r="AA26" s="259" t="s">
        <v>312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4.3312499999999997E-4</v>
      </c>
      <c r="AL26" s="262" t="s">
        <v>23</v>
      </c>
      <c r="AM26" s="288">
        <f>0.693/AM27</f>
        <v>4.3312499999999997E-4</v>
      </c>
      <c r="AR26" s="262" t="s">
        <v>23</v>
      </c>
      <c r="AS26" s="288">
        <f>0.693/AS27</f>
        <v>4.3312499999999997E-4</v>
      </c>
      <c r="AU26" s="262" t="s">
        <v>23</v>
      </c>
      <c r="AV26" s="288">
        <f>0.693/AV27</f>
        <v>4.3312499999999997E-4</v>
      </c>
      <c r="BA26" s="262" t="s">
        <v>23</v>
      </c>
      <c r="BB26" s="288">
        <f>0.693/BB27</f>
        <v>4.3312499999999997E-4</v>
      </c>
      <c r="BD26" s="262" t="s">
        <v>23</v>
      </c>
      <c r="BE26" s="288">
        <f>0.693/BE27</f>
        <v>4.3312499999999997E-4</v>
      </c>
      <c r="BJ26" s="262" t="s">
        <v>23</v>
      </c>
      <c r="BK26" s="288">
        <f>0.693/BK27</f>
        <v>4.3312499999999997E-4</v>
      </c>
      <c r="BM26" s="262" t="s">
        <v>23</v>
      </c>
      <c r="BN26" s="288">
        <f>0.693/BN27</f>
        <v>4.3312499999999997E-4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95" t="s">
        <v>315</v>
      </c>
      <c r="CX26" s="194">
        <f>B293</f>
        <v>241</v>
      </c>
      <c r="CY26" s="249" t="s">
        <v>309</v>
      </c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1.7000000000000001E-2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2.0140754845232836E-12</v>
      </c>
      <c r="HF26" s="262" t="s">
        <v>313</v>
      </c>
    </row>
    <row r="27" spans="1:214" ht="15" thickTop="1" x14ac:dyDescent="0.2">
      <c r="A27" s="262" t="s">
        <v>452</v>
      </c>
      <c r="B27" s="315">
        <v>7.0991976959999998E-6</v>
      </c>
      <c r="C27" s="262" t="s">
        <v>95</v>
      </c>
      <c r="D27" s="249" t="s">
        <v>310</v>
      </c>
      <c r="E27" s="289">
        <f>B295</f>
        <v>2.8000000000000001E-15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1600</v>
      </c>
      <c r="O27" s="249" t="s">
        <v>69</v>
      </c>
      <c r="P27" s="266" t="s">
        <v>270</v>
      </c>
      <c r="Q27" s="287">
        <f>B31</f>
        <v>1600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4.3312499999999997E-4</v>
      </c>
      <c r="AD27" s="288">
        <f>0.693/AD28</f>
        <v>4.3312499999999997E-4</v>
      </c>
      <c r="AE27" s="288">
        <f>0.693/AE28</f>
        <v>4.3312499999999997E-4</v>
      </c>
      <c r="AF27" s="288">
        <f>0.693/AF28</f>
        <v>4.3312499999999997E-4</v>
      </c>
      <c r="AG27" s="288">
        <f>0.693/AG28</f>
        <v>4.3312499999999997E-4</v>
      </c>
      <c r="AI27" s="266" t="s">
        <v>270</v>
      </c>
      <c r="AJ27" s="287">
        <f>B31</f>
        <v>1600</v>
      </c>
      <c r="AK27" s="249" t="s">
        <v>69</v>
      </c>
      <c r="AL27" s="266" t="s">
        <v>270</v>
      </c>
      <c r="AM27" s="287">
        <f>B31</f>
        <v>1600</v>
      </c>
      <c r="AN27" s="249" t="s">
        <v>69</v>
      </c>
      <c r="AR27" s="266" t="s">
        <v>270</v>
      </c>
      <c r="AS27" s="287">
        <f>B31</f>
        <v>1600</v>
      </c>
      <c r="AT27" s="249" t="s">
        <v>69</v>
      </c>
      <c r="AU27" s="266" t="s">
        <v>270</v>
      </c>
      <c r="AV27" s="287">
        <f>B31</f>
        <v>1600</v>
      </c>
      <c r="AW27" s="249" t="s">
        <v>69</v>
      </c>
      <c r="BA27" s="266" t="s">
        <v>270</v>
      </c>
      <c r="BB27" s="287">
        <f>B31</f>
        <v>1600</v>
      </c>
      <c r="BC27" s="249" t="s">
        <v>69</v>
      </c>
      <c r="BD27" s="266" t="s">
        <v>270</v>
      </c>
      <c r="BE27" s="287">
        <f>B31</f>
        <v>1600</v>
      </c>
      <c r="BF27" s="249" t="s">
        <v>69</v>
      </c>
      <c r="BJ27" s="266" t="s">
        <v>270</v>
      </c>
      <c r="BK27" s="287">
        <f>B31</f>
        <v>1600</v>
      </c>
      <c r="BL27" s="249" t="s">
        <v>69</v>
      </c>
      <c r="BM27" s="266" t="s">
        <v>270</v>
      </c>
      <c r="BN27" s="287">
        <f>B31</f>
        <v>1600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315</v>
      </c>
      <c r="CL27" s="289">
        <f>B293</f>
        <v>241</v>
      </c>
      <c r="CM27" s="249" t="s">
        <v>309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7" t="s">
        <v>310</v>
      </c>
      <c r="CX27" s="304">
        <f>B295</f>
        <v>2.8000000000000001E-15</v>
      </c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3.8000000000000002E-4</v>
      </c>
      <c r="EP27" s="262"/>
      <c r="EQ27" s="310"/>
      <c r="ES27" s="262" t="s">
        <v>275</v>
      </c>
      <c r="ET27" s="310">
        <f>B38</f>
        <v>1.6999999999999999E-3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4.3312499999999997E-4</v>
      </c>
    </row>
    <row r="28" spans="1:214" ht="15.75" thickBot="1" x14ac:dyDescent="0.25">
      <c r="A28" s="262" t="s">
        <v>63</v>
      </c>
      <c r="B28" s="315">
        <v>7.7413948559999998E-9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4.3312499999999997E-4</v>
      </c>
      <c r="Y28" s="262" t="s">
        <v>23</v>
      </c>
      <c r="Z28" s="288">
        <f>0.693/Z29</f>
        <v>4.3312499999999997E-4</v>
      </c>
      <c r="AB28" s="266" t="s">
        <v>270</v>
      </c>
      <c r="AC28" s="287">
        <f>B31</f>
        <v>1600</v>
      </c>
      <c r="AD28" s="287">
        <f>B31</f>
        <v>1600</v>
      </c>
      <c r="AE28" s="287">
        <f>B31</f>
        <v>1600</v>
      </c>
      <c r="AF28" s="287">
        <f>B31</f>
        <v>1600</v>
      </c>
      <c r="AG28" s="287">
        <f>B31</f>
        <v>1600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3.44E-2</v>
      </c>
      <c r="CE28" s="249" t="s">
        <v>458</v>
      </c>
      <c r="CF28" s="287">
        <f>B8</f>
        <v>6.8599999999999994E-2</v>
      </c>
      <c r="CK28" s="266" t="s">
        <v>270</v>
      </c>
      <c r="CL28" s="287">
        <f>B31</f>
        <v>1600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1600</v>
      </c>
      <c r="HF28" s="249" t="s">
        <v>69</v>
      </c>
    </row>
    <row r="29" spans="1:214" ht="18.75" thickTop="1" x14ac:dyDescent="0.2">
      <c r="A29" s="266" t="s">
        <v>161</v>
      </c>
      <c r="B29" s="315">
        <v>1.6813889280000001E-11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1600</v>
      </c>
      <c r="X29" s="249" t="s">
        <v>69</v>
      </c>
      <c r="Y29" s="266" t="s">
        <v>270</v>
      </c>
      <c r="Z29" s="287">
        <f>B31</f>
        <v>1600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95" t="s">
        <v>315</v>
      </c>
      <c r="BT29" s="313">
        <f>B293</f>
        <v>241</v>
      </c>
      <c r="BU29" s="249" t="s">
        <v>309</v>
      </c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0.45600000000000002</v>
      </c>
      <c r="CE29" s="249" t="s">
        <v>459</v>
      </c>
      <c r="CF29" s="287">
        <f>B9</f>
        <v>0.73699999999999999</v>
      </c>
      <c r="CK29" s="249" t="s">
        <v>23</v>
      </c>
      <c r="CL29" s="288">
        <f>693/CL28</f>
        <v>0.43312499999999998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5.1429999999999997E-10</v>
      </c>
      <c r="C30" s="267" t="s">
        <v>35</v>
      </c>
      <c r="D30" s="203" t="s">
        <v>510</v>
      </c>
      <c r="E30" s="204">
        <f>E37</f>
        <v>3.4699495261954389E-8</v>
      </c>
      <c r="F30" s="184" t="s">
        <v>311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288">
        <f>(AC26*AC27)/(1-EXP(-AC27*AC26))</f>
        <v>1.0010832033275825</v>
      </c>
      <c r="AD30" s="288">
        <f>(AD26*AD27)/(1-EXP(-AD27*AD26))</f>
        <v>1.0010832033275825</v>
      </c>
      <c r="AE30" s="288">
        <f>(AE26*AE27)/(1-EXP(-AE27*AE26))</f>
        <v>1.0010832033275825</v>
      </c>
      <c r="AF30" s="288">
        <f>(AF26*AF27)/(1-EXP(-AF27*AF26))</f>
        <v>1.0010832033275825</v>
      </c>
      <c r="AG30" s="288">
        <f>(AG26*AG27)/(1-EXP(-AG27*AG26))</f>
        <v>1.0010832033275825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7" t="s">
        <v>310</v>
      </c>
      <c r="BT30" s="137">
        <f>B295</f>
        <v>2.8000000000000001E-15</v>
      </c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11.261394841645959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315">
        <v>1600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0.124</v>
      </c>
      <c r="CB31" s="249" t="s">
        <v>71</v>
      </c>
      <c r="CC31" s="290">
        <f>B24</f>
        <v>1.5179205599999999E-6</v>
      </c>
      <c r="CD31" s="262" t="s">
        <v>282</v>
      </c>
      <c r="CE31" s="249" t="s">
        <v>71</v>
      </c>
      <c r="CF31" s="290">
        <f>B26</f>
        <v>4.4650217087999997E-6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2.8231E-8</v>
      </c>
      <c r="X32" s="263" t="s">
        <v>44</v>
      </c>
      <c r="Y32" s="249" t="s">
        <v>43</v>
      </c>
      <c r="Z32" s="290">
        <f>B19</f>
        <v>2.8231E-8</v>
      </c>
      <c r="AA32" s="263" t="s">
        <v>44</v>
      </c>
      <c r="AB32" s="266" t="s">
        <v>80</v>
      </c>
      <c r="AC32" s="294">
        <f>((AC5/(AC9*AC14*AC8*AC11*(1/AC6)))*AC30)*AC28*AC38*AC39</f>
        <v>2.4233146198371751E-4</v>
      </c>
      <c r="AD32" s="294">
        <f>((AD5/(AD9*AD14*AD8*AD11*(1/AD6)))*AD30)*AD28*AD38*AD39</f>
        <v>2.4233146198371751E-4</v>
      </c>
      <c r="AE32" s="294">
        <f>((AE5/(AE9*AE14*AE8*AE11*(1/AE6)))*AE30)*AE28*AE38*AE39</f>
        <v>2.4233146198371751E-4</v>
      </c>
      <c r="AF32" s="294">
        <f>((AF5/(AF9*AF14*AF8*AF11*(1/AF6)))*AF30)*AF28*AF38*AF39</f>
        <v>2.4233146198371751E-4</v>
      </c>
      <c r="AG32" s="294">
        <f>((AG5/(AG9*AG14*AG8*AG11*(1/AG6)))*AG30)*AG28*AG38*AG39</f>
        <v>2.4233146198371751E-4</v>
      </c>
      <c r="AH32" s="266" t="s">
        <v>311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3.44E-2</v>
      </c>
      <c r="BM32" s="249" t="s">
        <v>458</v>
      </c>
      <c r="BN32" s="287">
        <f>B8</f>
        <v>6.8599999999999994E-2</v>
      </c>
      <c r="BV32" s="95" t="s">
        <v>315</v>
      </c>
      <c r="BW32" s="289">
        <f>B293</f>
        <v>241</v>
      </c>
      <c r="BX32" s="249" t="s">
        <v>309</v>
      </c>
      <c r="BY32" s="262" t="s">
        <v>62</v>
      </c>
      <c r="BZ32" s="305">
        <f>B4</f>
        <v>0.79200000000000004</v>
      </c>
      <c r="CB32" s="95" t="s">
        <v>315</v>
      </c>
      <c r="CC32" s="289">
        <f>B293</f>
        <v>241</v>
      </c>
      <c r="CD32" s="249" t="s">
        <v>309</v>
      </c>
      <c r="CE32" s="95" t="s">
        <v>315</v>
      </c>
      <c r="CF32" s="289">
        <f>B293</f>
        <v>241</v>
      </c>
      <c r="CG32" s="249" t="s">
        <v>309</v>
      </c>
      <c r="CK32" s="267" t="s">
        <v>310</v>
      </c>
      <c r="CL32" s="289">
        <f>B294</f>
        <v>2.8000000000000002E-12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((AC5/(AC21*AC17*AC8*AC11*(1/AC35)*((8/1)/(24/1))*AC31))*AC30)*AC28*AC38*AC39</f>
        <v>1.0322725206963822E-2</v>
      </c>
      <c r="AD33" s="295">
        <f>((AD5/(AD21*AD17*AD8*((8/1)/(24/1))*AD11*(1/AD35)*AD31))*AD30)*AD28*AD38*AD39</f>
        <v>1.0322725206963821E-2</v>
      </c>
      <c r="AE33" s="295">
        <f>((AE5/(AE21*AE17*AE8*((8/1)/(24/1))*AE11*(1/AE35)*AE31))*AE30)*AE28*AE38*AE39</f>
        <v>1.0322725206963821E-2</v>
      </c>
      <c r="AF33" s="295">
        <f>((AF5/(AF21*AF17*AF8*AF11*(1/AF36)*(AF23/24)*AF31))*AF30)*AF28*AF38*AF39</f>
        <v>9.4004168852300041E-6</v>
      </c>
      <c r="AG33" s="295">
        <f>((AG5/(AG21*AG17*AG8*AG11*(1/AG37)*(AG23/24)*AG31))*AG30)*AG28*AG38*AG39</f>
        <v>4.3808733049118247E-4</v>
      </c>
      <c r="AH33" s="88" t="s">
        <v>311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0.45600000000000002</v>
      </c>
      <c r="BM33" s="249" t="s">
        <v>459</v>
      </c>
      <c r="BN33" s="287">
        <f>B9</f>
        <v>0.73699999999999999</v>
      </c>
      <c r="BV33" s="267" t="s">
        <v>310</v>
      </c>
      <c r="BW33" s="289">
        <f>B295</f>
        <v>2.8000000000000001E-15</v>
      </c>
      <c r="BY33" s="269" t="s">
        <v>111</v>
      </c>
      <c r="BZ33" s="298">
        <f>BZ25</f>
        <v>26</v>
      </c>
      <c r="CA33" s="249" t="s">
        <v>69</v>
      </c>
      <c r="CB33" s="267" t="s">
        <v>310</v>
      </c>
      <c r="CC33" s="289">
        <f>B294</f>
        <v>2.8000000000000002E-12</v>
      </c>
      <c r="CE33" s="267" t="s">
        <v>310</v>
      </c>
      <c r="CF33" s="289">
        <f>B294</f>
        <v>2.8000000000000002E-12</v>
      </c>
      <c r="CK33" s="267"/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5.1429999999999997E-10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1.5179205599999999E-6</v>
      </c>
      <c r="O34" s="263" t="s">
        <v>447</v>
      </c>
      <c r="P34" s="249" t="s">
        <v>451</v>
      </c>
      <c r="Q34" s="290">
        <f>B26</f>
        <v>4.4650217087999997E-6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((AC5/(AC20*(AC8/365)*AC11*((AC23+AC24)/24)*AC16*AC19))*AC30)*AC28*AC38*AC39</f>
        <v>8.2251114697524531E-7</v>
      </c>
      <c r="AD34" s="296">
        <f>((AD5/(AD20*(AD8/365)*AD11*(AD24/24)*AD18*AD19))*AD30)*AD28*AD38*AD39</f>
        <v>2.0562778674381134E-6</v>
      </c>
      <c r="AE34" s="296">
        <f>((AE5/(AE20*(AE8/365)*AE11*(AE23/24)*AE16*AE19))*AE30)*AE28*AE38*AE39</f>
        <v>8.2251114697524531E-7</v>
      </c>
      <c r="AF34" s="296">
        <f>((AF5/(AF20*(AF8/365)*AF11*(AF23/24)*AF16*AF19))*AF30)*AF28*AF38*AF39</f>
        <v>8.3751949634983437E-6</v>
      </c>
      <c r="AG34" s="296">
        <f>((AG5/(AG20*(AG8/365)*AG11*(AG23/24)*AG16*AG19))*AG30)*AG28*AG38*AG39</f>
        <v>8.3751949634983437E-6</v>
      </c>
      <c r="AH34" s="266" t="s">
        <v>311</v>
      </c>
      <c r="AI34" s="262" t="s">
        <v>450</v>
      </c>
      <c r="AJ34" s="290">
        <f>B24</f>
        <v>1.5179205599999999E-6</v>
      </c>
      <c r="AK34" s="262" t="s">
        <v>282</v>
      </c>
      <c r="AL34" s="262" t="s">
        <v>451</v>
      </c>
      <c r="AM34" s="290">
        <f>B26</f>
        <v>4.4650217087999997E-6</v>
      </c>
      <c r="AN34" s="263" t="s">
        <v>72</v>
      </c>
      <c r="AR34" s="262" t="s">
        <v>450</v>
      </c>
      <c r="AS34" s="290">
        <f>B24</f>
        <v>1.5179205599999999E-6</v>
      </c>
      <c r="AT34" s="262" t="s">
        <v>282</v>
      </c>
      <c r="AU34" s="262" t="s">
        <v>451</v>
      </c>
      <c r="AV34" s="290">
        <f>B26</f>
        <v>4.4650217087999997E-6</v>
      </c>
      <c r="AW34" s="263" t="s">
        <v>72</v>
      </c>
      <c r="BA34" s="262" t="s">
        <v>450</v>
      </c>
      <c r="BB34" s="290">
        <f>B24</f>
        <v>1.5179205599999999E-6</v>
      </c>
      <c r="BC34" s="262" t="s">
        <v>282</v>
      </c>
      <c r="BD34" s="262" t="s">
        <v>451</v>
      </c>
      <c r="BE34" s="290">
        <f>B26</f>
        <v>4.4650217087999997E-6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V34" s="249" t="s">
        <v>270</v>
      </c>
      <c r="BW34" s="287">
        <f>B31</f>
        <v>1600</v>
      </c>
      <c r="BX34" s="249" t="s">
        <v>69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</v>
      </c>
      <c r="HF34" s="249" t="s">
        <v>19</v>
      </c>
    </row>
    <row r="35" spans="1:214" ht="12.75" customHeight="1" x14ac:dyDescent="0.2">
      <c r="A35" s="266" t="s">
        <v>270</v>
      </c>
      <c r="B35" s="315">
        <v>584000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1.5179205599999999E-6</v>
      </c>
      <c r="BL35" s="262" t="s">
        <v>282</v>
      </c>
      <c r="BM35" s="262" t="s">
        <v>451</v>
      </c>
      <c r="BN35" s="290">
        <f>B26</f>
        <v>4.4650217087999997E-6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ht="12.75" customHeight="1" x14ac:dyDescent="0.2">
      <c r="A36" s="262" t="s">
        <v>122</v>
      </c>
      <c r="B36" s="315">
        <v>4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95" t="s">
        <v>315</v>
      </c>
      <c r="N36" s="361">
        <f>B293</f>
        <v>241</v>
      </c>
      <c r="O36" s="249" t="s">
        <v>309</v>
      </c>
      <c r="P36" s="95" t="s">
        <v>315</v>
      </c>
      <c r="Q36" s="361">
        <f>B293</f>
        <v>241</v>
      </c>
      <c r="R36" s="249" t="s">
        <v>309</v>
      </c>
      <c r="V36" s="262" t="s">
        <v>63</v>
      </c>
      <c r="W36" s="287">
        <f>B28</f>
        <v>7.7413948559999998E-9</v>
      </c>
      <c r="X36" s="262" t="s">
        <v>64</v>
      </c>
      <c r="Y36" s="262" t="s">
        <v>63</v>
      </c>
      <c r="Z36" s="287">
        <f>B28</f>
        <v>7.7413948559999998E-9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315</v>
      </c>
      <c r="AJ36" s="289">
        <f>B293</f>
        <v>241</v>
      </c>
      <c r="AK36" s="249" t="s">
        <v>309</v>
      </c>
      <c r="AL36" s="95" t="s">
        <v>315</v>
      </c>
      <c r="AM36" s="289">
        <f>B293</f>
        <v>241</v>
      </c>
      <c r="AN36" s="249" t="s">
        <v>309</v>
      </c>
      <c r="AR36" s="95" t="s">
        <v>315</v>
      </c>
      <c r="AS36" s="289">
        <f>B293</f>
        <v>241</v>
      </c>
      <c r="AT36" s="249" t="s">
        <v>309</v>
      </c>
      <c r="AU36" s="95" t="s">
        <v>315</v>
      </c>
      <c r="AV36" s="289">
        <f>B293</f>
        <v>241</v>
      </c>
      <c r="AW36" s="249" t="s">
        <v>309</v>
      </c>
      <c r="BA36" s="95" t="s">
        <v>315</v>
      </c>
      <c r="BB36" s="289">
        <f>B293</f>
        <v>241</v>
      </c>
      <c r="BC36" s="249" t="s">
        <v>309</v>
      </c>
      <c r="BD36" s="95" t="s">
        <v>315</v>
      </c>
      <c r="BE36" s="289">
        <f>B293</f>
        <v>241</v>
      </c>
      <c r="BJ36" s="95" t="s">
        <v>315</v>
      </c>
      <c r="BK36" s="289">
        <f>B293</f>
        <v>241</v>
      </c>
      <c r="BL36" s="249" t="s">
        <v>309</v>
      </c>
      <c r="BM36" s="95" t="s">
        <v>315</v>
      </c>
      <c r="BN36" s="289">
        <f>B293</f>
        <v>241</v>
      </c>
      <c r="BO36" s="249" t="s">
        <v>309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x14ac:dyDescent="0.2">
      <c r="A37" s="262" t="s">
        <v>278</v>
      </c>
      <c r="B37" s="315">
        <v>3.8000000000000002E-4</v>
      </c>
      <c r="C37" s="263" t="s">
        <v>298</v>
      </c>
      <c r="D37" s="262" t="s">
        <v>80</v>
      </c>
      <c r="E37" s="300">
        <f>(E32/(E34*E33*E35*E36))*E7*E38*E39</f>
        <v>3.4699495261954389E-8</v>
      </c>
      <c r="F37" s="263" t="s">
        <v>311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M37" s="267" t="s">
        <v>310</v>
      </c>
      <c r="N37" s="289">
        <f>B294</f>
        <v>2.8000000000000002E-12</v>
      </c>
      <c r="P37" s="267" t="s">
        <v>310</v>
      </c>
      <c r="Q37" s="289">
        <f>B294</f>
        <v>2.8000000000000002E-12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AI37" s="267" t="s">
        <v>310</v>
      </c>
      <c r="AJ37" s="289">
        <f>B294</f>
        <v>2.8000000000000002E-12</v>
      </c>
      <c r="AL37" s="267" t="s">
        <v>310</v>
      </c>
      <c r="AM37" s="289">
        <f>B294</f>
        <v>2.8000000000000002E-12</v>
      </c>
      <c r="AR37" s="267" t="s">
        <v>310</v>
      </c>
      <c r="AS37" s="289">
        <f>B294</f>
        <v>2.8000000000000002E-12</v>
      </c>
      <c r="AU37" s="267" t="s">
        <v>310</v>
      </c>
      <c r="AV37" s="289">
        <f>B294</f>
        <v>2.8000000000000002E-12</v>
      </c>
      <c r="BA37" s="267" t="s">
        <v>310</v>
      </c>
      <c r="BB37" s="289">
        <f>B294</f>
        <v>2.8000000000000002E-12</v>
      </c>
      <c r="BD37" s="267" t="s">
        <v>310</v>
      </c>
      <c r="BE37" s="289">
        <f>B294</f>
        <v>2.8000000000000002E-12</v>
      </c>
      <c r="BJ37" s="267" t="s">
        <v>310</v>
      </c>
      <c r="BK37" s="289">
        <f>B294</f>
        <v>2.8000000000000002E-12</v>
      </c>
      <c r="BM37" s="267" t="s">
        <v>310</v>
      </c>
      <c r="BN37" s="289">
        <f>B294</f>
        <v>2.8000000000000002E-12</v>
      </c>
      <c r="BY37" s="95" t="s">
        <v>315</v>
      </c>
      <c r="BZ37" s="297">
        <f>B293</f>
        <v>241</v>
      </c>
      <c r="CA37" s="249" t="s">
        <v>309</v>
      </c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1.6999999999999999E-3</v>
      </c>
      <c r="C38" s="263" t="s">
        <v>298</v>
      </c>
      <c r="D38" s="95" t="s">
        <v>315</v>
      </c>
      <c r="E38" s="289">
        <f>B293</f>
        <v>241</v>
      </c>
      <c r="F38" s="249" t="s">
        <v>309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((W27)/((W33/W34)*W30*W31*W32*W35))*W29*W42*W43</f>
        <v>1.2137092130419904E-11</v>
      </c>
      <c r="X38" s="88" t="s">
        <v>15</v>
      </c>
      <c r="Y38" s="88" t="s">
        <v>74</v>
      </c>
      <c r="Z38" s="294">
        <f>((Z27*Z31*Z28)/((1-EXP(-Z28))*Z31*Z32*Z30*Z44*(Z33/Z34)*Z35))*Z29*Z46*Z47</f>
        <v>1.2139720759174879E-11</v>
      </c>
      <c r="AA38" s="88" t="s">
        <v>16</v>
      </c>
      <c r="AB38" s="95" t="s">
        <v>315</v>
      </c>
      <c r="AC38" s="297">
        <f>B293</f>
        <v>241</v>
      </c>
      <c r="AD38" s="297">
        <f>B293</f>
        <v>241</v>
      </c>
      <c r="AE38" s="297">
        <f>B293</f>
        <v>241</v>
      </c>
      <c r="AF38" s="297">
        <f>B293</f>
        <v>241</v>
      </c>
      <c r="AG38" s="297">
        <f>B293</f>
        <v>241</v>
      </c>
      <c r="AH38" s="249" t="s">
        <v>309</v>
      </c>
      <c r="AL38" s="262"/>
      <c r="AM38" s="293"/>
      <c r="AN38" s="262"/>
      <c r="BD38" s="262"/>
      <c r="BE38" s="293"/>
      <c r="BF38" s="262"/>
      <c r="BY38" s="267" t="s">
        <v>310</v>
      </c>
      <c r="BZ38" s="289">
        <f>B294</f>
        <v>2.8000000000000002E-12</v>
      </c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x14ac:dyDescent="0.2">
      <c r="A39" s="262" t="s">
        <v>276</v>
      </c>
      <c r="B39" s="315">
        <v>0</v>
      </c>
      <c r="C39" s="263" t="s">
        <v>298</v>
      </c>
      <c r="D39" s="267" t="s">
        <v>310</v>
      </c>
      <c r="E39" s="289">
        <f>B294</f>
        <v>2.8000000000000002E-12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((W27)/((W33/W34)*W30*W31*W36*(1/365)))*W29*W42*W43</f>
        <v>8.885405350356833E-7</v>
      </c>
      <c r="X39" s="88" t="s">
        <v>15</v>
      </c>
      <c r="Y39" s="88" t="s">
        <v>78</v>
      </c>
      <c r="Z39" s="296">
        <f>((Z27*Z31*Z28)/((1-EXP(-Z28*Z31))*Z36*Z30*Z44*(Z33/Z34)*Z37*(Z44/Z45)))*Z29*Z46*Z47</f>
        <v>1.7790060101998519E-7</v>
      </c>
      <c r="AA39" s="88" t="s">
        <v>16</v>
      </c>
      <c r="AB39" s="267" t="s">
        <v>310</v>
      </c>
      <c r="AC39" s="289">
        <f>B294</f>
        <v>2.8000000000000002E-12</v>
      </c>
      <c r="AD39" s="289">
        <f>B294</f>
        <v>2.8000000000000002E-12</v>
      </c>
      <c r="AE39" s="289">
        <f>B294</f>
        <v>2.8000000000000002E-12</v>
      </c>
      <c r="AF39" s="289">
        <f>B294</f>
        <v>2.8000000000000002E-12</v>
      </c>
      <c r="AG39" s="289">
        <f>B294</f>
        <v>2.8000000000000002E-12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((W27*W28*W31)/((W33/W34)*(1-EXP(-W28*W31))*W32*W35*W30*W31))*W29*W42*W43</f>
        <v>1.215023906900275E-11</v>
      </c>
      <c r="X40" s="88" t="s">
        <v>16</v>
      </c>
      <c r="Y40" s="88" t="s">
        <v>74</v>
      </c>
      <c r="Z40" s="294">
        <f>(Z27/((Z32*Z30*Z44*(Z33/Z34)*Z35)))*Z29*Z46*Z47</f>
        <v>1.2137092130419906E-11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((W27*W28*W31)/((W33/W34)*(1-EXP(-W28*W31))*W36*W30*W31*(1/365)))*W29*W42*W43</f>
        <v>8.8950300509992587E-7</v>
      </c>
      <c r="X41" s="88" t="s">
        <v>16</v>
      </c>
      <c r="Y41" s="88" t="s">
        <v>78</v>
      </c>
      <c r="Z41" s="296">
        <f>(Z27/(Z36*Z30*(1/Z45)*Z44*(Z33/Z34)*Z37))*Z29*Z46*Z47</f>
        <v>8.885405350356833E-7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x14ac:dyDescent="0.2">
      <c r="A42" s="249" t="s">
        <v>265</v>
      </c>
      <c r="B42" s="315">
        <f>B38</f>
        <v>1.6999999999999999E-3</v>
      </c>
      <c r="C42" s="263" t="s">
        <v>298</v>
      </c>
      <c r="D42" s="203" t="s">
        <v>510</v>
      </c>
      <c r="E42" s="204">
        <f>E52</f>
        <v>8.6748738154885957E-9</v>
      </c>
      <c r="F42" s="184" t="s">
        <v>313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315</v>
      </c>
      <c r="W42" s="289">
        <f>B293</f>
        <v>241</v>
      </c>
      <c r="X42" s="249" t="s">
        <v>309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0.124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V43" s="267" t="s">
        <v>310</v>
      </c>
      <c r="W43" s="289">
        <f>B295</f>
        <v>2.8000000000000001E-15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0.79200000000000004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1.4789999999999999E-2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0.124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1.7000000000000001E-2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0.79200000000000004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1</v>
      </c>
      <c r="C46" s="249" t="s">
        <v>19</v>
      </c>
      <c r="D46" s="262" t="s">
        <v>438</v>
      </c>
      <c r="E46" s="287">
        <f>B30</f>
        <v>5.1429999999999997E-10</v>
      </c>
      <c r="F46" s="262" t="s">
        <v>289</v>
      </c>
      <c r="G46" s="249" t="s">
        <v>20</v>
      </c>
      <c r="H46" s="287">
        <f>H48</f>
        <v>1.4789999999999999E-2</v>
      </c>
      <c r="I46" s="263"/>
      <c r="J46" s="269" t="s">
        <v>107</v>
      </c>
      <c r="K46" s="292">
        <f>K34</f>
        <v>20</v>
      </c>
      <c r="L46" s="269" t="s">
        <v>69</v>
      </c>
      <c r="Y46" s="95" t="s">
        <v>315</v>
      </c>
      <c r="Z46" s="289">
        <f>B293</f>
        <v>241</v>
      </c>
      <c r="AA46" s="249" t="s">
        <v>309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5</v>
      </c>
      <c r="C47" s="262" t="s">
        <v>14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Y47" s="267" t="s">
        <v>310</v>
      </c>
      <c r="Z47" s="289">
        <f>B295</f>
        <v>2.8000000000000001E-15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1.4789999999999999E-2</v>
      </c>
      <c r="K48" s="289">
        <v>1000</v>
      </c>
      <c r="L48" s="249" t="s">
        <v>115</v>
      </c>
      <c r="CT48" s="95" t="s">
        <v>315</v>
      </c>
      <c r="CU48" s="289">
        <f>B293</f>
        <v>241</v>
      </c>
      <c r="CV48" s="249" t="s">
        <v>309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BY49" s="262"/>
      <c r="BZ49" s="293"/>
      <c r="CT49" s="267" t="s">
        <v>310</v>
      </c>
      <c r="CU49" s="289">
        <f>B294</f>
        <v>2.8000000000000002E-12</v>
      </c>
      <c r="DA49" s="292">
        <v>1000</v>
      </c>
      <c r="DB49" s="267" t="s">
        <v>115</v>
      </c>
      <c r="DW49" s="264"/>
      <c r="DX49" s="264"/>
      <c r="DY49" s="328"/>
      <c r="DZ49" s="264"/>
    </row>
    <row r="50" spans="1:130" ht="15" x14ac:dyDescent="0.2">
      <c r="A50" s="516" t="s">
        <v>2</v>
      </c>
      <c r="B50" s="516"/>
      <c r="C50" s="516"/>
      <c r="D50" s="262" t="s">
        <v>122</v>
      </c>
      <c r="E50" s="298">
        <f>B36</f>
        <v>4</v>
      </c>
      <c r="F50" s="263" t="s">
        <v>19</v>
      </c>
      <c r="G50" s="249" t="s">
        <v>18</v>
      </c>
      <c r="H50" s="288">
        <f>(H53*H54*H48*((1-EXP(-H55*H56))))/(H57*H55)</f>
        <v>0.52543733718458041</v>
      </c>
      <c r="I50" s="249" t="s">
        <v>19</v>
      </c>
      <c r="J50" s="249" t="s">
        <v>20</v>
      </c>
      <c r="K50" s="287">
        <f>K52</f>
        <v>1.4789999999999999E-2</v>
      </c>
      <c r="BY50" s="263"/>
      <c r="BZ50" s="307"/>
      <c r="CT50" s="263"/>
      <c r="CU50" s="307"/>
      <c r="CZ50" s="95" t="s">
        <v>315</v>
      </c>
      <c r="DA50" s="289">
        <f>B293</f>
        <v>241</v>
      </c>
      <c r="DB50" s="249" t="s">
        <v>309</v>
      </c>
      <c r="DW50" s="264"/>
      <c r="DX50" s="264"/>
      <c r="DY50" s="328"/>
      <c r="DZ50" s="264"/>
    </row>
    <row r="51" spans="1:130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9.2368970701819411</v>
      </c>
      <c r="I51" s="249" t="s">
        <v>19</v>
      </c>
      <c r="J51" s="262" t="s">
        <v>28</v>
      </c>
      <c r="K51" s="293">
        <f>K53</f>
        <v>0.26</v>
      </c>
      <c r="BW51" s="287"/>
      <c r="BY51" s="262"/>
      <c r="BZ51" s="293"/>
      <c r="CT51" s="262"/>
      <c r="CU51" s="293"/>
      <c r="CZ51" s="267" t="s">
        <v>310</v>
      </c>
      <c r="DA51" s="289">
        <f>B294</f>
        <v>2.8000000000000002E-12</v>
      </c>
      <c r="DW51" s="264"/>
      <c r="DX51" s="264"/>
      <c r="DY51" s="328"/>
      <c r="DZ51" s="264"/>
    </row>
    <row r="52" spans="1:130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>
        <f>(E44/(E46*E45*E47*E48*E50*E51*(1/E49)))*E7*E53*E54</f>
        <v>8.6748738154885957E-9</v>
      </c>
      <c r="F52" s="249" t="s">
        <v>313</v>
      </c>
      <c r="G52" s="249" t="s">
        <v>36</v>
      </c>
      <c r="H52" s="288">
        <f>(H53*H54*H58*H64*((1-EXP(-H59*H60))))/(H61*H59)</f>
        <v>3.6423470278489711</v>
      </c>
      <c r="I52" s="249" t="s">
        <v>19</v>
      </c>
      <c r="J52" s="263" t="s">
        <v>37</v>
      </c>
      <c r="K52" s="290">
        <f>B44</f>
        <v>1.4789999999999999E-2</v>
      </c>
      <c r="BW52" s="287"/>
      <c r="CZ52" s="267"/>
      <c r="DW52" s="264"/>
      <c r="DX52" s="264"/>
      <c r="DY52" s="328"/>
      <c r="DZ52" s="264"/>
    </row>
    <row r="53" spans="1:130" x14ac:dyDescent="0.2">
      <c r="A53" s="262" t="s">
        <v>320</v>
      </c>
      <c r="B53" s="283">
        <v>55</v>
      </c>
      <c r="C53" s="263" t="s">
        <v>54</v>
      </c>
      <c r="D53" s="95" t="s">
        <v>315</v>
      </c>
      <c r="E53" s="289">
        <f>B293</f>
        <v>241</v>
      </c>
      <c r="F53" s="249" t="s">
        <v>309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BV53" s="262"/>
      <c r="CZ53" s="267"/>
    </row>
    <row r="54" spans="1:130" x14ac:dyDescent="0.2">
      <c r="A54" s="262" t="s">
        <v>321</v>
      </c>
      <c r="B54" s="283">
        <v>55</v>
      </c>
      <c r="C54" s="263" t="s">
        <v>54</v>
      </c>
      <c r="D54" s="267" t="s">
        <v>310</v>
      </c>
      <c r="E54" s="289">
        <f>B295</f>
        <v>2.8000000000000001E-15</v>
      </c>
      <c r="G54" s="262" t="s">
        <v>46</v>
      </c>
      <c r="H54" s="287">
        <f>B86</f>
        <v>0.25</v>
      </c>
      <c r="I54" s="249" t="s">
        <v>47</v>
      </c>
      <c r="J54" s="267" t="s">
        <v>315</v>
      </c>
      <c r="K54" s="289">
        <f>B293</f>
        <v>241</v>
      </c>
      <c r="L54" s="249" t="s">
        <v>309</v>
      </c>
      <c r="BV54" s="262"/>
      <c r="CZ54" s="267"/>
    </row>
    <row r="55" spans="1:130" x14ac:dyDescent="0.2">
      <c r="A55" s="262" t="s">
        <v>322</v>
      </c>
      <c r="B55" s="283">
        <v>5</v>
      </c>
      <c r="C55" s="262" t="s">
        <v>30</v>
      </c>
      <c r="G55" s="267" t="s">
        <v>55</v>
      </c>
      <c r="H55" s="303">
        <f>H62+H63</f>
        <v>2.8186643835616437E-5</v>
      </c>
      <c r="J55" s="267" t="s">
        <v>310</v>
      </c>
      <c r="K55" s="289">
        <f>B294</f>
        <v>2.8000000000000002E-12</v>
      </c>
      <c r="BV55" s="267"/>
      <c r="CZ55" s="267"/>
    </row>
    <row r="56" spans="1:130" x14ac:dyDescent="0.2">
      <c r="A56" s="262" t="s">
        <v>323</v>
      </c>
      <c r="B56" s="283">
        <v>5</v>
      </c>
      <c r="C56" s="262" t="s">
        <v>30</v>
      </c>
      <c r="G56" s="267" t="s">
        <v>60</v>
      </c>
      <c r="H56" s="289">
        <f>B87</f>
        <v>10950</v>
      </c>
      <c r="I56" s="249" t="s">
        <v>61</v>
      </c>
      <c r="BV56" s="267"/>
      <c r="CZ56" s="267"/>
    </row>
    <row r="57" spans="1:130" x14ac:dyDescent="0.2">
      <c r="A57" s="262" t="s">
        <v>337</v>
      </c>
      <c r="B57" s="283">
        <v>55</v>
      </c>
      <c r="C57" s="249" t="s">
        <v>54</v>
      </c>
      <c r="G57" s="267" t="s">
        <v>65</v>
      </c>
      <c r="H57" s="289">
        <f>B88</f>
        <v>240</v>
      </c>
      <c r="I57" s="249" t="s">
        <v>66</v>
      </c>
      <c r="BV57" s="267"/>
      <c r="CZ57" s="267"/>
      <c r="DA57" s="293"/>
      <c r="DB57" s="262"/>
    </row>
    <row r="58" spans="1:130" x14ac:dyDescent="0.2">
      <c r="A58" s="249" t="s">
        <v>357</v>
      </c>
      <c r="B58" s="283">
        <v>55</v>
      </c>
      <c r="C58" s="249" t="s">
        <v>54</v>
      </c>
      <c r="G58" s="267" t="s">
        <v>76</v>
      </c>
      <c r="H58" s="289">
        <f>B89</f>
        <v>0.42</v>
      </c>
      <c r="I58" s="249" t="s">
        <v>47</v>
      </c>
      <c r="BV58" s="267"/>
      <c r="CZ58" s="267"/>
      <c r="DA58" s="293"/>
      <c r="DB58" s="262"/>
    </row>
    <row r="59" spans="1:130" x14ac:dyDescent="0.2">
      <c r="A59" s="249" t="s">
        <v>336</v>
      </c>
      <c r="B59" s="283">
        <v>55</v>
      </c>
      <c r="C59" s="249" t="s">
        <v>54</v>
      </c>
      <c r="G59" s="267" t="s">
        <v>81</v>
      </c>
      <c r="H59" s="299">
        <f>H63+(0.693/H65)</f>
        <v>4.9501186643835612E-2</v>
      </c>
      <c r="I59" s="262" t="s">
        <v>82</v>
      </c>
      <c r="BV59" s="267"/>
      <c r="CZ59" s="267"/>
      <c r="DA59" s="293"/>
      <c r="DB59" s="262"/>
    </row>
    <row r="60" spans="1:130" x14ac:dyDescent="0.2">
      <c r="A60" s="262" t="s">
        <v>332</v>
      </c>
      <c r="B60" s="283">
        <v>55</v>
      </c>
      <c r="C60" s="267" t="s">
        <v>254</v>
      </c>
      <c r="G60" s="267" t="s">
        <v>85</v>
      </c>
      <c r="H60" s="293">
        <f>B90</f>
        <v>60</v>
      </c>
      <c r="I60" s="262" t="s">
        <v>61</v>
      </c>
      <c r="BV60" s="267"/>
      <c r="CZ60" s="267"/>
    </row>
    <row r="61" spans="1:130" x14ac:dyDescent="0.2">
      <c r="A61" s="262" t="s">
        <v>333</v>
      </c>
      <c r="B61" s="283">
        <v>55</v>
      </c>
      <c r="C61" s="267" t="s">
        <v>254</v>
      </c>
      <c r="G61" s="267" t="s">
        <v>87</v>
      </c>
      <c r="H61" s="293">
        <f>B91</f>
        <v>2</v>
      </c>
      <c r="I61" s="262" t="s">
        <v>66</v>
      </c>
      <c r="BV61" s="267"/>
      <c r="BW61" s="293"/>
      <c r="BX61" s="262"/>
      <c r="CZ61" s="267"/>
      <c r="DA61" s="287"/>
    </row>
    <row r="62" spans="1:130" x14ac:dyDescent="0.2">
      <c r="A62" s="262" t="s">
        <v>334</v>
      </c>
      <c r="B62" s="283">
        <v>55</v>
      </c>
      <c r="C62" s="267" t="s">
        <v>254</v>
      </c>
      <c r="G62" s="267" t="s">
        <v>89</v>
      </c>
      <c r="H62" s="289">
        <f>B92</f>
        <v>2.6999999999999999E-5</v>
      </c>
      <c r="I62" s="249" t="s">
        <v>82</v>
      </c>
      <c r="BV62" s="267"/>
      <c r="BW62" s="293"/>
      <c r="BX62" s="262"/>
      <c r="CZ62" s="267"/>
    </row>
    <row r="63" spans="1:130" x14ac:dyDescent="0.2">
      <c r="A63" s="262" t="s">
        <v>335</v>
      </c>
      <c r="B63" s="283">
        <v>55</v>
      </c>
      <c r="C63" s="267" t="s">
        <v>254</v>
      </c>
      <c r="G63" s="267" t="s">
        <v>90</v>
      </c>
      <c r="H63" s="288">
        <f>0.693/H67</f>
        <v>1.1866438356164383E-6</v>
      </c>
      <c r="I63" s="249" t="s">
        <v>82</v>
      </c>
      <c r="BV63" s="267"/>
      <c r="BW63" s="293"/>
      <c r="BX63" s="262"/>
      <c r="CZ63" s="267"/>
    </row>
    <row r="64" spans="1:130" x14ac:dyDescent="0.2">
      <c r="A64" s="262" t="s">
        <v>343</v>
      </c>
      <c r="B64" s="283">
        <v>5</v>
      </c>
      <c r="C64" s="264" t="s">
        <v>69</v>
      </c>
      <c r="G64" s="267" t="s">
        <v>91</v>
      </c>
      <c r="H64" s="289">
        <f>B93</f>
        <v>1</v>
      </c>
      <c r="I64" s="249" t="s">
        <v>47</v>
      </c>
      <c r="AI64" s="275"/>
      <c r="AJ64" s="353"/>
      <c r="AK64" s="275"/>
      <c r="BV64" s="267"/>
    </row>
    <row r="65" spans="1:105" x14ac:dyDescent="0.2">
      <c r="A65" s="262" t="s">
        <v>342</v>
      </c>
      <c r="B65" s="283">
        <v>15</v>
      </c>
      <c r="C65" s="264" t="s">
        <v>69</v>
      </c>
      <c r="G65" s="267" t="s">
        <v>92</v>
      </c>
      <c r="H65" s="289">
        <f>B94</f>
        <v>14</v>
      </c>
      <c r="I65" s="249" t="s">
        <v>93</v>
      </c>
      <c r="AI65" s="275"/>
      <c r="AJ65" s="353"/>
      <c r="AK65" s="275"/>
      <c r="BV65" s="267"/>
    </row>
    <row r="66" spans="1:105" x14ac:dyDescent="0.2">
      <c r="A66" s="262" t="s">
        <v>341</v>
      </c>
      <c r="B66" s="283">
        <v>20</v>
      </c>
      <c r="C66" s="264" t="s">
        <v>69</v>
      </c>
      <c r="G66" s="249" t="s">
        <v>38</v>
      </c>
      <c r="H66" s="287">
        <f>B45</f>
        <v>1.7000000000000001E-2</v>
      </c>
      <c r="AI66" s="275"/>
      <c r="AJ66" s="353"/>
      <c r="AK66" s="275"/>
      <c r="BV66" s="267"/>
      <c r="CZ66" s="262"/>
      <c r="DA66" s="287"/>
    </row>
    <row r="67" spans="1:105" x14ac:dyDescent="0.2">
      <c r="A67" s="262" t="s">
        <v>340</v>
      </c>
      <c r="B67" s="283">
        <v>55</v>
      </c>
      <c r="C67" s="264" t="s">
        <v>26</v>
      </c>
      <c r="G67" s="262" t="s">
        <v>273</v>
      </c>
      <c r="H67" s="287">
        <f>B35</f>
        <v>584000</v>
      </c>
      <c r="I67" s="249" t="s">
        <v>257</v>
      </c>
      <c r="AI67" s="275"/>
      <c r="AJ67" s="353"/>
      <c r="AK67" s="275"/>
      <c r="BV67" s="267"/>
    </row>
    <row r="68" spans="1:105" x14ac:dyDescent="0.2">
      <c r="A68" s="262" t="s">
        <v>339</v>
      </c>
      <c r="B68" s="283">
        <v>55</v>
      </c>
      <c r="C68" s="264" t="s">
        <v>26</v>
      </c>
      <c r="G68" s="95" t="s">
        <v>315</v>
      </c>
      <c r="H68" s="297">
        <f>B293</f>
        <v>241</v>
      </c>
      <c r="I68" s="249" t="s">
        <v>309</v>
      </c>
      <c r="AI68" s="275"/>
      <c r="AJ68" s="353"/>
      <c r="AK68" s="275"/>
    </row>
    <row r="69" spans="1:105" x14ac:dyDescent="0.2">
      <c r="A69" s="262" t="s">
        <v>338</v>
      </c>
      <c r="B69" s="283">
        <v>55</v>
      </c>
      <c r="C69" s="264" t="s">
        <v>26</v>
      </c>
      <c r="G69" s="267" t="s">
        <v>310</v>
      </c>
      <c r="H69" s="289">
        <f>B295</f>
        <v>2.8000000000000001E-15</v>
      </c>
      <c r="AI69" s="275"/>
      <c r="AJ69" s="353"/>
      <c r="AK69" s="275"/>
      <c r="BV69" s="262"/>
      <c r="BW69" s="287"/>
    </row>
    <row r="70" spans="1:105" x14ac:dyDescent="0.2">
      <c r="A70" s="249" t="s">
        <v>344</v>
      </c>
      <c r="B70" s="284">
        <v>2</v>
      </c>
      <c r="C70" s="92" t="s">
        <v>104</v>
      </c>
      <c r="G70" s="249" t="s">
        <v>270</v>
      </c>
      <c r="H70" s="287">
        <f>B31</f>
        <v>1600</v>
      </c>
      <c r="I70" s="249" t="s">
        <v>69</v>
      </c>
      <c r="AI70" s="275"/>
      <c r="AJ70" s="353"/>
      <c r="AK70" s="275"/>
      <c r="BV70" s="262"/>
    </row>
    <row r="71" spans="1:105" x14ac:dyDescent="0.2">
      <c r="A71" s="249" t="s">
        <v>345</v>
      </c>
      <c r="B71" s="284">
        <v>2</v>
      </c>
      <c r="C71" s="92" t="s">
        <v>104</v>
      </c>
      <c r="AI71" s="275"/>
      <c r="AJ71" s="353"/>
      <c r="AK71" s="275"/>
      <c r="BV71" s="262"/>
    </row>
    <row r="72" spans="1:105" x14ac:dyDescent="0.2">
      <c r="A72" s="262" t="s">
        <v>347</v>
      </c>
      <c r="B72" s="283">
        <v>15</v>
      </c>
      <c r="C72" s="264" t="s">
        <v>224</v>
      </c>
      <c r="AF72" s="277"/>
      <c r="AG72" s="353"/>
      <c r="AH72" s="275"/>
      <c r="AI72" s="275"/>
      <c r="AJ72" s="353"/>
      <c r="AK72" s="275"/>
    </row>
    <row r="73" spans="1:105" x14ac:dyDescent="0.2">
      <c r="A73" s="262" t="s">
        <v>348</v>
      </c>
      <c r="B73" s="283">
        <v>15</v>
      </c>
      <c r="C73" s="264" t="s">
        <v>224</v>
      </c>
      <c r="AF73" s="277"/>
      <c r="AG73" s="353"/>
      <c r="AH73" s="275"/>
      <c r="AI73" s="275"/>
      <c r="AJ73" s="353"/>
      <c r="AK73" s="275"/>
    </row>
    <row r="74" spans="1:105" x14ac:dyDescent="0.2">
      <c r="A74" s="262" t="s">
        <v>346</v>
      </c>
      <c r="B74" s="283">
        <v>15</v>
      </c>
      <c r="C74" s="264" t="s">
        <v>224</v>
      </c>
      <c r="AF74" s="277"/>
      <c r="AG74" s="353"/>
      <c r="AH74" s="275"/>
      <c r="AI74" s="275"/>
      <c r="AJ74" s="353"/>
      <c r="AK74" s="275"/>
    </row>
    <row r="75" spans="1:105" x14ac:dyDescent="0.2">
      <c r="A75" s="249" t="s">
        <v>349</v>
      </c>
      <c r="B75" s="284">
        <v>2</v>
      </c>
      <c r="C75" s="92" t="s">
        <v>98</v>
      </c>
      <c r="AF75" s="277"/>
      <c r="AG75" s="353"/>
      <c r="AH75" s="275"/>
      <c r="AI75" s="275"/>
      <c r="AJ75" s="353"/>
      <c r="AK75" s="275"/>
    </row>
    <row r="76" spans="1:105" x14ac:dyDescent="0.2">
      <c r="A76" s="249" t="s">
        <v>350</v>
      </c>
      <c r="B76" s="284">
        <v>2</v>
      </c>
      <c r="C76" s="92" t="s">
        <v>98</v>
      </c>
      <c r="AF76" s="277"/>
      <c r="AG76" s="353"/>
      <c r="AH76" s="275"/>
      <c r="AI76" s="275"/>
      <c r="AJ76" s="353"/>
      <c r="AK76" s="275"/>
    </row>
    <row r="77" spans="1:105" x14ac:dyDescent="0.2">
      <c r="A77" s="262" t="s">
        <v>103</v>
      </c>
      <c r="B77" s="283">
        <v>0.4</v>
      </c>
      <c r="AF77" s="277"/>
      <c r="AG77" s="353"/>
      <c r="AH77" s="275"/>
      <c r="AI77" s="275"/>
      <c r="AJ77" s="353"/>
      <c r="AK77" s="275"/>
    </row>
    <row r="78" spans="1:105" x14ac:dyDescent="0.2">
      <c r="A78" s="249" t="s">
        <v>353</v>
      </c>
      <c r="B78" s="284">
        <v>1</v>
      </c>
      <c r="C78" s="247"/>
      <c r="AF78" s="277"/>
      <c r="AG78" s="353"/>
    </row>
    <row r="79" spans="1:105" x14ac:dyDescent="0.2">
      <c r="A79" s="249" t="s">
        <v>158</v>
      </c>
      <c r="B79" s="284">
        <v>0.4</v>
      </c>
      <c r="C79" s="247"/>
      <c r="AF79" s="277"/>
      <c r="AG79" s="353"/>
      <c r="AH79" s="275"/>
      <c r="AI79" s="275"/>
      <c r="AJ79" s="353"/>
      <c r="AK79" s="275"/>
    </row>
    <row r="80" spans="1:105" x14ac:dyDescent="0.2">
      <c r="A80" s="249" t="s">
        <v>159</v>
      </c>
      <c r="B80" s="282">
        <f>B3</f>
        <v>0.124</v>
      </c>
      <c r="C80" s="247"/>
      <c r="AF80" s="277"/>
      <c r="AG80" s="353"/>
      <c r="AH80" s="275"/>
      <c r="AI80" s="275"/>
      <c r="AJ80" s="353"/>
      <c r="AK80" s="275"/>
    </row>
    <row r="81" spans="1:37" x14ac:dyDescent="0.2">
      <c r="A81" s="249" t="s">
        <v>62</v>
      </c>
      <c r="B81" s="282">
        <f>B4</f>
        <v>0.79200000000000004</v>
      </c>
      <c r="C81" s="247"/>
      <c r="AF81" s="277"/>
      <c r="AG81" s="353"/>
      <c r="AH81" s="275"/>
      <c r="AI81" s="275"/>
      <c r="AJ81" s="353"/>
      <c r="AK81" s="275"/>
    </row>
    <row r="82" spans="1:37" x14ac:dyDescent="0.2">
      <c r="A82" s="262" t="s">
        <v>124</v>
      </c>
      <c r="B82" s="284">
        <v>1</v>
      </c>
      <c r="C82" s="263" t="s">
        <v>125</v>
      </c>
      <c r="AF82" s="277"/>
      <c r="AG82" s="353"/>
      <c r="AH82" s="275"/>
      <c r="AI82" s="275"/>
      <c r="AJ82" s="353"/>
      <c r="AK82" s="275"/>
    </row>
    <row r="83" spans="1:37" x14ac:dyDescent="0.2">
      <c r="A83" s="249" t="s">
        <v>83</v>
      </c>
      <c r="B83" s="284">
        <v>0.5</v>
      </c>
      <c r="C83" s="249" t="s">
        <v>84</v>
      </c>
      <c r="AF83" s="277"/>
      <c r="AG83" s="353"/>
    </row>
    <row r="84" spans="1:37" x14ac:dyDescent="0.2">
      <c r="A84" s="249" t="s">
        <v>355</v>
      </c>
      <c r="B84" s="284">
        <v>0.25</v>
      </c>
      <c r="C84" s="247"/>
      <c r="AF84" s="277"/>
      <c r="AG84" s="353"/>
      <c r="AH84" s="275"/>
      <c r="AI84" s="275"/>
      <c r="AJ84" s="353"/>
      <c r="AK84" s="275"/>
    </row>
    <row r="85" spans="1:37" x14ac:dyDescent="0.2">
      <c r="A85" s="262" t="s">
        <v>41</v>
      </c>
      <c r="B85" s="284">
        <v>3.62</v>
      </c>
      <c r="C85" s="249" t="s">
        <v>42</v>
      </c>
      <c r="AF85" s="277"/>
      <c r="AG85" s="353"/>
    </row>
    <row r="86" spans="1:37" x14ac:dyDescent="0.2">
      <c r="A86" s="262" t="s">
        <v>46</v>
      </c>
      <c r="B86" s="284">
        <v>0.25</v>
      </c>
      <c r="C86" s="249" t="s">
        <v>47</v>
      </c>
      <c r="AH86" s="276"/>
      <c r="AI86" s="276"/>
      <c r="AJ86" s="277"/>
      <c r="AK86" s="276"/>
    </row>
    <row r="87" spans="1:37" x14ac:dyDescent="0.2">
      <c r="A87" s="267" t="s">
        <v>60</v>
      </c>
      <c r="B87" s="284">
        <v>10950</v>
      </c>
      <c r="C87" s="249" t="s">
        <v>61</v>
      </c>
    </row>
    <row r="88" spans="1:37" x14ac:dyDescent="0.2">
      <c r="A88" s="267" t="s">
        <v>65</v>
      </c>
      <c r="B88" s="284">
        <v>240</v>
      </c>
      <c r="C88" s="249" t="s">
        <v>66</v>
      </c>
    </row>
    <row r="89" spans="1:37" x14ac:dyDescent="0.2">
      <c r="A89" s="267" t="s">
        <v>76</v>
      </c>
      <c r="B89" s="284">
        <v>0.42</v>
      </c>
      <c r="C89" s="249" t="s">
        <v>47</v>
      </c>
    </row>
    <row r="90" spans="1:37" x14ac:dyDescent="0.2">
      <c r="A90" s="267" t="s">
        <v>85</v>
      </c>
      <c r="B90" s="284">
        <v>60</v>
      </c>
      <c r="C90" s="262" t="s">
        <v>61</v>
      </c>
    </row>
    <row r="91" spans="1:37" x14ac:dyDescent="0.2">
      <c r="A91" s="267" t="s">
        <v>87</v>
      </c>
      <c r="B91" s="284">
        <v>2</v>
      </c>
      <c r="C91" s="262" t="s">
        <v>66</v>
      </c>
    </row>
    <row r="92" spans="1:37" x14ac:dyDescent="0.2">
      <c r="A92" s="267" t="s">
        <v>89</v>
      </c>
      <c r="B92" s="284">
        <v>2.6999999999999999E-5</v>
      </c>
      <c r="C92" s="249" t="s">
        <v>82</v>
      </c>
    </row>
    <row r="93" spans="1:37" x14ac:dyDescent="0.2">
      <c r="A93" s="267" t="s">
        <v>91</v>
      </c>
      <c r="B93" s="284">
        <v>1</v>
      </c>
      <c r="C93" s="249" t="s">
        <v>47</v>
      </c>
    </row>
    <row r="94" spans="1:37" x14ac:dyDescent="0.2">
      <c r="A94" s="267" t="s">
        <v>92</v>
      </c>
      <c r="B94" s="284">
        <v>14</v>
      </c>
      <c r="C94" s="249" t="s">
        <v>93</v>
      </c>
    </row>
    <row r="95" spans="1:37" x14ac:dyDescent="0.2">
      <c r="A95" s="262" t="s">
        <v>356</v>
      </c>
      <c r="B95" s="283">
        <v>1</v>
      </c>
    </row>
    <row r="96" spans="1:37" x14ac:dyDescent="0.2">
      <c r="A96" s="262" t="s">
        <v>351</v>
      </c>
      <c r="B96" s="283">
        <v>1.752</v>
      </c>
      <c r="C96" s="264" t="s">
        <v>224</v>
      </c>
    </row>
    <row r="97" spans="1:3" x14ac:dyDescent="0.2">
      <c r="A97" s="262" t="s">
        <v>352</v>
      </c>
      <c r="B97" s="283">
        <v>16.416</v>
      </c>
      <c r="C97" s="264" t="s">
        <v>224</v>
      </c>
    </row>
    <row r="98" spans="1:3" ht="15" x14ac:dyDescent="0.2">
      <c r="A98" s="517" t="s">
        <v>5</v>
      </c>
      <c r="B98" s="517"/>
      <c r="C98" s="517"/>
    </row>
    <row r="99" spans="1:3" x14ac:dyDescent="0.2">
      <c r="A99" s="262" t="s">
        <v>358</v>
      </c>
      <c r="B99" s="284">
        <v>55</v>
      </c>
      <c r="C99" s="267" t="s">
        <v>359</v>
      </c>
    </row>
    <row r="100" spans="1:3" x14ac:dyDescent="0.2">
      <c r="A100" s="262" t="s">
        <v>360</v>
      </c>
      <c r="B100" s="284">
        <v>55</v>
      </c>
      <c r="C100" s="267" t="s">
        <v>359</v>
      </c>
    </row>
    <row r="101" spans="1:3" x14ac:dyDescent="0.2">
      <c r="A101" s="262" t="s">
        <v>305</v>
      </c>
      <c r="B101" s="283">
        <v>5</v>
      </c>
      <c r="C101" s="262" t="s">
        <v>361</v>
      </c>
    </row>
    <row r="102" spans="1:3" x14ac:dyDescent="0.2">
      <c r="A102" s="262" t="s">
        <v>306</v>
      </c>
      <c r="B102" s="283">
        <v>5</v>
      </c>
      <c r="C102" s="262" t="s">
        <v>361</v>
      </c>
    </row>
    <row r="103" spans="1:3" x14ac:dyDescent="0.2">
      <c r="A103" s="262" t="s">
        <v>362</v>
      </c>
      <c r="B103" s="284">
        <v>55</v>
      </c>
      <c r="C103" s="263" t="s">
        <v>54</v>
      </c>
    </row>
    <row r="104" spans="1:3" x14ac:dyDescent="0.2">
      <c r="A104" s="262" t="s">
        <v>363</v>
      </c>
      <c r="B104" s="284">
        <v>55</v>
      </c>
      <c r="C104" s="263" t="s">
        <v>54</v>
      </c>
    </row>
    <row r="105" spans="1:3" x14ac:dyDescent="0.2">
      <c r="A105" s="249" t="s">
        <v>187</v>
      </c>
      <c r="B105" s="284">
        <v>1</v>
      </c>
      <c r="C105" s="249" t="s">
        <v>254</v>
      </c>
    </row>
    <row r="106" spans="1:3" x14ac:dyDescent="0.2">
      <c r="A106" s="249" t="s">
        <v>188</v>
      </c>
      <c r="B106" s="284">
        <v>1</v>
      </c>
      <c r="C106" s="249" t="s">
        <v>254</v>
      </c>
    </row>
    <row r="107" spans="1:3" x14ac:dyDescent="0.2">
      <c r="A107" s="94" t="s">
        <v>373</v>
      </c>
      <c r="B107" s="283">
        <v>6</v>
      </c>
      <c r="C107" s="270" t="s">
        <v>69</v>
      </c>
    </row>
    <row r="108" spans="1:3" x14ac:dyDescent="0.2">
      <c r="A108" s="94" t="s">
        <v>372</v>
      </c>
      <c r="B108" s="283">
        <f>B109-B107</f>
        <v>20</v>
      </c>
      <c r="C108" s="270" t="s">
        <v>69</v>
      </c>
    </row>
    <row r="109" spans="1:3" x14ac:dyDescent="0.2">
      <c r="A109" s="94" t="s">
        <v>59</v>
      </c>
      <c r="B109" s="283">
        <v>26</v>
      </c>
      <c r="C109" s="270" t="s">
        <v>69</v>
      </c>
    </row>
    <row r="110" spans="1:3" x14ac:dyDescent="0.2">
      <c r="A110" s="94" t="s">
        <v>371</v>
      </c>
      <c r="B110" s="107">
        <v>75</v>
      </c>
      <c r="C110" s="94" t="s">
        <v>26</v>
      </c>
    </row>
    <row r="111" spans="1:3" x14ac:dyDescent="0.2">
      <c r="A111" s="94" t="s">
        <v>370</v>
      </c>
      <c r="B111" s="283">
        <v>75</v>
      </c>
      <c r="C111" s="94" t="s">
        <v>26</v>
      </c>
    </row>
    <row r="112" spans="1:3" x14ac:dyDescent="0.2">
      <c r="A112" s="94" t="s">
        <v>157</v>
      </c>
      <c r="B112" s="283">
        <v>75</v>
      </c>
      <c r="C112" s="94" t="s">
        <v>26</v>
      </c>
    </row>
    <row r="113" spans="1:3" x14ac:dyDescent="0.2">
      <c r="A113" s="94" t="s">
        <v>105</v>
      </c>
      <c r="B113" s="283">
        <v>1</v>
      </c>
      <c r="C113" s="92" t="s">
        <v>224</v>
      </c>
    </row>
    <row r="114" spans="1:3" x14ac:dyDescent="0.2">
      <c r="A114" s="92" t="s">
        <v>368</v>
      </c>
      <c r="B114" s="284">
        <v>1</v>
      </c>
      <c r="C114" s="92" t="s">
        <v>224</v>
      </c>
    </row>
    <row r="115" spans="1:3" x14ac:dyDescent="0.2">
      <c r="A115" s="92" t="s">
        <v>369</v>
      </c>
      <c r="B115" s="284">
        <v>1</v>
      </c>
      <c r="C115" s="92" t="s">
        <v>224</v>
      </c>
    </row>
    <row r="116" spans="1:3" x14ac:dyDescent="0.2">
      <c r="A116" s="249" t="s">
        <v>366</v>
      </c>
      <c r="B116" s="284">
        <v>1</v>
      </c>
      <c r="C116" s="249" t="s">
        <v>104</v>
      </c>
    </row>
    <row r="117" spans="1:3" x14ac:dyDescent="0.2">
      <c r="A117" s="249" t="s">
        <v>367</v>
      </c>
      <c r="B117" s="284">
        <v>1</v>
      </c>
      <c r="C117" s="249" t="s">
        <v>104</v>
      </c>
    </row>
    <row r="118" spans="1:3" x14ac:dyDescent="0.2">
      <c r="A118" s="94" t="s">
        <v>364</v>
      </c>
      <c r="B118" s="284">
        <v>1</v>
      </c>
      <c r="C118" s="92" t="s">
        <v>98</v>
      </c>
    </row>
    <row r="119" spans="1:3" x14ac:dyDescent="0.2">
      <c r="A119" s="94" t="s">
        <v>365</v>
      </c>
      <c r="B119" s="284">
        <v>1</v>
      </c>
      <c r="C119" s="92" t="s">
        <v>98</v>
      </c>
    </row>
    <row r="120" spans="1:3" x14ac:dyDescent="0.2">
      <c r="A120" s="263" t="s">
        <v>192</v>
      </c>
      <c r="B120" s="283">
        <v>1</v>
      </c>
      <c r="C120" s="249" t="s">
        <v>283</v>
      </c>
    </row>
    <row r="121" spans="1:3" x14ac:dyDescent="0.2">
      <c r="A121" s="263" t="s">
        <v>189</v>
      </c>
      <c r="B121" s="283">
        <v>1</v>
      </c>
      <c r="C121" s="249" t="s">
        <v>283</v>
      </c>
    </row>
    <row r="122" spans="1:3" x14ac:dyDescent="0.2">
      <c r="A122" s="263" t="s">
        <v>190</v>
      </c>
      <c r="B122" s="283">
        <v>1</v>
      </c>
      <c r="C122" s="249" t="s">
        <v>47</v>
      </c>
    </row>
    <row r="123" spans="1:3" x14ac:dyDescent="0.2">
      <c r="A123" s="263" t="s">
        <v>191</v>
      </c>
      <c r="B123" s="283">
        <v>1</v>
      </c>
      <c r="C123" s="249" t="s">
        <v>47</v>
      </c>
    </row>
    <row r="124" spans="1:3" x14ac:dyDescent="0.2">
      <c r="A124" s="263" t="s">
        <v>199</v>
      </c>
      <c r="B124" s="283">
        <v>1</v>
      </c>
      <c r="C124" s="249" t="s">
        <v>30</v>
      </c>
    </row>
    <row r="125" spans="1:3" x14ac:dyDescent="0.2">
      <c r="A125" s="249" t="s">
        <v>193</v>
      </c>
      <c r="B125" s="283">
        <v>1</v>
      </c>
      <c r="C125" s="249" t="s">
        <v>283</v>
      </c>
    </row>
    <row r="126" spans="1:3" x14ac:dyDescent="0.2">
      <c r="A126" s="249" t="s">
        <v>196</v>
      </c>
      <c r="B126" s="283">
        <v>1</v>
      </c>
      <c r="C126" s="249" t="s">
        <v>283</v>
      </c>
    </row>
    <row r="127" spans="1:3" x14ac:dyDescent="0.2">
      <c r="A127" s="268" t="s">
        <v>197</v>
      </c>
      <c r="B127" s="283">
        <v>1</v>
      </c>
      <c r="C127" s="249" t="s">
        <v>47</v>
      </c>
    </row>
    <row r="128" spans="1:3" x14ac:dyDescent="0.2">
      <c r="A128" s="262" t="s">
        <v>198</v>
      </c>
      <c r="B128" s="283">
        <v>1</v>
      </c>
      <c r="C128" s="249" t="s">
        <v>47</v>
      </c>
    </row>
    <row r="129" spans="1:3" x14ac:dyDescent="0.2">
      <c r="A129" s="263" t="s">
        <v>200</v>
      </c>
      <c r="B129" s="283">
        <v>1</v>
      </c>
      <c r="C129" s="249" t="s">
        <v>30</v>
      </c>
    </row>
    <row r="130" spans="1:3" x14ac:dyDescent="0.2">
      <c r="A130" s="262" t="s">
        <v>255</v>
      </c>
      <c r="B130" s="284">
        <v>1</v>
      </c>
    </row>
    <row r="131" spans="1:3" x14ac:dyDescent="0.2">
      <c r="A131" s="249" t="s">
        <v>83</v>
      </c>
      <c r="B131" s="284">
        <v>0.5</v>
      </c>
    </row>
    <row r="132" spans="1:3" ht="15" x14ac:dyDescent="0.2">
      <c r="A132" s="518" t="s">
        <v>180</v>
      </c>
      <c r="B132" s="518"/>
      <c r="C132" s="518"/>
    </row>
    <row r="133" spans="1:3" x14ac:dyDescent="0.2">
      <c r="A133" s="262" t="s">
        <v>374</v>
      </c>
      <c r="B133" s="283">
        <v>55</v>
      </c>
      <c r="C133" s="263" t="s">
        <v>54</v>
      </c>
    </row>
    <row r="134" spans="1:3" x14ac:dyDescent="0.2">
      <c r="A134" s="262" t="s">
        <v>375</v>
      </c>
      <c r="B134" s="283">
        <v>55</v>
      </c>
      <c r="C134" s="263" t="s">
        <v>54</v>
      </c>
    </row>
    <row r="135" spans="1:3" x14ac:dyDescent="0.2">
      <c r="A135" s="262" t="s">
        <v>376</v>
      </c>
      <c r="B135" s="283">
        <v>55</v>
      </c>
      <c r="C135" s="267" t="s">
        <v>359</v>
      </c>
    </row>
    <row r="136" spans="1:3" x14ac:dyDescent="0.2">
      <c r="A136" s="262" t="s">
        <v>377</v>
      </c>
      <c r="B136" s="283">
        <v>55</v>
      </c>
      <c r="C136" s="267" t="s">
        <v>359</v>
      </c>
    </row>
    <row r="137" spans="1:3" x14ac:dyDescent="0.2">
      <c r="A137" s="267" t="s">
        <v>378</v>
      </c>
      <c r="B137" s="284">
        <v>5</v>
      </c>
      <c r="C137" s="262" t="s">
        <v>30</v>
      </c>
    </row>
    <row r="138" spans="1:3" x14ac:dyDescent="0.2">
      <c r="A138" s="267" t="s">
        <v>379</v>
      </c>
      <c r="B138" s="284">
        <v>5</v>
      </c>
      <c r="C138" s="262" t="s">
        <v>30</v>
      </c>
    </row>
    <row r="139" spans="1:3" x14ac:dyDescent="0.2">
      <c r="A139" s="262" t="s">
        <v>380</v>
      </c>
      <c r="B139" s="283">
        <v>55</v>
      </c>
      <c r="C139" s="267" t="s">
        <v>254</v>
      </c>
    </row>
    <row r="140" spans="1:3" x14ac:dyDescent="0.2">
      <c r="A140" s="262" t="s">
        <v>381</v>
      </c>
      <c r="B140" s="283">
        <v>55</v>
      </c>
      <c r="C140" s="267" t="s">
        <v>254</v>
      </c>
    </row>
    <row r="141" spans="1:3" x14ac:dyDescent="0.2">
      <c r="A141" s="262" t="s">
        <v>382</v>
      </c>
      <c r="B141" s="283">
        <v>55</v>
      </c>
      <c r="C141" s="267" t="s">
        <v>254</v>
      </c>
    </row>
    <row r="142" spans="1:3" x14ac:dyDescent="0.2">
      <c r="A142" s="262" t="s">
        <v>383</v>
      </c>
      <c r="B142" s="283">
        <v>55</v>
      </c>
      <c r="C142" s="267" t="s">
        <v>254</v>
      </c>
    </row>
    <row r="143" spans="1:3" x14ac:dyDescent="0.2">
      <c r="A143" s="262" t="s">
        <v>479</v>
      </c>
      <c r="B143" s="283">
        <v>55</v>
      </c>
      <c r="C143" s="267" t="s">
        <v>254</v>
      </c>
    </row>
    <row r="144" spans="1:3" x14ac:dyDescent="0.2">
      <c r="A144" s="262" t="s">
        <v>480</v>
      </c>
      <c r="B144" s="283">
        <v>55</v>
      </c>
      <c r="C144" s="267" t="s">
        <v>254</v>
      </c>
    </row>
    <row r="145" spans="1:3" x14ac:dyDescent="0.2">
      <c r="A145" s="262" t="s">
        <v>481</v>
      </c>
      <c r="B145" s="283">
        <v>55</v>
      </c>
      <c r="C145" s="267" t="s">
        <v>254</v>
      </c>
    </row>
    <row r="146" spans="1:3" x14ac:dyDescent="0.2">
      <c r="A146" s="262" t="s">
        <v>482</v>
      </c>
      <c r="B146" s="283">
        <v>55</v>
      </c>
      <c r="C146" s="267" t="s">
        <v>254</v>
      </c>
    </row>
    <row r="147" spans="1:3" x14ac:dyDescent="0.2">
      <c r="A147" s="262" t="s">
        <v>326</v>
      </c>
      <c r="B147" s="283">
        <v>55</v>
      </c>
      <c r="C147" s="262" t="s">
        <v>254</v>
      </c>
    </row>
    <row r="148" spans="1:3" x14ac:dyDescent="0.2">
      <c r="A148" s="262" t="s">
        <v>327</v>
      </c>
      <c r="B148" s="283">
        <v>55</v>
      </c>
      <c r="C148" s="262" t="s">
        <v>254</v>
      </c>
    </row>
    <row r="149" spans="1:3" x14ac:dyDescent="0.2">
      <c r="A149" s="262" t="s">
        <v>483</v>
      </c>
      <c r="B149" s="283">
        <v>55</v>
      </c>
      <c r="C149" s="267" t="s">
        <v>254</v>
      </c>
    </row>
    <row r="150" spans="1:3" x14ac:dyDescent="0.2">
      <c r="A150" s="262" t="s">
        <v>484</v>
      </c>
      <c r="B150" s="283">
        <v>55</v>
      </c>
      <c r="C150" s="267" t="s">
        <v>254</v>
      </c>
    </row>
    <row r="151" spans="1:3" x14ac:dyDescent="0.2">
      <c r="A151" s="262" t="s">
        <v>324</v>
      </c>
      <c r="B151" s="283">
        <v>55</v>
      </c>
      <c r="C151" s="262" t="s">
        <v>254</v>
      </c>
    </row>
    <row r="152" spans="1:3" x14ac:dyDescent="0.2">
      <c r="A152" s="262" t="s">
        <v>325</v>
      </c>
      <c r="B152" s="283">
        <v>55</v>
      </c>
      <c r="C152" s="262" t="s">
        <v>254</v>
      </c>
    </row>
    <row r="153" spans="1:3" x14ac:dyDescent="0.2">
      <c r="A153" s="262" t="s">
        <v>328</v>
      </c>
      <c r="B153" s="283">
        <v>55</v>
      </c>
      <c r="C153" s="262" t="s">
        <v>254</v>
      </c>
    </row>
    <row r="154" spans="1:3" x14ac:dyDescent="0.2">
      <c r="A154" s="262" t="s">
        <v>329</v>
      </c>
      <c r="B154" s="283">
        <v>55</v>
      </c>
      <c r="C154" s="262" t="s">
        <v>254</v>
      </c>
    </row>
    <row r="155" spans="1:3" x14ac:dyDescent="0.2">
      <c r="A155" s="262" t="s">
        <v>384</v>
      </c>
      <c r="B155" s="284">
        <v>10</v>
      </c>
      <c r="C155" s="93" t="s">
        <v>69</v>
      </c>
    </row>
    <row r="156" spans="1:3" x14ac:dyDescent="0.2">
      <c r="A156" s="262" t="s">
        <v>385</v>
      </c>
      <c r="B156" s="284">
        <v>20</v>
      </c>
      <c r="C156" s="93" t="s">
        <v>69</v>
      </c>
    </row>
    <row r="157" spans="1:3" x14ac:dyDescent="0.2">
      <c r="A157" s="262" t="s">
        <v>386</v>
      </c>
      <c r="B157" s="284">
        <v>30</v>
      </c>
      <c r="C157" s="93" t="s">
        <v>69</v>
      </c>
    </row>
    <row r="158" spans="1:3" x14ac:dyDescent="0.2">
      <c r="A158" s="262" t="s">
        <v>387</v>
      </c>
      <c r="B158" s="284">
        <v>55</v>
      </c>
      <c r="C158" s="262" t="s">
        <v>26</v>
      </c>
    </row>
    <row r="159" spans="1:3" x14ac:dyDescent="0.2">
      <c r="A159" s="262" t="s">
        <v>388</v>
      </c>
      <c r="B159" s="284">
        <v>55</v>
      </c>
      <c r="C159" s="262" t="s">
        <v>26</v>
      </c>
    </row>
    <row r="160" spans="1:3" x14ac:dyDescent="0.2">
      <c r="A160" s="262" t="s">
        <v>389</v>
      </c>
      <c r="B160" s="283">
        <v>15</v>
      </c>
      <c r="C160" s="263" t="s">
        <v>224</v>
      </c>
    </row>
    <row r="161" spans="1:3" x14ac:dyDescent="0.2">
      <c r="A161" s="262" t="s">
        <v>390</v>
      </c>
      <c r="B161" s="283">
        <v>15</v>
      </c>
      <c r="C161" s="263" t="s">
        <v>224</v>
      </c>
    </row>
    <row r="162" spans="1:3" x14ac:dyDescent="0.2">
      <c r="A162" s="262" t="s">
        <v>396</v>
      </c>
      <c r="B162" s="283">
        <v>15</v>
      </c>
      <c r="C162" s="263" t="s">
        <v>224</v>
      </c>
    </row>
    <row r="163" spans="1:3" x14ac:dyDescent="0.2">
      <c r="A163" s="249" t="s">
        <v>393</v>
      </c>
      <c r="B163" s="283">
        <v>2</v>
      </c>
      <c r="C163" s="267" t="s">
        <v>395</v>
      </c>
    </row>
    <row r="164" spans="1:3" x14ac:dyDescent="0.2">
      <c r="A164" s="249" t="s">
        <v>394</v>
      </c>
      <c r="B164" s="283">
        <v>2</v>
      </c>
      <c r="C164" s="267" t="s">
        <v>395</v>
      </c>
    </row>
    <row r="165" spans="1:3" x14ac:dyDescent="0.2">
      <c r="A165" s="262" t="s">
        <v>391</v>
      </c>
      <c r="B165" s="283">
        <v>12.167999999999999</v>
      </c>
      <c r="C165" s="263" t="s">
        <v>224</v>
      </c>
    </row>
    <row r="166" spans="1:3" x14ac:dyDescent="0.2">
      <c r="A166" s="262" t="s">
        <v>392</v>
      </c>
      <c r="B166" s="283">
        <v>10.007999999999999</v>
      </c>
      <c r="C166" s="263" t="s">
        <v>224</v>
      </c>
    </row>
    <row r="167" spans="1:3" x14ac:dyDescent="0.2">
      <c r="A167" s="262" t="s">
        <v>397</v>
      </c>
      <c r="B167" s="283">
        <v>2</v>
      </c>
      <c r="C167" s="267" t="s">
        <v>166</v>
      </c>
    </row>
    <row r="168" spans="1:3" x14ac:dyDescent="0.2">
      <c r="A168" s="262" t="s">
        <v>398</v>
      </c>
      <c r="B168" s="283">
        <v>2</v>
      </c>
      <c r="C168" s="267" t="s">
        <v>166</v>
      </c>
    </row>
    <row r="169" spans="1:3" x14ac:dyDescent="0.2">
      <c r="A169" s="262" t="s">
        <v>103</v>
      </c>
      <c r="B169" s="283">
        <v>0.4</v>
      </c>
      <c r="C169" s="247"/>
    </row>
    <row r="170" spans="1:3" x14ac:dyDescent="0.2">
      <c r="A170" s="262" t="s">
        <v>158</v>
      </c>
      <c r="B170" s="283">
        <v>0.4</v>
      </c>
      <c r="C170" s="247"/>
    </row>
    <row r="171" spans="1:3" x14ac:dyDescent="0.2">
      <c r="A171" s="262" t="s">
        <v>159</v>
      </c>
      <c r="B171" s="282">
        <f>B3</f>
        <v>0.124</v>
      </c>
      <c r="C171" s="247"/>
    </row>
    <row r="172" spans="1:3" x14ac:dyDescent="0.2">
      <c r="A172" s="262" t="s">
        <v>62</v>
      </c>
      <c r="B172" s="282">
        <f>B4</f>
        <v>0.79200000000000004</v>
      </c>
      <c r="C172" s="247"/>
    </row>
    <row r="173" spans="1:3" x14ac:dyDescent="0.2">
      <c r="A173" s="262" t="s">
        <v>255</v>
      </c>
      <c r="B173" s="284">
        <v>2</v>
      </c>
      <c r="C173" s="247"/>
    </row>
    <row r="174" spans="1:3" x14ac:dyDescent="0.2">
      <c r="A174" s="267" t="s">
        <v>399</v>
      </c>
      <c r="B174" s="283">
        <v>2</v>
      </c>
      <c r="C174" s="247"/>
    </row>
    <row r="175" spans="1:3" x14ac:dyDescent="0.2">
      <c r="A175" s="267" t="s">
        <v>400</v>
      </c>
      <c r="B175" s="283">
        <v>2</v>
      </c>
      <c r="C175" s="247"/>
    </row>
    <row r="176" spans="1:3" x14ac:dyDescent="0.2">
      <c r="A176" s="267" t="s">
        <v>401</v>
      </c>
      <c r="B176" s="283">
        <v>2</v>
      </c>
      <c r="C176" s="247"/>
    </row>
    <row r="177" spans="1:3" x14ac:dyDescent="0.2">
      <c r="A177" s="267" t="s">
        <v>402</v>
      </c>
      <c r="B177" s="283">
        <v>2</v>
      </c>
      <c r="C177" s="247"/>
    </row>
    <row r="178" spans="1:3" x14ac:dyDescent="0.2">
      <c r="A178" s="267" t="s">
        <v>403</v>
      </c>
      <c r="B178" s="283">
        <v>2</v>
      </c>
      <c r="C178" s="247"/>
    </row>
    <row r="179" spans="1:3" x14ac:dyDescent="0.2">
      <c r="A179" s="267" t="s">
        <v>404</v>
      </c>
      <c r="B179" s="283">
        <v>2</v>
      </c>
      <c r="C179" s="247"/>
    </row>
    <row r="180" spans="1:3" x14ac:dyDescent="0.2">
      <c r="A180" s="267" t="s">
        <v>405</v>
      </c>
      <c r="B180" s="284">
        <v>2</v>
      </c>
      <c r="C180" s="247"/>
    </row>
    <row r="181" spans="1:3" x14ac:dyDescent="0.2">
      <c r="A181" s="262" t="s">
        <v>41</v>
      </c>
      <c r="B181" s="284">
        <v>3.62</v>
      </c>
      <c r="C181" s="249" t="s">
        <v>42</v>
      </c>
    </row>
    <row r="182" spans="1:3" x14ac:dyDescent="0.2">
      <c r="A182" s="262" t="s">
        <v>46</v>
      </c>
      <c r="B182" s="284">
        <v>0.25</v>
      </c>
      <c r="C182" s="249" t="s">
        <v>47</v>
      </c>
    </row>
    <row r="183" spans="1:3" x14ac:dyDescent="0.2">
      <c r="A183" s="267" t="s">
        <v>60</v>
      </c>
      <c r="B183" s="284">
        <v>10950</v>
      </c>
      <c r="C183" s="249" t="s">
        <v>61</v>
      </c>
    </row>
    <row r="184" spans="1:3" x14ac:dyDescent="0.2">
      <c r="A184" s="267" t="s">
        <v>65</v>
      </c>
      <c r="B184" s="284">
        <v>240</v>
      </c>
      <c r="C184" s="249" t="s">
        <v>66</v>
      </c>
    </row>
    <row r="185" spans="1:3" x14ac:dyDescent="0.2">
      <c r="A185" s="267" t="s">
        <v>76</v>
      </c>
      <c r="B185" s="284">
        <v>0.42</v>
      </c>
      <c r="C185" s="249" t="s">
        <v>47</v>
      </c>
    </row>
    <row r="186" spans="1:3" x14ac:dyDescent="0.2">
      <c r="A186" s="267" t="s">
        <v>85</v>
      </c>
      <c r="B186" s="284">
        <v>60</v>
      </c>
      <c r="C186" s="262" t="s">
        <v>61</v>
      </c>
    </row>
    <row r="187" spans="1:3" x14ac:dyDescent="0.2">
      <c r="A187" s="267" t="s">
        <v>87</v>
      </c>
      <c r="B187" s="284">
        <v>2</v>
      </c>
      <c r="C187" s="262" t="s">
        <v>66</v>
      </c>
    </row>
    <row r="188" spans="1:3" x14ac:dyDescent="0.2">
      <c r="A188" s="267" t="s">
        <v>89</v>
      </c>
      <c r="B188" s="284">
        <v>2.6999999999999999E-5</v>
      </c>
      <c r="C188" s="249" t="s">
        <v>82</v>
      </c>
    </row>
    <row r="189" spans="1:3" x14ac:dyDescent="0.2">
      <c r="A189" s="267" t="s">
        <v>91</v>
      </c>
      <c r="B189" s="284">
        <v>1</v>
      </c>
      <c r="C189" s="249" t="s">
        <v>47</v>
      </c>
    </row>
    <row r="190" spans="1:3" x14ac:dyDescent="0.2">
      <c r="A190" s="267" t="s">
        <v>92</v>
      </c>
      <c r="B190" s="284">
        <v>14</v>
      </c>
      <c r="C190" s="249" t="s">
        <v>93</v>
      </c>
    </row>
    <row r="191" spans="1:3" x14ac:dyDescent="0.2">
      <c r="A191" s="262" t="s">
        <v>29</v>
      </c>
      <c r="B191" s="284">
        <v>92</v>
      </c>
      <c r="C191" s="262" t="s">
        <v>30</v>
      </c>
    </row>
    <row r="192" spans="1:3" x14ac:dyDescent="0.2">
      <c r="A192" s="249" t="s">
        <v>287</v>
      </c>
      <c r="B192" s="283">
        <v>1.03</v>
      </c>
      <c r="C192" s="249" t="s">
        <v>288</v>
      </c>
    </row>
    <row r="193" spans="1:3" x14ac:dyDescent="0.2">
      <c r="A193" s="262" t="s">
        <v>406</v>
      </c>
      <c r="B193" s="284">
        <v>20.3</v>
      </c>
      <c r="C193" s="249" t="s">
        <v>283</v>
      </c>
    </row>
    <row r="194" spans="1:3" x14ac:dyDescent="0.2">
      <c r="A194" s="262" t="s">
        <v>407</v>
      </c>
      <c r="B194" s="284">
        <v>0.4</v>
      </c>
      <c r="C194" s="249" t="s">
        <v>283</v>
      </c>
    </row>
    <row r="195" spans="1:3" x14ac:dyDescent="0.2">
      <c r="A195" s="262" t="s">
        <v>408</v>
      </c>
      <c r="B195" s="284">
        <v>1</v>
      </c>
      <c r="C195" s="247"/>
    </row>
    <row r="196" spans="1:3" x14ac:dyDescent="0.2">
      <c r="A196" s="262" t="s">
        <v>409</v>
      </c>
      <c r="B196" s="284">
        <v>1</v>
      </c>
      <c r="C196" s="247"/>
    </row>
    <row r="197" spans="1:3" x14ac:dyDescent="0.2">
      <c r="A197" s="262" t="s">
        <v>31</v>
      </c>
      <c r="B197" s="284">
        <v>53</v>
      </c>
      <c r="C197" s="262" t="s">
        <v>30</v>
      </c>
    </row>
    <row r="198" spans="1:3" x14ac:dyDescent="0.2">
      <c r="A198" s="262" t="s">
        <v>410</v>
      </c>
      <c r="B198" s="284">
        <v>11.77</v>
      </c>
      <c r="C198" s="249" t="s">
        <v>283</v>
      </c>
    </row>
    <row r="199" spans="1:3" x14ac:dyDescent="0.2">
      <c r="A199" s="262" t="s">
        <v>411</v>
      </c>
      <c r="B199" s="284">
        <v>0.5</v>
      </c>
      <c r="C199" s="249" t="s">
        <v>283</v>
      </c>
    </row>
    <row r="200" spans="1:3" x14ac:dyDescent="0.2">
      <c r="A200" s="262" t="s">
        <v>412</v>
      </c>
      <c r="B200" s="284">
        <v>1</v>
      </c>
      <c r="C200" s="247"/>
    </row>
    <row r="201" spans="1:3" x14ac:dyDescent="0.2">
      <c r="A201" s="262" t="s">
        <v>413</v>
      </c>
      <c r="B201" s="284">
        <v>1</v>
      </c>
      <c r="C201" s="247"/>
    </row>
    <row r="202" spans="1:3" x14ac:dyDescent="0.2">
      <c r="A202" s="262" t="s">
        <v>173</v>
      </c>
      <c r="B202" s="283">
        <v>0.4</v>
      </c>
      <c r="C202" s="262" t="s">
        <v>30</v>
      </c>
    </row>
    <row r="203" spans="1:3" x14ac:dyDescent="0.2">
      <c r="A203" s="262" t="s">
        <v>177</v>
      </c>
      <c r="B203" s="284">
        <v>0.2</v>
      </c>
      <c r="C203" s="249" t="s">
        <v>283</v>
      </c>
    </row>
    <row r="204" spans="1:3" x14ac:dyDescent="0.2">
      <c r="A204" s="262" t="s">
        <v>176</v>
      </c>
      <c r="B204" s="284">
        <v>2.1999999999999999E-2</v>
      </c>
      <c r="C204" s="249" t="s">
        <v>283</v>
      </c>
    </row>
    <row r="205" spans="1:3" x14ac:dyDescent="0.2">
      <c r="A205" s="262" t="s">
        <v>178</v>
      </c>
      <c r="B205" s="283">
        <v>1</v>
      </c>
      <c r="C205" s="247"/>
    </row>
    <row r="206" spans="1:3" x14ac:dyDescent="0.2">
      <c r="A206" s="262" t="s">
        <v>179</v>
      </c>
      <c r="B206" s="283">
        <v>1</v>
      </c>
      <c r="C206" s="247"/>
    </row>
    <row r="207" spans="1:3" x14ac:dyDescent="0.2">
      <c r="A207" s="262" t="s">
        <v>414</v>
      </c>
      <c r="B207" s="283">
        <v>0.4</v>
      </c>
      <c r="C207" s="262" t="s">
        <v>30</v>
      </c>
    </row>
    <row r="208" spans="1:3" x14ac:dyDescent="0.2">
      <c r="A208" s="262" t="s">
        <v>415</v>
      </c>
      <c r="B208" s="284">
        <v>0.2</v>
      </c>
      <c r="C208" s="249" t="s">
        <v>283</v>
      </c>
    </row>
    <row r="209" spans="1:3" x14ac:dyDescent="0.2">
      <c r="A209" s="262" t="s">
        <v>416</v>
      </c>
      <c r="B209" s="284">
        <v>2.1999999999999999E-2</v>
      </c>
      <c r="C209" s="249" t="s">
        <v>283</v>
      </c>
    </row>
    <row r="210" spans="1:3" x14ac:dyDescent="0.2">
      <c r="A210" s="262" t="s">
        <v>417</v>
      </c>
      <c r="B210" s="284">
        <v>1</v>
      </c>
      <c r="C210" s="247"/>
    </row>
    <row r="211" spans="1:3" x14ac:dyDescent="0.2">
      <c r="A211" s="262" t="s">
        <v>418</v>
      </c>
      <c r="B211" s="284">
        <v>1</v>
      </c>
      <c r="C211" s="247"/>
    </row>
    <row r="212" spans="1:3" x14ac:dyDescent="0.2">
      <c r="A212" s="262" t="s">
        <v>174</v>
      </c>
      <c r="B212" s="284">
        <v>11.4</v>
      </c>
      <c r="C212" s="262" t="s">
        <v>30</v>
      </c>
    </row>
    <row r="213" spans="1:3" x14ac:dyDescent="0.2">
      <c r="A213" s="262" t="s">
        <v>419</v>
      </c>
      <c r="B213" s="284">
        <v>4.7</v>
      </c>
      <c r="C213" s="249" t="s">
        <v>283</v>
      </c>
    </row>
    <row r="214" spans="1:3" x14ac:dyDescent="0.2">
      <c r="A214" s="262" t="s">
        <v>420</v>
      </c>
      <c r="B214" s="284">
        <v>0.37</v>
      </c>
      <c r="C214" s="249" t="s">
        <v>283</v>
      </c>
    </row>
    <row r="215" spans="1:3" x14ac:dyDescent="0.2">
      <c r="A215" s="262" t="s">
        <v>421</v>
      </c>
      <c r="B215" s="284">
        <v>1</v>
      </c>
      <c r="C215" s="247"/>
    </row>
    <row r="216" spans="1:3" x14ac:dyDescent="0.2">
      <c r="A216" s="262" t="s">
        <v>422</v>
      </c>
      <c r="B216" s="284">
        <v>1</v>
      </c>
      <c r="C216" s="247"/>
    </row>
    <row r="217" spans="1:3" x14ac:dyDescent="0.2">
      <c r="A217" s="249" t="s">
        <v>83</v>
      </c>
      <c r="B217" s="284">
        <v>0.5</v>
      </c>
    </row>
    <row r="218" spans="1:3" x14ac:dyDescent="0.2">
      <c r="A218" s="558" t="s">
        <v>423</v>
      </c>
      <c r="B218" s="558"/>
      <c r="C218" s="558"/>
    </row>
    <row r="219" spans="1:3" x14ac:dyDescent="0.2">
      <c r="A219" s="249" t="s">
        <v>424</v>
      </c>
      <c r="B219" s="283">
        <v>55</v>
      </c>
      <c r="C219" s="263" t="s">
        <v>359</v>
      </c>
    </row>
    <row r="220" spans="1:3" x14ac:dyDescent="0.2">
      <c r="A220" s="262" t="s">
        <v>425</v>
      </c>
      <c r="B220" s="283">
        <v>55</v>
      </c>
      <c r="C220" s="249" t="s">
        <v>26</v>
      </c>
    </row>
    <row r="221" spans="1:3" x14ac:dyDescent="0.2">
      <c r="A221" s="262" t="s">
        <v>75</v>
      </c>
      <c r="B221" s="284">
        <v>5</v>
      </c>
      <c r="C221" s="249" t="s">
        <v>69</v>
      </c>
    </row>
    <row r="222" spans="1:3" x14ac:dyDescent="0.2">
      <c r="A222" s="262" t="s">
        <v>426</v>
      </c>
      <c r="B222" s="283">
        <v>55</v>
      </c>
      <c r="C222" s="263" t="s">
        <v>54</v>
      </c>
    </row>
    <row r="223" spans="1:3" x14ac:dyDescent="0.2">
      <c r="A223" s="249" t="s">
        <v>353</v>
      </c>
      <c r="B223" s="284">
        <v>1</v>
      </c>
      <c r="C223" s="247"/>
    </row>
    <row r="224" spans="1:3" x14ac:dyDescent="0.2">
      <c r="A224" s="262" t="s">
        <v>56</v>
      </c>
      <c r="B224" s="284">
        <v>1</v>
      </c>
      <c r="C224" s="247"/>
    </row>
    <row r="225" spans="1:3" x14ac:dyDescent="0.2">
      <c r="A225" s="262" t="s">
        <v>52</v>
      </c>
      <c r="B225" s="284">
        <v>0.4</v>
      </c>
      <c r="C225" s="247"/>
    </row>
    <row r="226" spans="1:3" x14ac:dyDescent="0.2">
      <c r="A226" s="262" t="s">
        <v>62</v>
      </c>
      <c r="B226" s="284">
        <v>1</v>
      </c>
      <c r="C226" s="247"/>
    </row>
    <row r="227" spans="1:3" x14ac:dyDescent="0.2">
      <c r="A227" s="262" t="s">
        <v>467</v>
      </c>
      <c r="B227" s="283">
        <v>2</v>
      </c>
      <c r="C227" s="249" t="s">
        <v>224</v>
      </c>
    </row>
    <row r="228" spans="1:3" x14ac:dyDescent="0.2">
      <c r="A228" s="262" t="s">
        <v>468</v>
      </c>
      <c r="B228" s="283">
        <v>3</v>
      </c>
      <c r="C228" s="249" t="s">
        <v>224</v>
      </c>
    </row>
    <row r="229" spans="1:3" x14ac:dyDescent="0.2">
      <c r="A229" s="262" t="s">
        <v>103</v>
      </c>
      <c r="B229" s="283">
        <v>0.4</v>
      </c>
      <c r="C229" s="247"/>
    </row>
    <row r="230" spans="1:3" x14ac:dyDescent="0.2">
      <c r="A230" s="558" t="s">
        <v>427</v>
      </c>
      <c r="B230" s="558"/>
      <c r="C230" s="558"/>
    </row>
    <row r="231" spans="1:3" x14ac:dyDescent="0.2">
      <c r="A231" s="249" t="s">
        <v>428</v>
      </c>
      <c r="B231" s="283">
        <v>55</v>
      </c>
      <c r="C231" s="263" t="s">
        <v>359</v>
      </c>
    </row>
    <row r="232" spans="1:3" x14ac:dyDescent="0.2">
      <c r="A232" s="262" t="s">
        <v>40</v>
      </c>
      <c r="B232" s="283">
        <v>55</v>
      </c>
      <c r="C232" s="249" t="s">
        <v>26</v>
      </c>
    </row>
    <row r="233" spans="1:3" x14ac:dyDescent="0.2">
      <c r="A233" s="262" t="s">
        <v>429</v>
      </c>
      <c r="B233" s="284">
        <v>5</v>
      </c>
      <c r="C233" s="249" t="s">
        <v>69</v>
      </c>
    </row>
    <row r="234" spans="1:3" x14ac:dyDescent="0.2">
      <c r="A234" s="262" t="s">
        <v>79</v>
      </c>
      <c r="B234" s="283">
        <v>55</v>
      </c>
      <c r="C234" s="263" t="s">
        <v>54</v>
      </c>
    </row>
    <row r="235" spans="1:3" x14ac:dyDescent="0.2">
      <c r="A235" s="249" t="s">
        <v>353</v>
      </c>
      <c r="B235" s="284">
        <v>1</v>
      </c>
      <c r="C235" s="247"/>
    </row>
    <row r="236" spans="1:3" x14ac:dyDescent="0.2">
      <c r="A236" s="262" t="s">
        <v>56</v>
      </c>
      <c r="B236" s="284">
        <v>1</v>
      </c>
      <c r="C236" s="247"/>
    </row>
    <row r="237" spans="1:3" x14ac:dyDescent="0.2">
      <c r="A237" s="262" t="s">
        <v>52</v>
      </c>
      <c r="B237" s="284">
        <v>0.4</v>
      </c>
      <c r="C237" s="247"/>
    </row>
    <row r="238" spans="1:3" x14ac:dyDescent="0.2">
      <c r="A238" s="262" t="s">
        <v>62</v>
      </c>
      <c r="B238" s="284">
        <v>1</v>
      </c>
      <c r="C238" s="247"/>
    </row>
    <row r="239" spans="1:3" x14ac:dyDescent="0.2">
      <c r="A239" s="262" t="s">
        <v>469</v>
      </c>
      <c r="B239" s="283">
        <v>0</v>
      </c>
      <c r="C239" s="249" t="s">
        <v>224</v>
      </c>
    </row>
    <row r="240" spans="1:3" x14ac:dyDescent="0.2">
      <c r="A240" s="262" t="s">
        <v>470</v>
      </c>
      <c r="B240" s="283">
        <v>5</v>
      </c>
      <c r="C240" s="249" t="s">
        <v>224</v>
      </c>
    </row>
    <row r="241" spans="1:3" x14ac:dyDescent="0.2">
      <c r="A241" s="262" t="s">
        <v>103</v>
      </c>
      <c r="B241" s="283">
        <v>0.4</v>
      </c>
      <c r="C241" s="247"/>
    </row>
    <row r="242" spans="1:3" x14ac:dyDescent="0.2">
      <c r="A242" s="558" t="s">
        <v>430</v>
      </c>
      <c r="B242" s="558"/>
      <c r="C242" s="558"/>
    </row>
    <row r="243" spans="1:3" x14ac:dyDescent="0.2">
      <c r="A243" s="249" t="s">
        <v>58</v>
      </c>
      <c r="B243" s="283">
        <v>55</v>
      </c>
      <c r="C243" s="263" t="s">
        <v>359</v>
      </c>
    </row>
    <row r="244" spans="1:3" x14ac:dyDescent="0.2">
      <c r="A244" s="262" t="s">
        <v>431</v>
      </c>
      <c r="B244" s="283">
        <v>55</v>
      </c>
      <c r="C244" s="249" t="s">
        <v>26</v>
      </c>
    </row>
    <row r="245" spans="1:3" x14ac:dyDescent="0.2">
      <c r="A245" s="262" t="s">
        <v>432</v>
      </c>
      <c r="B245" s="284">
        <v>5</v>
      </c>
      <c r="C245" s="249" t="s">
        <v>69</v>
      </c>
    </row>
    <row r="246" spans="1:3" x14ac:dyDescent="0.2">
      <c r="A246" s="262" t="s">
        <v>433</v>
      </c>
      <c r="B246" s="283">
        <v>55</v>
      </c>
      <c r="C246" s="263" t="s">
        <v>54</v>
      </c>
    </row>
    <row r="247" spans="1:3" x14ac:dyDescent="0.2">
      <c r="A247" s="249" t="s">
        <v>353</v>
      </c>
      <c r="B247" s="284">
        <v>1</v>
      </c>
      <c r="C247" s="247"/>
    </row>
    <row r="248" spans="1:3" x14ac:dyDescent="0.2">
      <c r="A248" s="262" t="s">
        <v>56</v>
      </c>
      <c r="B248" s="284">
        <v>1</v>
      </c>
      <c r="C248" s="247"/>
    </row>
    <row r="249" spans="1:3" x14ac:dyDescent="0.2">
      <c r="A249" s="262" t="s">
        <v>52</v>
      </c>
      <c r="B249" s="284">
        <v>0.4</v>
      </c>
      <c r="C249" s="247"/>
    </row>
    <row r="250" spans="1:3" x14ac:dyDescent="0.2">
      <c r="A250" s="262" t="s">
        <v>62</v>
      </c>
      <c r="B250" s="284">
        <v>1</v>
      </c>
      <c r="C250" s="247"/>
    </row>
    <row r="251" spans="1:3" x14ac:dyDescent="0.2">
      <c r="A251" s="262" t="s">
        <v>466</v>
      </c>
      <c r="B251" s="283">
        <v>5</v>
      </c>
      <c r="C251" s="249" t="s">
        <v>224</v>
      </c>
    </row>
    <row r="252" spans="1:3" x14ac:dyDescent="0.2">
      <c r="A252" s="262" t="s">
        <v>465</v>
      </c>
      <c r="B252" s="283">
        <v>0</v>
      </c>
      <c r="C252" s="249" t="s">
        <v>224</v>
      </c>
    </row>
    <row r="253" spans="1:3" x14ac:dyDescent="0.2">
      <c r="A253" s="262" t="s">
        <v>103</v>
      </c>
      <c r="B253" s="283">
        <v>0.4</v>
      </c>
      <c r="C253" s="247"/>
    </row>
    <row r="254" spans="1:3" x14ac:dyDescent="0.2">
      <c r="A254" s="558" t="s">
        <v>434</v>
      </c>
      <c r="B254" s="558"/>
      <c r="C254" s="558"/>
    </row>
    <row r="255" spans="1:3" x14ac:dyDescent="0.2">
      <c r="A255" s="249" t="s">
        <v>435</v>
      </c>
      <c r="B255" s="283">
        <v>55</v>
      </c>
      <c r="C255" s="263" t="s">
        <v>359</v>
      </c>
    </row>
    <row r="256" spans="1:3" x14ac:dyDescent="0.2">
      <c r="A256" s="262" t="s">
        <v>221</v>
      </c>
      <c r="B256" s="283">
        <v>55</v>
      </c>
      <c r="C256" s="249" t="s">
        <v>26</v>
      </c>
    </row>
    <row r="257" spans="1:3" x14ac:dyDescent="0.2">
      <c r="A257" s="262" t="s">
        <v>186</v>
      </c>
      <c r="B257" s="284">
        <v>5</v>
      </c>
      <c r="C257" s="249" t="s">
        <v>69</v>
      </c>
    </row>
    <row r="258" spans="1:3" x14ac:dyDescent="0.2">
      <c r="A258" s="262" t="s">
        <v>436</v>
      </c>
      <c r="B258" s="283">
        <v>55</v>
      </c>
      <c r="C258" s="263" t="s">
        <v>54</v>
      </c>
    </row>
    <row r="259" spans="1:3" x14ac:dyDescent="0.2">
      <c r="A259" s="249" t="s">
        <v>353</v>
      </c>
      <c r="B259" s="284">
        <v>1</v>
      </c>
      <c r="C259" s="247"/>
    </row>
    <row r="260" spans="1:3" x14ac:dyDescent="0.2">
      <c r="A260" s="262" t="s">
        <v>56</v>
      </c>
      <c r="B260" s="284">
        <v>1</v>
      </c>
      <c r="C260" s="247"/>
    </row>
    <row r="261" spans="1:3" x14ac:dyDescent="0.2">
      <c r="A261" s="262" t="s">
        <v>52</v>
      </c>
      <c r="B261" s="284">
        <v>0.4</v>
      </c>
      <c r="C261" s="247"/>
    </row>
    <row r="262" spans="1:3" x14ac:dyDescent="0.2">
      <c r="A262" s="262" t="s">
        <v>62</v>
      </c>
      <c r="B262" s="284">
        <v>1</v>
      </c>
      <c r="C262" s="247"/>
    </row>
    <row r="263" spans="1:3" x14ac:dyDescent="0.2">
      <c r="A263" s="262" t="s">
        <v>471</v>
      </c>
      <c r="B263" s="283">
        <v>5</v>
      </c>
      <c r="C263" s="249" t="s">
        <v>224</v>
      </c>
    </row>
    <row r="264" spans="1:3" x14ac:dyDescent="0.2">
      <c r="A264" s="262" t="s">
        <v>472</v>
      </c>
      <c r="B264" s="283">
        <v>0</v>
      </c>
      <c r="C264" s="249" t="s">
        <v>224</v>
      </c>
    </row>
    <row r="265" spans="1:3" x14ac:dyDescent="0.2">
      <c r="A265" s="262" t="s">
        <v>103</v>
      </c>
      <c r="B265" s="283">
        <v>0.4</v>
      </c>
      <c r="C265" s="247"/>
    </row>
    <row r="266" spans="1:3" x14ac:dyDescent="0.2">
      <c r="A266" s="262" t="s">
        <v>220</v>
      </c>
      <c r="B266" s="283">
        <v>5</v>
      </c>
      <c r="C266" s="249" t="s">
        <v>129</v>
      </c>
    </row>
    <row r="267" spans="1:3" x14ac:dyDescent="0.2">
      <c r="A267" s="262" t="s">
        <v>219</v>
      </c>
      <c r="B267" s="283">
        <v>11</v>
      </c>
      <c r="C267" s="249" t="s">
        <v>130</v>
      </c>
    </row>
    <row r="268" spans="1:3" x14ac:dyDescent="0.2">
      <c r="A268" s="558" t="s">
        <v>437</v>
      </c>
      <c r="B268" s="558"/>
      <c r="C268" s="558"/>
    </row>
    <row r="269" spans="1:3" x14ac:dyDescent="0.2">
      <c r="A269" s="249" t="s">
        <v>435</v>
      </c>
      <c r="B269" s="283">
        <v>55</v>
      </c>
      <c r="C269" s="263" t="s">
        <v>359</v>
      </c>
    </row>
    <row r="270" spans="1:3" x14ac:dyDescent="0.2">
      <c r="A270" s="262" t="s">
        <v>221</v>
      </c>
      <c r="B270" s="283">
        <v>55</v>
      </c>
      <c r="C270" s="249" t="s">
        <v>26</v>
      </c>
    </row>
    <row r="271" spans="1:3" x14ac:dyDescent="0.2">
      <c r="A271" s="262" t="s">
        <v>186</v>
      </c>
      <c r="B271" s="284">
        <v>5</v>
      </c>
      <c r="C271" s="249" t="s">
        <v>69</v>
      </c>
    </row>
    <row r="272" spans="1:3" x14ac:dyDescent="0.2">
      <c r="A272" s="262" t="s">
        <v>436</v>
      </c>
      <c r="B272" s="283">
        <v>55</v>
      </c>
      <c r="C272" s="263" t="s">
        <v>54</v>
      </c>
    </row>
    <row r="273" spans="1:3" x14ac:dyDescent="0.2">
      <c r="A273" s="262" t="s">
        <v>56</v>
      </c>
      <c r="B273" s="284">
        <v>1</v>
      </c>
      <c r="C273" s="247"/>
    </row>
    <row r="274" spans="1:3" x14ac:dyDescent="0.2">
      <c r="A274" s="262" t="s">
        <v>52</v>
      </c>
      <c r="B274" s="284">
        <v>0.4</v>
      </c>
      <c r="C274" s="247"/>
    </row>
    <row r="275" spans="1:3" x14ac:dyDescent="0.2">
      <c r="A275" s="262" t="s">
        <v>62</v>
      </c>
      <c r="B275" s="284">
        <v>1</v>
      </c>
      <c r="C275" s="247"/>
    </row>
    <row r="276" spans="1:3" x14ac:dyDescent="0.2">
      <c r="A276" s="262" t="s">
        <v>471</v>
      </c>
      <c r="B276" s="283">
        <v>5</v>
      </c>
      <c r="C276" s="249" t="s">
        <v>224</v>
      </c>
    </row>
    <row r="277" spans="1:3" x14ac:dyDescent="0.2">
      <c r="A277" s="262" t="s">
        <v>472</v>
      </c>
      <c r="B277" s="283">
        <v>0</v>
      </c>
      <c r="C277" s="249" t="s">
        <v>224</v>
      </c>
    </row>
    <row r="278" spans="1:3" x14ac:dyDescent="0.2">
      <c r="A278" s="262" t="s">
        <v>103</v>
      </c>
      <c r="B278" s="283">
        <v>0.4</v>
      </c>
      <c r="C278" s="247"/>
    </row>
    <row r="279" spans="1:3" x14ac:dyDescent="0.2">
      <c r="A279" s="262" t="s">
        <v>220</v>
      </c>
      <c r="B279" s="283">
        <v>5</v>
      </c>
      <c r="C279" s="249" t="s">
        <v>129</v>
      </c>
    </row>
    <row r="280" spans="1:3" x14ac:dyDescent="0.2">
      <c r="A280" s="262" t="s">
        <v>219</v>
      </c>
      <c r="B280" s="283">
        <v>11</v>
      </c>
      <c r="C280" s="249" t="s">
        <v>130</v>
      </c>
    </row>
    <row r="281" spans="1:3" x14ac:dyDescent="0.2">
      <c r="A281" s="663" t="s">
        <v>576</v>
      </c>
      <c r="B281" s="663"/>
      <c r="C281" s="663"/>
    </row>
    <row r="282" spans="1:3" x14ac:dyDescent="0.2">
      <c r="A282" s="263" t="s">
        <v>577</v>
      </c>
      <c r="B282" s="283">
        <v>2</v>
      </c>
    </row>
    <row r="283" spans="1:3" x14ac:dyDescent="0.2">
      <c r="A283" s="249" t="s">
        <v>100</v>
      </c>
      <c r="B283" s="283">
        <v>0.6</v>
      </c>
    </row>
    <row r="284" spans="1:3" x14ac:dyDescent="0.2">
      <c r="A284" s="249" t="s">
        <v>107</v>
      </c>
      <c r="B284" s="283">
        <v>20</v>
      </c>
      <c r="C284" s="249" t="s">
        <v>69</v>
      </c>
    </row>
    <row r="285" spans="1:3" x14ac:dyDescent="0.2">
      <c r="A285" s="263" t="s">
        <v>39</v>
      </c>
      <c r="B285" s="283">
        <v>50</v>
      </c>
      <c r="C285" s="249" t="s">
        <v>69</v>
      </c>
    </row>
    <row r="286" spans="1:3" x14ac:dyDescent="0.2">
      <c r="A286" s="263" t="s">
        <v>83</v>
      </c>
      <c r="B286" s="283">
        <v>2</v>
      </c>
      <c r="C286" s="249" t="s">
        <v>582</v>
      </c>
    </row>
    <row r="287" spans="1:3" x14ac:dyDescent="0.2">
      <c r="A287" s="249" t="s">
        <v>109</v>
      </c>
      <c r="B287" s="283">
        <v>2</v>
      </c>
      <c r="C287" s="249" t="s">
        <v>110</v>
      </c>
    </row>
    <row r="288" spans="1:3" x14ac:dyDescent="0.2">
      <c r="A288" s="249" t="s">
        <v>114</v>
      </c>
      <c r="B288" s="283">
        <v>0.36</v>
      </c>
      <c r="C288" s="249" t="s">
        <v>582</v>
      </c>
    </row>
    <row r="289" spans="1:3" x14ac:dyDescent="0.2">
      <c r="A289" s="249" t="s">
        <v>116</v>
      </c>
      <c r="B289" s="283">
        <v>2</v>
      </c>
      <c r="C289" s="249" t="s">
        <v>113</v>
      </c>
    </row>
    <row r="290" spans="1:3" x14ac:dyDescent="0.2">
      <c r="A290" s="249" t="s">
        <v>118</v>
      </c>
      <c r="B290" s="283">
        <v>2</v>
      </c>
      <c r="C290" s="249" t="s">
        <v>113</v>
      </c>
    </row>
    <row r="291" spans="1:3" x14ac:dyDescent="0.2">
      <c r="A291" s="249" t="s">
        <v>119</v>
      </c>
      <c r="B291" s="283">
        <v>2</v>
      </c>
      <c r="C291" s="249" t="s">
        <v>113</v>
      </c>
    </row>
    <row r="293" spans="1:3" x14ac:dyDescent="0.2">
      <c r="A293" s="263" t="s">
        <v>315</v>
      </c>
      <c r="B293" s="284">
        <v>241</v>
      </c>
    </row>
    <row r="294" spans="1:3" x14ac:dyDescent="0.2">
      <c r="A294" s="266" t="s">
        <v>310</v>
      </c>
      <c r="B294" s="284">
        <v>2.8000000000000002E-12</v>
      </c>
    </row>
    <row r="295" spans="1:3" x14ac:dyDescent="0.2">
      <c r="A295" s="266" t="s">
        <v>310</v>
      </c>
      <c r="B295" s="284">
        <v>2.8000000000000001E-15</v>
      </c>
    </row>
  </sheetData>
  <mergeCells count="335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B18:CD18"/>
    <mergeCell ref="CE18:CG18"/>
    <mergeCell ref="CK18:CM18"/>
    <mergeCell ref="CN18:CP18"/>
    <mergeCell ref="CO19:CO21"/>
    <mergeCell ref="CP19:CP21"/>
    <mergeCell ref="CQ18:CS18"/>
    <mergeCell ref="GY2:GY4"/>
    <mergeCell ref="GZ2:GZ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C2:BC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T2:T4"/>
    <mergeCell ref="U2:U4"/>
    <mergeCell ref="AC2:AC4"/>
    <mergeCell ref="AN2:AN4"/>
    <mergeCell ref="AO2:AO4"/>
    <mergeCell ref="AP2:AP4"/>
    <mergeCell ref="AQ2:AQ4"/>
    <mergeCell ref="AR2:AR4"/>
    <mergeCell ref="AI2:AI4"/>
    <mergeCell ref="AJ2:AJ4"/>
    <mergeCell ref="AK2:AK4"/>
    <mergeCell ref="AL2:AL4"/>
    <mergeCell ref="AM2:AM4"/>
    <mergeCell ref="GU1:GW1"/>
    <mergeCell ref="GX1:GZ1"/>
    <mergeCell ref="HA1:HC1"/>
    <mergeCell ref="HD1:HF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D2:AD4"/>
    <mergeCell ref="AE2:AE4"/>
    <mergeCell ref="AF2:AF4"/>
    <mergeCell ref="AG2:AG4"/>
    <mergeCell ref="AH2:AH4"/>
    <mergeCell ref="R2:R4"/>
    <mergeCell ref="S2:S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5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9.85546875" style="249" bestFit="1" customWidth="1"/>
    <col min="3" max="3" width="20.140625" style="249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85546875" style="289" bestFit="1" customWidth="1"/>
    <col min="100" max="100" width="15" style="249" bestFit="1" customWidth="1"/>
    <col min="101" max="101" width="10" style="249" bestFit="1" customWidth="1"/>
    <col min="102" max="102" width="9.28515625" style="289" bestFit="1" customWidth="1"/>
    <col min="103" max="103" width="17.42578125" style="249" bestFit="1" customWidth="1"/>
    <col min="104" max="104" width="13.7109375" style="249" bestFit="1" customWidth="1"/>
    <col min="105" max="105" width="9.85546875" style="289" bestFit="1" customWidth="1"/>
    <col min="106" max="106" width="9.85546875" style="249" bestFit="1" customWidth="1"/>
    <col min="107" max="107" width="14.5703125" style="249" bestFit="1" customWidth="1"/>
    <col min="108" max="108" width="9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9.28515625" style="289" bestFit="1" customWidth="1"/>
    <col min="115" max="115" width="6.28515625" style="249" bestFit="1" customWidth="1"/>
    <col min="116" max="116" width="12.42578125" style="249" bestFit="1" customWidth="1"/>
    <col min="117" max="117" width="9.2851562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.28515625" style="249" bestFit="1" customWidth="1"/>
    <col min="128" max="128" width="12" style="249" bestFit="1" customWidth="1"/>
    <col min="129" max="129" width="9.28515625" style="289" bestFit="1" customWidth="1"/>
    <col min="130" max="130" width="6.285156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9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.28515625" style="249" bestFit="1" customWidth="1"/>
    <col min="143" max="143" width="12" style="249" bestFit="1" customWidth="1"/>
    <col min="144" max="144" width="9.28515625" style="289" bestFit="1" customWidth="1"/>
    <col min="145" max="145" width="7.42578125" style="249" bestFit="1" customWidth="1"/>
    <col min="146" max="146" width="12" style="249" bestFit="1" customWidth="1"/>
    <col min="147" max="147" width="9.2851562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285156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7.42578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9.28515625" style="289" bestFit="1" customWidth="1"/>
    <col min="169" max="169" width="10" style="249" bestFit="1" customWidth="1"/>
    <col min="170" max="170" width="4.85546875" style="249" bestFit="1" customWidth="1"/>
    <col min="171" max="171" width="7.71093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7.42578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28515625" style="289" bestFit="1" customWidth="1"/>
    <col min="181" max="181" width="5.5703125" style="249" bestFit="1" customWidth="1"/>
    <col min="182" max="182" width="13.140625" style="249" bestFit="1" customWidth="1"/>
    <col min="183" max="183" width="9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7.42578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9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7.425781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249"/>
  </cols>
  <sheetData>
    <row r="1" spans="1:214" ht="21.75" thickTop="1" thickBot="1" x14ac:dyDescent="0.25">
      <c r="A1" s="694" t="s">
        <v>280</v>
      </c>
      <c r="B1" s="695"/>
      <c r="C1" s="696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1/((1/H12)+(1/H11))</f>
        <v>1.1683902641940991E-14</v>
      </c>
      <c r="I2" s="625" t="s">
        <v>313</v>
      </c>
      <c r="J2" s="619" t="s">
        <v>507</v>
      </c>
      <c r="K2" s="623">
        <f>1/((1/K15)+(1/K16))</f>
        <v>8.6967780726808861E-6</v>
      </c>
      <c r="L2" s="621" t="s">
        <v>311</v>
      </c>
      <c r="M2" s="617" t="s">
        <v>516</v>
      </c>
      <c r="N2" s="647">
        <f>((N5*N6*N7)/((1-EXP(-N7*N6))*N10*N15*(N9/365)*N13*(((N14/24)*N12)+((N16/24)*N11))))*N8*N17*N18</f>
        <v>6.8751089373672449E-6</v>
      </c>
      <c r="O2" s="615" t="s">
        <v>311</v>
      </c>
      <c r="P2" s="639" t="s">
        <v>516</v>
      </c>
      <c r="Q2" s="647">
        <f>((Q5*Q6*Q7)/((1-EXP(-Q7*Q6))*Q10*Q15*(Q9/365)*Q13*(((Q14/24)*Q12)+((Q16/24)*Q11))))*Q8*Q17*Q18</f>
        <v>5.1261213327883113E-6</v>
      </c>
      <c r="R2" s="637" t="s">
        <v>311</v>
      </c>
      <c r="S2" s="641" t="s">
        <v>516</v>
      </c>
      <c r="T2" s="647">
        <f>((T5*T6*T7)/((1-EXP(-T7*T6))*T10*T15*(T9/365)*T13*(((T14/24)*T12)+((T16/24)*T11))))*T8*T17*T18</f>
        <v>1.1867747570455365E-6</v>
      </c>
      <c r="U2" s="643" t="s">
        <v>311</v>
      </c>
      <c r="V2" s="55"/>
      <c r="W2" s="357"/>
      <c r="X2" s="56"/>
      <c r="Y2" s="57"/>
      <c r="Z2" s="357"/>
      <c r="AA2" s="58"/>
      <c r="AB2" s="650"/>
      <c r="AC2" s="660">
        <f>1/((1/AC33)+(1/AC34))</f>
        <v>8.7945194405917707E-6</v>
      </c>
      <c r="AD2" s="660">
        <f>1/((1/AD33)+(1/AD34))</f>
        <v>2.1971586285175949E-5</v>
      </c>
      <c r="AE2" s="660">
        <f>1/((1/AE33)+(1/AE34))</f>
        <v>8.7945194405917707E-6</v>
      </c>
      <c r="AF2" s="660">
        <f>1/((1/AF33)+(1/AF34))</f>
        <v>1.6238403862912808E-5</v>
      </c>
      <c r="AG2" s="660">
        <f>1/((1/AG33)+(1/AG34))</f>
        <v>1.4206763424786523E-4</v>
      </c>
      <c r="AH2" s="652" t="s">
        <v>311</v>
      </c>
      <c r="AI2" s="381" t="s">
        <v>516</v>
      </c>
      <c r="AJ2" s="387">
        <f>((AJ5*AJ6*AJ7)/((1-EXP(-AJ7*AJ6))*AJ15*(AJ9/365)*AJ10*(AJ16/24)*AJ11*AJ13))*AJ8*AJ17*AJ18</f>
        <v>2.1996117763306028E-5</v>
      </c>
      <c r="AK2" s="629" t="s">
        <v>311</v>
      </c>
      <c r="AL2" s="383" t="s">
        <v>516</v>
      </c>
      <c r="AM2" s="387">
        <f>((AM5*AM6*AM7)/((1-EXP(-AM7*AM6))*AM15*(AM9/365)*AM10*(AM16/24)*AM11*AM13))*AM8*AM17*AM18</f>
        <v>1.0436639645547691E-4</v>
      </c>
      <c r="AN2" s="629" t="s">
        <v>311</v>
      </c>
      <c r="AO2" s="383" t="s">
        <v>516</v>
      </c>
      <c r="AP2" s="387">
        <f>((AP5*AP6*AP7)/((1-EXP(-AP7*AP6))*AP15*(AP9/365)*AP10*(AP16/24)*AP11*AP13))*AP8*AP17*AP18</f>
        <v>2.4162402088480106E-5</v>
      </c>
      <c r="AQ2" s="635" t="s">
        <v>311</v>
      </c>
      <c r="AR2" s="381" t="s">
        <v>516</v>
      </c>
      <c r="AS2" s="387">
        <f>((AS5*AS6*AS7)/((1-EXP(-AS7*AS6))*AS15*(AS9/365)*AS10*(AS14/24)*AS12*AS13))*AS8*AS17*AS18</f>
        <v>8.7984471053224133E-6</v>
      </c>
      <c r="AT2" s="391" t="s">
        <v>311</v>
      </c>
      <c r="AU2" s="383" t="s">
        <v>516</v>
      </c>
      <c r="AV2" s="387">
        <f>((AV5*AV6*AV7)/((1-EXP(-AV7*AV6))*AV15*(AV9/365)*AV10*(AV14/24)*AV12*AV13))*AV8*AV17*AV18</f>
        <v>4.1746558582190766E-5</v>
      </c>
      <c r="AW2" s="391" t="s">
        <v>311</v>
      </c>
      <c r="AX2" s="383" t="s">
        <v>516</v>
      </c>
      <c r="AY2" s="387">
        <f>((AY5*AY6*AY7)/((1-EXP(-AY7*AY6))*AY15*(AY9/365)*AY10*(AY14/24)*AY12*AY13))*AY8*AY17*AY18</f>
        <v>9.6649608353920434E-6</v>
      </c>
      <c r="AZ2" s="385" t="s">
        <v>311</v>
      </c>
      <c r="BA2" s="381" t="s">
        <v>516</v>
      </c>
      <c r="BB2" s="387">
        <f>((BB5*BB6*BB7)/((1-EXP(-BB7*BB6))*BB15*(BB9/365)*BB10*((BB14+BB16)/24)*BB12*BB13))*BB8*BB17*BB18</f>
        <v>8.7984471053224133E-6</v>
      </c>
      <c r="BC2" s="391" t="s">
        <v>311</v>
      </c>
      <c r="BD2" s="383" t="s">
        <v>516</v>
      </c>
      <c r="BE2" s="387">
        <f>((BE5*BE6*BE7)/((1-EXP(-BE7*BE6))*BE15*(BE9/365)*BE10*((BE14+BE16)/24)*BE12*BE13))*BE8*BE17*BE18</f>
        <v>4.1746558582190766E-5</v>
      </c>
      <c r="BF2" s="391" t="s">
        <v>311</v>
      </c>
      <c r="BG2" s="383" t="s">
        <v>516</v>
      </c>
      <c r="BH2" s="387">
        <f>((BH5*BH6*BH7)/((1-EXP(-BH7*BH6))*BH15*(BH9/365)*BH10*((BH14+BH16)/24)*BH12*BH13))*BH8*BH17*BH18</f>
        <v>9.6649608353920434E-6</v>
      </c>
      <c r="BI2" s="385" t="s">
        <v>311</v>
      </c>
      <c r="BJ2" s="381" t="s">
        <v>558</v>
      </c>
      <c r="BK2" s="389">
        <f>((BK5*BK6*BK7)/((1-EXP(-BK7*BK6))*BK12*BK16*(BK9/365)*BK14*(BK15/24)*BK13))*BK8*BK17*BK18</f>
        <v>1.7114937568709956E-4</v>
      </c>
      <c r="BL2" s="391" t="s">
        <v>311</v>
      </c>
      <c r="BM2" s="383" t="s">
        <v>559</v>
      </c>
      <c r="BN2" s="389">
        <f>((BN5*BN6*BN7)/((1-EXP(-BN7*BN6))*BN12*BN16*(BN9/365)*BN14*(BN15/24)*BN13))*BN8*BN17*BN18</f>
        <v>1.7311448717474917E-3</v>
      </c>
      <c r="BO2" s="391" t="s">
        <v>311</v>
      </c>
      <c r="BP2" s="383" t="s">
        <v>560</v>
      </c>
      <c r="BQ2" s="389">
        <f>((BQ5*BQ6*BQ7)/((1-EXP(-BQ7*BQ6))*BQ12*BQ16*(BQ9/365)*BQ14*(BQ15/24)*BQ13))*BQ8*BQ17*BQ18</f>
        <v>2.3608545608504598E-4</v>
      </c>
      <c r="BR2" s="385" t="s">
        <v>311</v>
      </c>
      <c r="BS2" s="59"/>
      <c r="BT2" s="110"/>
      <c r="BU2" s="250"/>
      <c r="BV2" s="402" t="s">
        <v>563</v>
      </c>
      <c r="BW2" s="400">
        <f>1/((1/BW11))</f>
        <v>9.0352591483658142E-6</v>
      </c>
      <c r="BX2" s="404" t="s">
        <v>313</v>
      </c>
      <c r="BY2" s="402" t="s">
        <v>563</v>
      </c>
      <c r="BZ2" s="400">
        <f>1/((1/BZ14)+(1/BZ15))</f>
        <v>6.2415874910108746E-4</v>
      </c>
      <c r="CA2" s="398" t="s">
        <v>311</v>
      </c>
      <c r="CB2" s="410" t="s">
        <v>558</v>
      </c>
      <c r="CC2" s="400">
        <f>((CC5*CC6*CC7)/((1-EXP(-CC7*CC6))*CC10*CC14*(CC9/365)*CC12*(CC13/24)*CC11))*CC8*CC15*CC16</f>
        <v>6.2754771085269832E-4</v>
      </c>
      <c r="CD2" s="404" t="s">
        <v>311</v>
      </c>
      <c r="CE2" s="402" t="s">
        <v>559</v>
      </c>
      <c r="CF2" s="400">
        <f>((CF5*CF6*CF7)/((1-EXP(-CF7*CF6))*CF10*CF14*(CF9/365)*CF12*(CF13/24)*CF11))*CF8*CF15*CF16</f>
        <v>6.3475311964074728E-3</v>
      </c>
      <c r="CG2" s="404" t="s">
        <v>311</v>
      </c>
      <c r="CH2" s="402" t="s">
        <v>560</v>
      </c>
      <c r="CI2" s="400">
        <f>((CI5*CI6*CI7)/((1-EXP(-CI7*CI6))*CI10*CI14*(CI9/365)*CI12*(CI13/24)*CI11))*CI8*CI15*CI16</f>
        <v>8.656466723118353E-4</v>
      </c>
      <c r="CJ2" s="398" t="s">
        <v>311</v>
      </c>
      <c r="CK2" s="410" t="s">
        <v>510</v>
      </c>
      <c r="CL2" s="400" t="e">
        <f>(CL5/(CL6*CL7*CL8*CL9))*CL11*CL10*CL15</f>
        <v>#DIV/0!</v>
      </c>
      <c r="CM2" s="404" t="s">
        <v>311</v>
      </c>
      <c r="CN2" s="402" t="s">
        <v>7</v>
      </c>
      <c r="CO2" s="400" t="e">
        <f>(CL2/(CO5*((CO10*CO12*CO13*(CO6+CO7))+(CO11*CO12))))*CL13</f>
        <v>#DIV/0!</v>
      </c>
      <c r="CP2" s="412" t="s">
        <v>311</v>
      </c>
      <c r="CQ2" s="402" t="s">
        <v>6</v>
      </c>
      <c r="CR2" s="400" t="e">
        <f>CL2/(CR5*CR6*(1/CR7))</f>
        <v>#DIV/0!</v>
      </c>
      <c r="CS2" s="415" t="s">
        <v>313</v>
      </c>
      <c r="CT2" s="208"/>
      <c r="CU2" s="61"/>
      <c r="CV2" s="62"/>
      <c r="CW2" s="63"/>
      <c r="CX2" s="151"/>
      <c r="CY2" s="64"/>
      <c r="CZ2" s="65"/>
      <c r="DA2" s="66"/>
      <c r="DB2" s="67"/>
      <c r="DC2" s="704" t="s">
        <v>510</v>
      </c>
      <c r="DD2" s="674" t="e">
        <f>((DD5)/(DD6*(DD7+DD10)*DD20))*DD22*DD23*DD24</f>
        <v>#DIV/0!</v>
      </c>
      <c r="DE2" s="706" t="s">
        <v>311</v>
      </c>
      <c r="DF2" s="670" t="s">
        <v>510</v>
      </c>
      <c r="DG2" s="668" t="e">
        <f>(DD2/((1/DG24)*(DG5+DG6+DG7)))</f>
        <v>#DIV/0!</v>
      </c>
      <c r="DH2" s="666" t="s">
        <v>313</v>
      </c>
      <c r="DI2" s="680" t="s">
        <v>510</v>
      </c>
      <c r="DJ2" s="668" t="e">
        <f>(DD2/(DJ5+DJ6))*CU11</f>
        <v>#DIV/0!</v>
      </c>
      <c r="DK2" s="666" t="s">
        <v>313</v>
      </c>
      <c r="DL2" s="680" t="s">
        <v>554</v>
      </c>
      <c r="DM2" s="668" t="e">
        <f>(DD2/(DM5+DM6))*((DM9*DD21)/(1-EXP(-DD21*DM9)))</f>
        <v>#DIV/0!</v>
      </c>
      <c r="DN2" s="666" t="s">
        <v>313</v>
      </c>
      <c r="DO2" s="680" t="s">
        <v>553</v>
      </c>
      <c r="DP2" s="668">
        <f>-(DP5+DP6+DP7)/(DP23+DP24)</f>
        <v>-3.186299176558379</v>
      </c>
      <c r="DQ2" s="678" t="s">
        <v>19</v>
      </c>
      <c r="DR2" s="556" t="s">
        <v>510</v>
      </c>
      <c r="DS2" s="460" t="e">
        <f>(DS5/(DS6*DS7*DS16))*DS19*DS20*DS21</f>
        <v>#DIV/0!</v>
      </c>
      <c r="DT2" s="466" t="s">
        <v>311</v>
      </c>
      <c r="DU2" s="464" t="s">
        <v>510</v>
      </c>
      <c r="DV2" s="462" t="e">
        <f>DS2/(DV5*(1/DV8)*DV6*(1/DV7))</f>
        <v>#DIV/0!</v>
      </c>
      <c r="DW2" s="480" t="s">
        <v>313</v>
      </c>
      <c r="DX2" s="478" t="s">
        <v>510</v>
      </c>
      <c r="DY2" s="462" t="e">
        <f>(DS2/(DY9*(1/DY14)*((DY10*DY12*DY13*(DY5+DY6))+(DY11*DY12))))*CU11</f>
        <v>#DIV/0!</v>
      </c>
      <c r="DZ2" s="480" t="s">
        <v>313</v>
      </c>
      <c r="EA2" s="478" t="s">
        <v>554</v>
      </c>
      <c r="EB2" s="462" t="e">
        <f>(DS2/(EB9*(1/EB14)*((EB10*EB12*EB13*(EB5+EB6))+(EB11*EB12))))*((EB15*DS18)/(1-EXP(-DS18*EB15)))</f>
        <v>#DIV/0!</v>
      </c>
      <c r="EC2" s="480" t="s">
        <v>313</v>
      </c>
      <c r="ED2" s="478" t="s">
        <v>553</v>
      </c>
      <c r="EE2" s="462">
        <f>-EE15/((EE10*EE12*EE13*(EE5+EE6))+(EE11*EE12))</f>
        <v>-16.803652968036527</v>
      </c>
      <c r="EF2" s="476" t="s">
        <v>19</v>
      </c>
      <c r="EG2" s="474" t="s">
        <v>510</v>
      </c>
      <c r="EH2" s="472" t="e">
        <f>(EH5/(EH6*EH7*EH16))*EH19*EH20*EH21</f>
        <v>#DIV/0!</v>
      </c>
      <c r="EI2" s="470" t="s">
        <v>311</v>
      </c>
      <c r="EJ2" s="468" t="s">
        <v>510</v>
      </c>
      <c r="EK2" s="502" t="e">
        <f>EH2/(EK5*EK6*(1/EK7))</f>
        <v>#DIV/0!</v>
      </c>
      <c r="EL2" s="500" t="s">
        <v>313</v>
      </c>
      <c r="EM2" s="504" t="s">
        <v>510</v>
      </c>
      <c r="EN2" s="502" t="e">
        <f>(EH2/(EN9*((EN10*EN12*EN13*(EN5+EN6))+(EN11*EN12))))*CU11</f>
        <v>#DIV/0!</v>
      </c>
      <c r="EO2" s="500" t="s">
        <v>311</v>
      </c>
      <c r="EP2" s="504" t="s">
        <v>554</v>
      </c>
      <c r="EQ2" s="502" t="e">
        <f>(EH2/(EQ9*((EQ10*EQ12*EQ13*(EQ5+EQ6))+(EQ11*EQ12))))*((EQ14*EH18)/(1-EXP(-EH18*EQ14)))</f>
        <v>#DIV/0!</v>
      </c>
      <c r="ER2" s="500" t="s">
        <v>313</v>
      </c>
      <c r="ES2" s="504" t="s">
        <v>553</v>
      </c>
      <c r="ET2" s="502">
        <f>-ET15/((ET10*ET12*ET13*(ET5+ET6))+(ET11*ET12))</f>
        <v>-15.395787944807553</v>
      </c>
      <c r="EU2" s="514" t="s">
        <v>19</v>
      </c>
      <c r="EV2" s="512" t="s">
        <v>510</v>
      </c>
      <c r="EW2" s="510" t="e">
        <f>(EW5/(EW6*EW7*EW16))*EW19*EW20*EW21</f>
        <v>#DIV/0!</v>
      </c>
      <c r="EX2" s="508" t="s">
        <v>311</v>
      </c>
      <c r="EY2" s="506" t="s">
        <v>510</v>
      </c>
      <c r="EZ2" s="494" t="e">
        <f>EW2/(EZ5*EZ6*(1/EZ7))</f>
        <v>#DIV/0!</v>
      </c>
      <c r="FA2" s="498" t="s">
        <v>313</v>
      </c>
      <c r="FB2" s="496" t="s">
        <v>510</v>
      </c>
      <c r="FC2" s="494" t="e">
        <f>(EW2/(FC9*((FC10*FC12*FC13*(FC5+FC6))+(FC11*FC12))))*CU11</f>
        <v>#DIV/0!</v>
      </c>
      <c r="FD2" s="498" t="s">
        <v>311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313</v>
      </c>
      <c r="FH2" s="496" t="s">
        <v>553</v>
      </c>
      <c r="FI2" s="494">
        <f>-FI15/((FI10*FI12*FI13*(FI5+FI6))+(FI11*FI12))</f>
        <v>-5.5555555555555554</v>
      </c>
      <c r="FJ2" s="492" t="s">
        <v>19</v>
      </c>
      <c r="FK2" s="490" t="s">
        <v>510</v>
      </c>
      <c r="FL2" s="488" t="e">
        <f>(FL5/(FL6*FL7*FL16))*FL19*FL20*FL21</f>
        <v>#DIV/0!</v>
      </c>
      <c r="FM2" s="486" t="s">
        <v>311</v>
      </c>
      <c r="FN2" s="484" t="s">
        <v>510</v>
      </c>
      <c r="FO2" s="430" t="e">
        <f>FL2/(FO5*(1/FO6))</f>
        <v>#DIV/0!</v>
      </c>
      <c r="FP2" s="428" t="s">
        <v>313</v>
      </c>
      <c r="FQ2" s="482" t="s">
        <v>510</v>
      </c>
      <c r="FR2" s="430" t="e">
        <f>((FL2*FR6)/FR5)*CU11</f>
        <v>#DIV/0!</v>
      </c>
      <c r="FS2" s="428" t="s">
        <v>311</v>
      </c>
      <c r="FT2" s="426" t="s">
        <v>554</v>
      </c>
      <c r="FU2" s="430" t="e">
        <f>((FL2*FU6)/FU5)*((FU7*FL18)/(1-EXP(-FL18*FU7)))</f>
        <v>#DIV/0!</v>
      </c>
      <c r="FV2" s="428" t="s">
        <v>313</v>
      </c>
      <c r="FW2" s="426" t="s">
        <v>553</v>
      </c>
      <c r="FX2" s="430">
        <f>-FX5/FX6</f>
        <v>0</v>
      </c>
      <c r="FY2" s="438" t="s">
        <v>19</v>
      </c>
      <c r="FZ2" s="436" t="s">
        <v>510</v>
      </c>
      <c r="GA2" s="434" t="e">
        <f>(GA5/(GA6*GA7*GA16))*GA19*GA20*GA21</f>
        <v>#DIV/0!</v>
      </c>
      <c r="GB2" s="432" t="s">
        <v>311</v>
      </c>
      <c r="GC2" s="458" t="s">
        <v>510</v>
      </c>
      <c r="GD2" s="417" t="e">
        <f>(GA2/(GD5*GD6*(1/GD7)))</f>
        <v>#DIV/0!</v>
      </c>
      <c r="GE2" s="421" t="s">
        <v>313</v>
      </c>
      <c r="GF2" s="419" t="s">
        <v>510</v>
      </c>
      <c r="GG2" s="417" t="e">
        <f>(GA2/((GG9)*((GG10*GG12*GG13*(GG5+GG6))+(GG11*GG12))))*CU11</f>
        <v>#DIV/0!</v>
      </c>
      <c r="GH2" s="421" t="s">
        <v>311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313</v>
      </c>
      <c r="GL2" s="419" t="s">
        <v>553</v>
      </c>
      <c r="GM2" s="417">
        <f>-GM15/((GM10*GM12*GM13*(GM5+GM6))+(GM11*GM12))</f>
        <v>-5.5555555555555554</v>
      </c>
      <c r="GN2" s="456" t="s">
        <v>19</v>
      </c>
      <c r="GO2" s="454" t="s">
        <v>510</v>
      </c>
      <c r="GP2" s="452" t="e">
        <f>(GP5/(GP6*GP7*GP15))*GP18*GP19*GP20</f>
        <v>#DIV/0!</v>
      </c>
      <c r="GQ2" s="450" t="s">
        <v>311</v>
      </c>
      <c r="GR2" s="448" t="s">
        <v>510</v>
      </c>
      <c r="GS2" s="442" t="e">
        <f>GP2/(GS5*GS6*(1/GS7))</f>
        <v>#DIV/0!</v>
      </c>
      <c r="GT2" s="446" t="s">
        <v>313</v>
      </c>
      <c r="GU2" s="444" t="s">
        <v>510</v>
      </c>
      <c r="GV2" s="442" t="e">
        <f>(GP2/((GV9)*((GV10*GV12*GV13*(GV5+GV6))+(GV11*GV12))))*CU11</f>
        <v>#DIV/0!</v>
      </c>
      <c r="GW2" s="446" t="s">
        <v>311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313</v>
      </c>
      <c r="HA2" s="444" t="s">
        <v>553</v>
      </c>
      <c r="HB2" s="442">
        <f>-HB15/((HB10*HB12*HB13*(HB5+HB6))+(HB11*HB12))</f>
        <v>-7.3786407766990294</v>
      </c>
      <c r="HC2" s="440" t="s">
        <v>19</v>
      </c>
      <c r="HD2" s="251"/>
      <c r="HE2" s="350"/>
      <c r="HF2" s="252"/>
    </row>
    <row r="3" spans="1:214" ht="13.5" thickTop="1" x14ac:dyDescent="0.2">
      <c r="A3" s="278" t="s">
        <v>456</v>
      </c>
      <c r="B3" s="362">
        <v>6.8000000000000005E-2</v>
      </c>
      <c r="C3" s="240"/>
      <c r="D3" s="317" t="s">
        <v>15</v>
      </c>
      <c r="E3" s="285">
        <f>1/((1/E20)+(1/E21))</f>
        <v>3.6512103615696103E-15</v>
      </c>
      <c r="F3" s="253" t="s">
        <v>312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2.3188523232963787E-11</v>
      </c>
      <c r="X3" s="254" t="s">
        <v>312</v>
      </c>
      <c r="Y3" s="321" t="s">
        <v>16</v>
      </c>
      <c r="Z3" s="358">
        <f>1/((1/Z18)+(1/Z19))</f>
        <v>2.3188523232963787E-11</v>
      </c>
      <c r="AA3" s="255" t="s">
        <v>312</v>
      </c>
      <c r="AB3" s="650"/>
      <c r="AC3" s="661"/>
      <c r="AD3" s="661"/>
      <c r="AE3" s="661"/>
      <c r="AF3" s="661"/>
      <c r="AG3" s="661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4.9431771048942408E-14</v>
      </c>
      <c r="BU3" s="250" t="s">
        <v>312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1/((1/CU15)+(1/CU16))</f>
        <v>1.203243085015267E-5</v>
      </c>
      <c r="CV3" s="71" t="s">
        <v>311</v>
      </c>
      <c r="CW3" s="326" t="s">
        <v>15</v>
      </c>
      <c r="CX3" s="117">
        <f>1/((1/CX20)+(1/CX21))</f>
        <v>3.8946027385750373E-15</v>
      </c>
      <c r="CY3" s="256" t="s">
        <v>312</v>
      </c>
      <c r="CZ3" s="338" t="s">
        <v>285</v>
      </c>
      <c r="DA3" s="336">
        <f>1/((1/DA14)+(1/DA15))</f>
        <v>7.7892684279606619E-12</v>
      </c>
      <c r="DB3" s="72" t="s">
        <v>313</v>
      </c>
      <c r="DC3" s="704"/>
      <c r="DD3" s="674"/>
      <c r="DE3" s="706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(HE5*HE13*10^-3*(HE14+(HE9/HE10))*((HE11*HE7)/(1-EXP(-HE7*HE11))))*HE8*HE15*HE16</f>
        <v>0</v>
      </c>
      <c r="HF3" s="252" t="s">
        <v>311</v>
      </c>
    </row>
    <row r="4" spans="1:214" ht="13.5" thickBot="1" x14ac:dyDescent="0.25">
      <c r="A4" s="279" t="s">
        <v>457</v>
      </c>
      <c r="B4" s="363">
        <v>0.75600000000000001</v>
      </c>
      <c r="C4" s="241"/>
      <c r="D4" s="318" t="s">
        <v>16</v>
      </c>
      <c r="E4" s="286">
        <f>1/((1/E22)+(1/E23))</f>
        <v>4.8309423402007893E-12</v>
      </c>
      <c r="F4" s="257" t="s">
        <v>312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7.0103238942136513E-14</v>
      </c>
      <c r="X4" s="258" t="s">
        <v>312</v>
      </c>
      <c r="Y4" s="322" t="s">
        <v>15</v>
      </c>
      <c r="Z4" s="359">
        <f>1/((1/Z16)+(1/Z17))</f>
        <v>7.0103238942136513E-14</v>
      </c>
      <c r="AA4" s="259" t="s">
        <v>312</v>
      </c>
      <c r="AB4" s="651"/>
      <c r="AC4" s="662"/>
      <c r="AD4" s="662"/>
      <c r="AE4" s="662"/>
      <c r="AF4" s="662"/>
      <c r="AG4" s="662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8.5024585187533902E-11</v>
      </c>
      <c r="BU4" s="260" t="s">
        <v>312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1/((1/CU15)+(1/CU16))</f>
        <v>1.203243085015267E-5</v>
      </c>
      <c r="CV4" s="73" t="s">
        <v>311</v>
      </c>
      <c r="CW4" s="327" t="s">
        <v>16</v>
      </c>
      <c r="CX4" s="106">
        <f>1/((1/CX22)+(1/CX23))</f>
        <v>7.729464782175379E-12</v>
      </c>
      <c r="CY4" s="261" t="s">
        <v>312</v>
      </c>
      <c r="CZ4" s="339" t="s">
        <v>11</v>
      </c>
      <c r="DA4" s="337">
        <f>1/((1/DA14)+(1/DA15))</f>
        <v>7.7892684279606619E-12</v>
      </c>
      <c r="DB4" s="74" t="s">
        <v>313</v>
      </c>
      <c r="DC4" s="705"/>
      <c r="DD4" s="675"/>
      <c r="DE4" s="707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4.6377163501041255E-15</v>
      </c>
      <c r="HF4" s="75" t="s">
        <v>311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</v>
      </c>
      <c r="DH5" s="249" t="s">
        <v>19</v>
      </c>
      <c r="DI5" s="262" t="s">
        <v>20</v>
      </c>
      <c r="DJ5" s="305">
        <f>DJ7</f>
        <v>0</v>
      </c>
      <c r="DK5" s="262"/>
      <c r="DL5" s="262" t="s">
        <v>20</v>
      </c>
      <c r="DM5" s="305">
        <f>DM7</f>
        <v>0</v>
      </c>
      <c r="DO5" s="249" t="s">
        <v>18</v>
      </c>
      <c r="DP5" s="118">
        <f>(DP8*DP9*DP10*((1-EXP(-DP11*DP12))))/(DP13*DP11)</f>
        <v>0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0</v>
      </c>
      <c r="DW5" s="262"/>
      <c r="DX5" s="262" t="s">
        <v>21</v>
      </c>
      <c r="DY5" s="305">
        <f>DY7</f>
        <v>0</v>
      </c>
      <c r="DZ5" s="262"/>
      <c r="EA5" s="262" t="s">
        <v>21</v>
      </c>
      <c r="EB5" s="305">
        <f>EB7</f>
        <v>0</v>
      </c>
      <c r="EC5" s="263"/>
      <c r="ED5" s="262" t="s">
        <v>21</v>
      </c>
      <c r="EE5" s="305">
        <f>EE7</f>
        <v>0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0</v>
      </c>
      <c r="EL5" s="262"/>
      <c r="EM5" s="262" t="s">
        <v>21</v>
      </c>
      <c r="EN5" s="305">
        <f>EN7</f>
        <v>0</v>
      </c>
      <c r="EO5" s="262"/>
      <c r="EP5" s="262" t="s">
        <v>21</v>
      </c>
      <c r="EQ5" s="305">
        <f>EQ7</f>
        <v>0</v>
      </c>
      <c r="ER5" s="263"/>
      <c r="ES5" s="262" t="s">
        <v>21</v>
      </c>
      <c r="ET5" s="305">
        <f>ET7</f>
        <v>0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0</v>
      </c>
      <c r="FD5" s="262"/>
      <c r="FE5" s="262" t="s">
        <v>21</v>
      </c>
      <c r="FF5" s="305">
        <f>FF7</f>
        <v>0</v>
      </c>
      <c r="FG5" s="263"/>
      <c r="FH5" s="263" t="s">
        <v>21</v>
      </c>
      <c r="FI5" s="290">
        <f>FI7</f>
        <v>0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0</v>
      </c>
      <c r="FP5" s="263"/>
      <c r="FQ5" s="263" t="s">
        <v>122</v>
      </c>
      <c r="FR5" s="298">
        <f>B36</f>
        <v>0</v>
      </c>
      <c r="FS5" s="263"/>
      <c r="FT5" s="263" t="s">
        <v>122</v>
      </c>
      <c r="FU5" s="298">
        <f>B36</f>
        <v>0</v>
      </c>
      <c r="FV5" s="263"/>
      <c r="FW5" s="262" t="s">
        <v>181</v>
      </c>
      <c r="FX5" s="305">
        <f>B46</f>
        <v>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0</v>
      </c>
      <c r="GH5" s="262"/>
      <c r="GI5" s="262" t="s">
        <v>21</v>
      </c>
      <c r="GJ5" s="305">
        <f>GJ7</f>
        <v>0</v>
      </c>
      <c r="GK5" s="262"/>
      <c r="GL5" s="262" t="s">
        <v>21</v>
      </c>
      <c r="GM5" s="305">
        <f>GM7</f>
        <v>0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0</v>
      </c>
      <c r="GW5" s="262"/>
      <c r="GX5" s="262" t="s">
        <v>21</v>
      </c>
      <c r="GY5" s="305">
        <f>GY7</f>
        <v>0</v>
      </c>
      <c r="GZ5" s="262"/>
      <c r="HA5" s="262" t="s">
        <v>21</v>
      </c>
      <c r="HB5" s="305">
        <f>HB7</f>
        <v>0</v>
      </c>
      <c r="HC5" s="263"/>
      <c r="HD5" s="265" t="s">
        <v>22</v>
      </c>
      <c r="HE5" s="292">
        <f>B47</f>
        <v>0</v>
      </c>
      <c r="HF5" s="262" t="s">
        <v>580</v>
      </c>
    </row>
    <row r="6" spans="1:214" ht="13.5" thickTop="1" x14ac:dyDescent="0.2">
      <c r="A6" s="278" t="s">
        <v>454</v>
      </c>
      <c r="B6" s="362">
        <v>3.7100000000000001E-2</v>
      </c>
      <c r="C6" s="240"/>
      <c r="D6" s="262" t="s">
        <v>23</v>
      </c>
      <c r="E6" s="288">
        <f>0.693/E7</f>
        <v>66.155354824913829</v>
      </c>
      <c r="G6" s="262" t="s">
        <v>439</v>
      </c>
      <c r="H6" s="287">
        <f>B20</f>
        <v>0</v>
      </c>
      <c r="I6" s="262" t="s">
        <v>35</v>
      </c>
      <c r="J6" s="262" t="s">
        <v>316</v>
      </c>
      <c r="K6" s="287">
        <f>B21</f>
        <v>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66.155354824913829</v>
      </c>
      <c r="Y6" s="262" t="s">
        <v>23</v>
      </c>
      <c r="Z6" s="288">
        <f>0.693/Z7</f>
        <v>66.155354824913829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5</v>
      </c>
      <c r="AK6" s="249" t="s">
        <v>69</v>
      </c>
      <c r="AL6" s="249" t="s">
        <v>485</v>
      </c>
      <c r="AM6" s="289">
        <f>AM10</f>
        <v>5</v>
      </c>
      <c r="AN6" s="249" t="s">
        <v>69</v>
      </c>
      <c r="AO6" s="249" t="s">
        <v>485</v>
      </c>
      <c r="AP6" s="289">
        <f>AP10</f>
        <v>5</v>
      </c>
      <c r="AQ6" s="249" t="s">
        <v>69</v>
      </c>
      <c r="AR6" s="249" t="s">
        <v>486</v>
      </c>
      <c r="AS6" s="289">
        <f>AS10</f>
        <v>5</v>
      </c>
      <c r="AT6" s="249" t="s">
        <v>69</v>
      </c>
      <c r="AU6" s="249" t="s">
        <v>486</v>
      </c>
      <c r="AV6" s="289">
        <f>AS10</f>
        <v>5</v>
      </c>
      <c r="AW6" s="249" t="s">
        <v>69</v>
      </c>
      <c r="AX6" s="249" t="s">
        <v>486</v>
      </c>
      <c r="AY6" s="289">
        <f>AS10</f>
        <v>5</v>
      </c>
      <c r="AZ6" s="249" t="s">
        <v>69</v>
      </c>
      <c r="BA6" s="249" t="s">
        <v>92</v>
      </c>
      <c r="BB6" s="289">
        <f>BB10</f>
        <v>5</v>
      </c>
      <c r="BC6" s="249" t="s">
        <v>69</v>
      </c>
      <c r="BD6" s="249" t="s">
        <v>92</v>
      </c>
      <c r="BE6" s="289">
        <f>BB10</f>
        <v>5</v>
      </c>
      <c r="BF6" s="249" t="s">
        <v>69</v>
      </c>
      <c r="BG6" s="249" t="s">
        <v>92</v>
      </c>
      <c r="BH6" s="289">
        <f>BB10</f>
        <v>5</v>
      </c>
      <c r="BI6" s="249" t="s">
        <v>69</v>
      </c>
      <c r="BJ6" s="249" t="s">
        <v>487</v>
      </c>
      <c r="BK6" s="289">
        <f>BK12</f>
        <v>5</v>
      </c>
      <c r="BL6" s="249" t="s">
        <v>69</v>
      </c>
      <c r="BM6" s="249" t="s">
        <v>487</v>
      </c>
      <c r="BN6" s="289">
        <f>BK12</f>
        <v>5</v>
      </c>
      <c r="BO6" s="249" t="s">
        <v>69</v>
      </c>
      <c r="BP6" s="249" t="s">
        <v>487</v>
      </c>
      <c r="BQ6" s="289">
        <f>BQ12</f>
        <v>5</v>
      </c>
      <c r="BR6" s="249" t="s">
        <v>69</v>
      </c>
      <c r="BS6" s="262" t="s">
        <v>23</v>
      </c>
      <c r="BT6" s="288">
        <f>0.693/BT7</f>
        <v>66.155354824913829</v>
      </c>
      <c r="BV6" s="262" t="s">
        <v>163</v>
      </c>
      <c r="BW6" s="287">
        <f>B20</f>
        <v>0</v>
      </c>
      <c r="BX6" s="262" t="s">
        <v>35</v>
      </c>
      <c r="BY6" s="262" t="s">
        <v>45</v>
      </c>
      <c r="BZ6" s="287">
        <f>B21</f>
        <v>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0</v>
      </c>
      <c r="CM6" s="266" t="s">
        <v>13</v>
      </c>
      <c r="CN6" s="263" t="s">
        <v>21</v>
      </c>
      <c r="CO6" s="290">
        <f>CO8</f>
        <v>0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0</v>
      </c>
      <c r="CV6" s="262" t="s">
        <v>35</v>
      </c>
      <c r="CW6" s="262" t="s">
        <v>23</v>
      </c>
      <c r="CX6" s="288">
        <f>0.693/CX7</f>
        <v>66.155354824913829</v>
      </c>
      <c r="CZ6" s="262" t="s">
        <v>163</v>
      </c>
      <c r="DA6" s="287">
        <f>B20</f>
        <v>0</v>
      </c>
      <c r="DB6" s="262" t="s">
        <v>35</v>
      </c>
      <c r="DC6" s="262" t="s">
        <v>438</v>
      </c>
      <c r="DD6" s="287">
        <f>B30</f>
        <v>0</v>
      </c>
      <c r="DE6" s="267" t="s">
        <v>35</v>
      </c>
      <c r="DF6" s="249" t="s">
        <v>27</v>
      </c>
      <c r="DG6" s="118">
        <f>(DG8*DG9*DG14*((1-EXP(-DG11*DG12))))/(DG13*DG11)</f>
        <v>5.4035127681958941E-3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5.4035127681958941E-3</v>
      </c>
      <c r="DQ6" s="249" t="s">
        <v>19</v>
      </c>
      <c r="DR6" s="262" t="s">
        <v>438</v>
      </c>
      <c r="DS6" s="287">
        <f>B30</f>
        <v>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0</v>
      </c>
      <c r="FS6" s="249" t="s">
        <v>19</v>
      </c>
      <c r="FT6" s="262" t="s">
        <v>181</v>
      </c>
      <c r="FU6" s="305">
        <f>B46</f>
        <v>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1.1683902641940991E-14</v>
      </c>
      <c r="HF6" s="262" t="s">
        <v>313</v>
      </c>
    </row>
    <row r="7" spans="1:214" x14ac:dyDescent="0.2">
      <c r="A7" s="279" t="s">
        <v>455</v>
      </c>
      <c r="B7" s="363">
        <v>0.65</v>
      </c>
      <c r="C7" s="241"/>
      <c r="D7" s="266" t="s">
        <v>270</v>
      </c>
      <c r="E7" s="287">
        <f>B31</f>
        <v>1.04753425E-2</v>
      </c>
      <c r="F7" s="249" t="s">
        <v>69</v>
      </c>
      <c r="G7" s="262" t="s">
        <v>43</v>
      </c>
      <c r="H7" s="290">
        <f>B19</f>
        <v>3.1999999999999999E-11</v>
      </c>
      <c r="I7" s="263" t="s">
        <v>35</v>
      </c>
      <c r="J7" s="262" t="s">
        <v>43</v>
      </c>
      <c r="K7" s="290">
        <f>B19</f>
        <v>3.1999999999999999E-11</v>
      </c>
      <c r="L7" s="263" t="s">
        <v>35</v>
      </c>
      <c r="M7" s="262" t="s">
        <v>23</v>
      </c>
      <c r="N7" s="288">
        <f>0.693/N8</f>
        <v>66.155354824913829</v>
      </c>
      <c r="P7" s="262" t="s">
        <v>23</v>
      </c>
      <c r="Q7" s="288">
        <f>0.693/Q8</f>
        <v>66.155354824913829</v>
      </c>
      <c r="S7" s="262" t="s">
        <v>23</v>
      </c>
      <c r="T7" s="288">
        <f>0.693/T8</f>
        <v>66.155354824913829</v>
      </c>
      <c r="V7" s="266" t="s">
        <v>270</v>
      </c>
      <c r="W7" s="287">
        <f>B31</f>
        <v>1.04753425E-2</v>
      </c>
      <c r="X7" s="249" t="s">
        <v>69</v>
      </c>
      <c r="Y7" s="266" t="s">
        <v>270</v>
      </c>
      <c r="Z7" s="287">
        <f>B31</f>
        <v>1.04753425E-2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66.155354824913829</v>
      </c>
      <c r="AL7" s="262" t="s">
        <v>23</v>
      </c>
      <c r="AM7" s="288">
        <f>0.693/AM8</f>
        <v>66.155354824913829</v>
      </c>
      <c r="AO7" s="262" t="s">
        <v>23</v>
      </c>
      <c r="AP7" s="288">
        <f>0.693/AP8</f>
        <v>66.155354824913829</v>
      </c>
      <c r="AR7" s="262" t="s">
        <v>23</v>
      </c>
      <c r="AS7" s="288">
        <f>0.693/AS8</f>
        <v>66.155354824913829</v>
      </c>
      <c r="AU7" s="262" t="s">
        <v>23</v>
      </c>
      <c r="AV7" s="288">
        <f>0.693/AV8</f>
        <v>66.155354824913829</v>
      </c>
      <c r="AX7" s="262" t="s">
        <v>23</v>
      </c>
      <c r="AY7" s="288">
        <f>0.693/AY8</f>
        <v>66.155354824913829</v>
      </c>
      <c r="BA7" s="262" t="s">
        <v>23</v>
      </c>
      <c r="BB7" s="288">
        <f>0.693/BB8</f>
        <v>66.155354824913829</v>
      </c>
      <c r="BD7" s="262" t="s">
        <v>23</v>
      </c>
      <c r="BE7" s="288">
        <f>0.693/BE8</f>
        <v>66.155354824913829</v>
      </c>
      <c r="BG7" s="262" t="s">
        <v>23</v>
      </c>
      <c r="BH7" s="288">
        <f>0.693/BH8</f>
        <v>66.155354824913829</v>
      </c>
      <c r="BJ7" s="262" t="s">
        <v>23</v>
      </c>
      <c r="BK7" s="288">
        <f>0.693/BK8</f>
        <v>66.155354824913829</v>
      </c>
      <c r="BM7" s="262" t="s">
        <v>23</v>
      </c>
      <c r="BN7" s="288">
        <f>0.693/BN8</f>
        <v>66.155354824913829</v>
      </c>
      <c r="BP7" s="262" t="s">
        <v>23</v>
      </c>
      <c r="BQ7" s="288">
        <f>0.693/BQ8</f>
        <v>66.155354824913829</v>
      </c>
      <c r="BS7" s="266" t="s">
        <v>270</v>
      </c>
      <c r="BT7" s="287">
        <f>B31</f>
        <v>1.04753425E-2</v>
      </c>
      <c r="BU7" s="249" t="s">
        <v>69</v>
      </c>
      <c r="BV7" s="262" t="s">
        <v>43</v>
      </c>
      <c r="BW7" s="290">
        <f>E10</f>
        <v>3.1999999999999999E-11</v>
      </c>
      <c r="BX7" s="263" t="s">
        <v>35</v>
      </c>
      <c r="BY7" s="262" t="s">
        <v>43</v>
      </c>
      <c r="BZ7" s="290">
        <f>B19</f>
        <v>3.1999999999999999E-11</v>
      </c>
      <c r="CA7" s="263" t="s">
        <v>35</v>
      </c>
      <c r="CB7" s="262" t="s">
        <v>23</v>
      </c>
      <c r="CC7" s="288">
        <f>0.693/CC8</f>
        <v>66.155354824913829</v>
      </c>
      <c r="CE7" s="262" t="s">
        <v>23</v>
      </c>
      <c r="CF7" s="288">
        <f>0.693/CF8</f>
        <v>66.155354824913829</v>
      </c>
      <c r="CH7" s="262" t="s">
        <v>23</v>
      </c>
      <c r="CI7" s="288">
        <f>0.693/CI8</f>
        <v>66.155354824913829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3.1999999999999999E-11</v>
      </c>
      <c r="CV7" s="263" t="s">
        <v>35</v>
      </c>
      <c r="CW7" s="266" t="s">
        <v>270</v>
      </c>
      <c r="CX7" s="287">
        <f>B31</f>
        <v>1.04753425E-2</v>
      </c>
      <c r="CY7" s="249" t="s">
        <v>69</v>
      </c>
      <c r="CZ7" s="263" t="s">
        <v>43</v>
      </c>
      <c r="DA7" s="290">
        <f>B19</f>
        <v>3.1999999999999999E-11</v>
      </c>
      <c r="DB7" s="263" t="s">
        <v>35</v>
      </c>
      <c r="DC7" s="262" t="s">
        <v>498</v>
      </c>
      <c r="DD7" s="312">
        <f>(DD8*DD14*DD15)+(DD9*DD13*DD16)</f>
        <v>90750</v>
      </c>
      <c r="DE7" s="267" t="s">
        <v>149</v>
      </c>
      <c r="DF7" s="249" t="s">
        <v>36</v>
      </c>
      <c r="DG7" s="118">
        <f>(DG8*DG9*DG15*DG21*((1-EXP(-DG16*DG17))))/(DG18*DG16)</f>
        <v>0.82303427313698274</v>
      </c>
      <c r="DH7" s="249" t="s">
        <v>19</v>
      </c>
      <c r="DI7" s="262" t="s">
        <v>37</v>
      </c>
      <c r="DJ7" s="287">
        <f>B44</f>
        <v>0</v>
      </c>
      <c r="DL7" s="262" t="s">
        <v>37</v>
      </c>
      <c r="DM7" s="287">
        <f>B44</f>
        <v>0</v>
      </c>
      <c r="DO7" s="249" t="s">
        <v>36</v>
      </c>
      <c r="DP7" s="118">
        <f>(DP8*DP9*DP15*DP21*((1-EXP(-DP16*DP17))))/(DP18*DP16)</f>
        <v>0.82303427313698274</v>
      </c>
      <c r="DQ7" s="249" t="s">
        <v>19</v>
      </c>
      <c r="DR7" s="262" t="s">
        <v>500</v>
      </c>
      <c r="DS7" s="291">
        <f>(DS10*DS12*DS8)+(DS11*DS13*DS9)</f>
        <v>90750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0</v>
      </c>
      <c r="EA7" s="262" t="s">
        <v>38</v>
      </c>
      <c r="EB7" s="287">
        <f>B45</f>
        <v>0</v>
      </c>
      <c r="EC7" s="263"/>
      <c r="ED7" s="262" t="s">
        <v>38</v>
      </c>
      <c r="EE7" s="287">
        <f>B45</f>
        <v>0</v>
      </c>
      <c r="EF7" s="263"/>
      <c r="EG7" s="262" t="s">
        <v>501</v>
      </c>
      <c r="EH7" s="312">
        <f>(EH12*EH10*EH8)+(EH13*EH11*EH9)</f>
        <v>90750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0</v>
      </c>
      <c r="EP7" s="262" t="s">
        <v>38</v>
      </c>
      <c r="EQ7" s="287">
        <f>B45</f>
        <v>0</v>
      </c>
      <c r="ER7" s="263"/>
      <c r="ES7" s="262" t="s">
        <v>38</v>
      </c>
      <c r="ET7" s="287">
        <f>B45</f>
        <v>0</v>
      </c>
      <c r="EU7" s="263"/>
      <c r="EV7" s="262" t="s">
        <v>171</v>
      </c>
      <c r="EW7" s="312">
        <f>(EW10*EW12*EW8)+(EW11*EW13*EW9)</f>
        <v>90750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0</v>
      </c>
      <c r="FD7" s="262"/>
      <c r="FE7" s="262" t="s">
        <v>38</v>
      </c>
      <c r="FF7" s="305">
        <f>B45</f>
        <v>0</v>
      </c>
      <c r="FG7" s="263"/>
      <c r="FH7" s="263" t="s">
        <v>38</v>
      </c>
      <c r="FI7" s="290">
        <f>B45</f>
        <v>0</v>
      </c>
      <c r="FJ7" s="263"/>
      <c r="FK7" s="262" t="s">
        <v>502</v>
      </c>
      <c r="FL7" s="312">
        <f>(FL12*FL8*FL10)+(FL13*FL9*FL11)</f>
        <v>90750</v>
      </c>
      <c r="FM7" s="249" t="s">
        <v>149</v>
      </c>
      <c r="FN7" s="263"/>
      <c r="FS7" s="263"/>
      <c r="FT7" s="263" t="s">
        <v>494</v>
      </c>
      <c r="FU7" s="307">
        <f>FL14</f>
        <v>30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90750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0</v>
      </c>
      <c r="GH7" s="262"/>
      <c r="GI7" s="262" t="s">
        <v>38</v>
      </c>
      <c r="GJ7" s="305">
        <f>B45</f>
        <v>0</v>
      </c>
      <c r="GK7" s="262"/>
      <c r="GL7" s="262" t="s">
        <v>38</v>
      </c>
      <c r="GM7" s="305">
        <f>B45</f>
        <v>0</v>
      </c>
      <c r="GN7" s="263"/>
      <c r="GO7" s="262" t="s">
        <v>172</v>
      </c>
      <c r="GP7" s="312">
        <f>(GP12*GP8*GP10)+(GP13*GP9*GP11)</f>
        <v>90750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0</v>
      </c>
      <c r="GW7" s="262"/>
      <c r="GX7" s="262" t="s">
        <v>38</v>
      </c>
      <c r="GY7" s="305">
        <f>B45</f>
        <v>0</v>
      </c>
      <c r="GZ7" s="262"/>
      <c r="HA7" s="262" t="s">
        <v>38</v>
      </c>
      <c r="HB7" s="305">
        <f>B45</f>
        <v>0</v>
      </c>
      <c r="HC7" s="263"/>
      <c r="HD7" s="262" t="s">
        <v>23</v>
      </c>
      <c r="HE7" s="288">
        <f>0.693/HE8</f>
        <v>66.155354824913829</v>
      </c>
    </row>
    <row r="8" spans="1:214" x14ac:dyDescent="0.2">
      <c r="A8" s="279" t="s">
        <v>458</v>
      </c>
      <c r="B8" s="363">
        <v>4.2700000000000002E-2</v>
      </c>
      <c r="C8" s="241"/>
      <c r="D8" s="249" t="s">
        <v>338</v>
      </c>
      <c r="E8" s="289">
        <f>B69</f>
        <v>55</v>
      </c>
      <c r="F8" s="249" t="s">
        <v>26</v>
      </c>
      <c r="G8" s="266" t="s">
        <v>161</v>
      </c>
      <c r="H8" s="287">
        <f>B29</f>
        <v>3.5145699120000001E-15</v>
      </c>
      <c r="I8" s="263" t="s">
        <v>35</v>
      </c>
      <c r="J8" s="262" t="s">
        <v>71</v>
      </c>
      <c r="K8" s="287">
        <f>B23</f>
        <v>1.6930652399999999E-9</v>
      </c>
      <c r="L8" s="262" t="s">
        <v>445</v>
      </c>
      <c r="M8" s="266" t="s">
        <v>270</v>
      </c>
      <c r="N8" s="287">
        <f>B31</f>
        <v>1.04753425E-2</v>
      </c>
      <c r="O8" s="249" t="s">
        <v>69</v>
      </c>
      <c r="P8" s="266" t="s">
        <v>270</v>
      </c>
      <c r="Q8" s="287">
        <f>B31</f>
        <v>1.04753425E-2</v>
      </c>
      <c r="R8" s="249" t="s">
        <v>69</v>
      </c>
      <c r="S8" s="266" t="s">
        <v>270</v>
      </c>
      <c r="T8" s="287">
        <f>B31</f>
        <v>1.04753425E-2</v>
      </c>
      <c r="U8" s="249" t="s">
        <v>69</v>
      </c>
      <c r="V8" s="249" t="s">
        <v>431</v>
      </c>
      <c r="W8" s="289">
        <f>B244</f>
        <v>55</v>
      </c>
      <c r="X8" s="249" t="s">
        <v>165</v>
      </c>
      <c r="Y8" s="249" t="s">
        <v>425</v>
      </c>
      <c r="Z8" s="289">
        <f>B220</f>
        <v>55</v>
      </c>
      <c r="AA8" s="249" t="s">
        <v>165</v>
      </c>
      <c r="AB8" s="262" t="s">
        <v>476</v>
      </c>
      <c r="AC8" s="298">
        <f>B220</f>
        <v>55</v>
      </c>
      <c r="AD8" s="298">
        <f>B232</f>
        <v>55</v>
      </c>
      <c r="AE8" s="298">
        <f>B244</f>
        <v>55</v>
      </c>
      <c r="AF8" s="298">
        <f>B256</f>
        <v>55</v>
      </c>
      <c r="AG8" s="298">
        <f>B270</f>
        <v>55</v>
      </c>
      <c r="AH8" s="262" t="s">
        <v>26</v>
      </c>
      <c r="AI8" s="266" t="s">
        <v>270</v>
      </c>
      <c r="AJ8" s="287">
        <f>B31</f>
        <v>1.04753425E-2</v>
      </c>
      <c r="AK8" s="249" t="s">
        <v>69</v>
      </c>
      <c r="AL8" s="266" t="s">
        <v>270</v>
      </c>
      <c r="AM8" s="287">
        <f>B31</f>
        <v>1.04753425E-2</v>
      </c>
      <c r="AN8" s="249" t="s">
        <v>69</v>
      </c>
      <c r="AO8" s="266" t="s">
        <v>270</v>
      </c>
      <c r="AP8" s="287">
        <f>B31</f>
        <v>1.04753425E-2</v>
      </c>
      <c r="AQ8" s="249" t="s">
        <v>69</v>
      </c>
      <c r="AR8" s="266" t="s">
        <v>270</v>
      </c>
      <c r="AS8" s="287">
        <f>B31</f>
        <v>1.04753425E-2</v>
      </c>
      <c r="AT8" s="249" t="s">
        <v>69</v>
      </c>
      <c r="AU8" s="266" t="s">
        <v>270</v>
      </c>
      <c r="AV8" s="287">
        <f>B31</f>
        <v>1.04753425E-2</v>
      </c>
      <c r="AW8" s="249" t="s">
        <v>69</v>
      </c>
      <c r="AX8" s="266" t="s">
        <v>270</v>
      </c>
      <c r="AY8" s="287">
        <f>B31</f>
        <v>1.04753425E-2</v>
      </c>
      <c r="AZ8" s="249" t="s">
        <v>69</v>
      </c>
      <c r="BA8" s="266" t="s">
        <v>270</v>
      </c>
      <c r="BB8" s="287">
        <f>B31</f>
        <v>1.04753425E-2</v>
      </c>
      <c r="BC8" s="249" t="s">
        <v>69</v>
      </c>
      <c r="BD8" s="266" t="s">
        <v>270</v>
      </c>
      <c r="BE8" s="287">
        <f>B31</f>
        <v>1.04753425E-2</v>
      </c>
      <c r="BF8" s="249" t="s">
        <v>69</v>
      </c>
      <c r="BG8" s="266" t="s">
        <v>270</v>
      </c>
      <c r="BH8" s="287">
        <f>B31</f>
        <v>1.04753425E-2</v>
      </c>
      <c r="BI8" s="249" t="s">
        <v>69</v>
      </c>
      <c r="BJ8" s="266" t="s">
        <v>270</v>
      </c>
      <c r="BK8" s="287">
        <f>B31</f>
        <v>1.04753425E-2</v>
      </c>
      <c r="BL8" s="249" t="s">
        <v>69</v>
      </c>
      <c r="BM8" s="266" t="s">
        <v>270</v>
      </c>
      <c r="BN8" s="287">
        <f>B31</f>
        <v>1.04753425E-2</v>
      </c>
      <c r="BO8" s="249" t="s">
        <v>69</v>
      </c>
      <c r="BP8" s="266" t="s">
        <v>270</v>
      </c>
      <c r="BQ8" s="287">
        <f>B31</f>
        <v>1.04753425E-2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3.5145699120000001E-15</v>
      </c>
      <c r="BX8" s="263" t="s">
        <v>35</v>
      </c>
      <c r="BY8" s="262" t="s">
        <v>71</v>
      </c>
      <c r="BZ8" s="287">
        <f>B23</f>
        <v>1.6930652399999999E-9</v>
      </c>
      <c r="CA8" s="262" t="s">
        <v>95</v>
      </c>
      <c r="CB8" s="266" t="s">
        <v>270</v>
      </c>
      <c r="CC8" s="287">
        <f>B31</f>
        <v>1.04753425E-2</v>
      </c>
      <c r="CD8" s="249" t="s">
        <v>69</v>
      </c>
      <c r="CE8" s="266" t="s">
        <v>270</v>
      </c>
      <c r="CF8" s="287">
        <f>B31</f>
        <v>1.04753425E-2</v>
      </c>
      <c r="CG8" s="249" t="s">
        <v>69</v>
      </c>
      <c r="CH8" s="266" t="s">
        <v>270</v>
      </c>
      <c r="CI8" s="287">
        <f>B31</f>
        <v>1.04753425E-2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0</v>
      </c>
      <c r="CT8" s="262" t="s">
        <v>71</v>
      </c>
      <c r="CU8" s="287">
        <f>B23</f>
        <v>1.6930652399999999E-9</v>
      </c>
      <c r="CV8" s="262" t="s">
        <v>95</v>
      </c>
      <c r="CW8" s="249" t="s">
        <v>25</v>
      </c>
      <c r="CX8" s="289">
        <f>B159</f>
        <v>55</v>
      </c>
      <c r="CY8" s="249" t="s">
        <v>34</v>
      </c>
      <c r="CZ8" s="262" t="s">
        <v>161</v>
      </c>
      <c r="DA8" s="309">
        <f>B29</f>
        <v>3.5145699120000001E-15</v>
      </c>
      <c r="DB8" s="262" t="s">
        <v>35</v>
      </c>
      <c r="DC8" s="262" t="s">
        <v>380</v>
      </c>
      <c r="DD8" s="297">
        <f>B139</f>
        <v>55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55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55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55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55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55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55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1.04753425E-2</v>
      </c>
      <c r="HF8" s="249" t="s">
        <v>69</v>
      </c>
    </row>
    <row r="9" spans="1:214" x14ac:dyDescent="0.2">
      <c r="A9" s="279" t="s">
        <v>459</v>
      </c>
      <c r="B9" s="363">
        <v>0.72299999999999998</v>
      </c>
      <c r="C9" s="241"/>
      <c r="D9" s="249" t="s">
        <v>341</v>
      </c>
      <c r="E9" s="289">
        <f>B66</f>
        <v>20</v>
      </c>
      <c r="F9" s="249" t="s">
        <v>69</v>
      </c>
      <c r="G9" s="262" t="s">
        <v>438</v>
      </c>
      <c r="H9" s="287">
        <f>B30</f>
        <v>0</v>
      </c>
      <c r="I9" s="267" t="s">
        <v>35</v>
      </c>
      <c r="J9" s="262" t="s">
        <v>438</v>
      </c>
      <c r="K9" s="287">
        <f>B30</f>
        <v>0</v>
      </c>
      <c r="L9" s="267" t="s">
        <v>35</v>
      </c>
      <c r="M9" s="262" t="s">
        <v>338</v>
      </c>
      <c r="N9" s="289">
        <f>B68</f>
        <v>55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5</v>
      </c>
      <c r="X9" s="249" t="s">
        <v>169</v>
      </c>
      <c r="Y9" s="249" t="s">
        <v>75</v>
      </c>
      <c r="Z9" s="289">
        <f>B221</f>
        <v>5</v>
      </c>
      <c r="AA9" s="249" t="s">
        <v>169</v>
      </c>
      <c r="AB9" s="262" t="s">
        <v>317</v>
      </c>
      <c r="AC9" s="287">
        <f>B22</f>
        <v>0</v>
      </c>
      <c r="AD9" s="287">
        <f>B22</f>
        <v>0</v>
      </c>
      <c r="AE9" s="287">
        <f>B22</f>
        <v>0</v>
      </c>
      <c r="AF9" s="287">
        <f>B22</f>
        <v>0</v>
      </c>
      <c r="AG9" s="287">
        <f>B22</f>
        <v>0</v>
      </c>
      <c r="AH9" s="262" t="s">
        <v>35</v>
      </c>
      <c r="AI9" s="262" t="s">
        <v>40</v>
      </c>
      <c r="AJ9" s="289">
        <f>B232</f>
        <v>55</v>
      </c>
      <c r="AK9" s="249" t="s">
        <v>26</v>
      </c>
      <c r="AL9" s="262" t="s">
        <v>40</v>
      </c>
      <c r="AM9" s="289">
        <f>B232</f>
        <v>55</v>
      </c>
      <c r="AN9" s="249" t="s">
        <v>26</v>
      </c>
      <c r="AO9" s="262" t="s">
        <v>40</v>
      </c>
      <c r="AP9" s="289">
        <f>B232</f>
        <v>55</v>
      </c>
      <c r="AQ9" s="249" t="s">
        <v>26</v>
      </c>
      <c r="AR9" s="262" t="s">
        <v>431</v>
      </c>
      <c r="AS9" s="289">
        <f>B244</f>
        <v>55</v>
      </c>
      <c r="AT9" s="249" t="s">
        <v>26</v>
      </c>
      <c r="AU9" s="262" t="s">
        <v>431</v>
      </c>
      <c r="AV9" s="289">
        <f>B244</f>
        <v>55</v>
      </c>
      <c r="AW9" s="249" t="s">
        <v>26</v>
      </c>
      <c r="AX9" s="262" t="s">
        <v>431</v>
      </c>
      <c r="AY9" s="289">
        <f>B244</f>
        <v>55</v>
      </c>
      <c r="AZ9" s="249" t="s">
        <v>26</v>
      </c>
      <c r="BA9" s="262" t="s">
        <v>425</v>
      </c>
      <c r="BB9" s="289">
        <f>B220</f>
        <v>55</v>
      </c>
      <c r="BC9" s="249" t="s">
        <v>26</v>
      </c>
      <c r="BD9" s="262" t="s">
        <v>425</v>
      </c>
      <c r="BE9" s="289">
        <f>B220</f>
        <v>55</v>
      </c>
      <c r="BF9" s="249" t="s">
        <v>26</v>
      </c>
      <c r="BG9" s="262" t="s">
        <v>425</v>
      </c>
      <c r="BH9" s="289">
        <f>B220</f>
        <v>55</v>
      </c>
      <c r="BI9" s="249" t="s">
        <v>26</v>
      </c>
      <c r="BJ9" s="262" t="s">
        <v>221</v>
      </c>
      <c r="BK9" s="289">
        <f>B256</f>
        <v>55</v>
      </c>
      <c r="BL9" s="249" t="s">
        <v>26</v>
      </c>
      <c r="BM9" s="262" t="s">
        <v>221</v>
      </c>
      <c r="BN9" s="289">
        <f>B256</f>
        <v>55</v>
      </c>
      <c r="BO9" s="249" t="s">
        <v>26</v>
      </c>
      <c r="BP9" s="262" t="s">
        <v>221</v>
      </c>
      <c r="BQ9" s="289">
        <f>B256</f>
        <v>55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0</v>
      </c>
      <c r="CV9" s="267" t="s">
        <v>35</v>
      </c>
      <c r="CW9" s="249" t="s">
        <v>39</v>
      </c>
      <c r="CX9" s="289">
        <f>B157</f>
        <v>30</v>
      </c>
      <c r="CY9" s="249" t="s">
        <v>69</v>
      </c>
      <c r="CZ9" s="262" t="s">
        <v>256</v>
      </c>
      <c r="DA9" s="287">
        <f>B30</f>
        <v>0</v>
      </c>
      <c r="DB9" s="263" t="s">
        <v>35</v>
      </c>
      <c r="DC9" s="262" t="s">
        <v>381</v>
      </c>
      <c r="DD9" s="297">
        <f>B140</f>
        <v>55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30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55</v>
      </c>
      <c r="DT9" s="267" t="s">
        <v>254</v>
      </c>
      <c r="DU9" s="262"/>
      <c r="DX9" s="262" t="s">
        <v>278</v>
      </c>
      <c r="DY9" s="287">
        <f>B37</f>
        <v>0</v>
      </c>
      <c r="EA9" s="262" t="s">
        <v>278</v>
      </c>
      <c r="EB9" s="287">
        <f>B37</f>
        <v>0</v>
      </c>
      <c r="EC9" s="263"/>
      <c r="ED9" s="262" t="s">
        <v>278</v>
      </c>
      <c r="EE9" s="287">
        <f>B37</f>
        <v>0</v>
      </c>
      <c r="EF9" s="263"/>
      <c r="EG9" s="262" t="s">
        <v>482</v>
      </c>
      <c r="EH9" s="297">
        <f>B146</f>
        <v>55</v>
      </c>
      <c r="EI9" s="267" t="s">
        <v>254</v>
      </c>
      <c r="EJ9" s="262"/>
      <c r="EM9" s="262" t="s">
        <v>275</v>
      </c>
      <c r="EN9" s="287">
        <f>B38</f>
        <v>0</v>
      </c>
      <c r="EP9" s="262" t="s">
        <v>275</v>
      </c>
      <c r="EQ9" s="310">
        <f>B38</f>
        <v>0</v>
      </c>
      <c r="ER9" s="263"/>
      <c r="ES9" s="262" t="s">
        <v>275</v>
      </c>
      <c r="ET9" s="310">
        <f>B38</f>
        <v>0</v>
      </c>
      <c r="EU9" s="263"/>
      <c r="EV9" s="262" t="s">
        <v>327</v>
      </c>
      <c r="EW9" s="297">
        <f>B148</f>
        <v>55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55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55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55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0.6</v>
      </c>
    </row>
    <row r="10" spans="1:214" x14ac:dyDescent="0.2">
      <c r="A10" s="279" t="s">
        <v>460</v>
      </c>
      <c r="B10" s="363">
        <v>5.8400000000000001E-2</v>
      </c>
      <c r="C10" s="241"/>
      <c r="D10" s="88" t="s">
        <v>43</v>
      </c>
      <c r="E10" s="187">
        <f>B19</f>
        <v>3.1999999999999999E-11</v>
      </c>
      <c r="F10" s="188" t="s">
        <v>35</v>
      </c>
      <c r="G10" s="266" t="s">
        <v>80</v>
      </c>
      <c r="H10" s="294" t="e">
        <f>(H5/(H6*H15))*H70*H68*H69</f>
        <v>#DIV/0!</v>
      </c>
      <c r="I10" s="271" t="s">
        <v>313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20</v>
      </c>
      <c r="O10" s="249" t="s">
        <v>69</v>
      </c>
      <c r="P10" s="262" t="s">
        <v>341</v>
      </c>
      <c r="Q10" s="289">
        <f>B66</f>
        <v>20</v>
      </c>
      <c r="R10" s="249" t="s">
        <v>69</v>
      </c>
      <c r="S10" s="262" t="s">
        <v>341</v>
      </c>
      <c r="T10" s="289">
        <f>B66</f>
        <v>20</v>
      </c>
      <c r="U10" s="249" t="s">
        <v>69</v>
      </c>
      <c r="V10" s="249" t="s">
        <v>43</v>
      </c>
      <c r="W10" s="290">
        <f>B19</f>
        <v>3.1999999999999999E-11</v>
      </c>
      <c r="X10" s="263" t="s">
        <v>44</v>
      </c>
      <c r="Y10" s="249" t="s">
        <v>43</v>
      </c>
      <c r="Z10" s="290">
        <f>B19</f>
        <v>3.1999999999999999E-11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5</v>
      </c>
      <c r="AK10" s="249" t="s">
        <v>69</v>
      </c>
      <c r="AL10" s="262" t="s">
        <v>429</v>
      </c>
      <c r="AM10" s="289">
        <f>B233</f>
        <v>5</v>
      </c>
      <c r="AN10" s="249" t="s">
        <v>69</v>
      </c>
      <c r="AO10" s="262" t="s">
        <v>429</v>
      </c>
      <c r="AP10" s="289">
        <f>B233</f>
        <v>5</v>
      </c>
      <c r="AQ10" s="249" t="s">
        <v>69</v>
      </c>
      <c r="AR10" s="262" t="s">
        <v>432</v>
      </c>
      <c r="AS10" s="289">
        <f>B245</f>
        <v>5</v>
      </c>
      <c r="AT10" s="249" t="s">
        <v>69</v>
      </c>
      <c r="AU10" s="262" t="s">
        <v>432</v>
      </c>
      <c r="AV10" s="289">
        <f>B245</f>
        <v>5</v>
      </c>
      <c r="AW10" s="249" t="s">
        <v>69</v>
      </c>
      <c r="AX10" s="262" t="s">
        <v>432</v>
      </c>
      <c r="AY10" s="289">
        <f>B245</f>
        <v>5</v>
      </c>
      <c r="AZ10" s="249" t="s">
        <v>69</v>
      </c>
      <c r="BA10" s="262" t="s">
        <v>75</v>
      </c>
      <c r="BB10" s="289">
        <f>B221</f>
        <v>5</v>
      </c>
      <c r="BC10" s="249" t="s">
        <v>69</v>
      </c>
      <c r="BD10" s="262" t="s">
        <v>75</v>
      </c>
      <c r="BE10" s="289">
        <f>B221</f>
        <v>5</v>
      </c>
      <c r="BF10" s="249" t="s">
        <v>69</v>
      </c>
      <c r="BG10" s="262" t="s">
        <v>75</v>
      </c>
      <c r="BH10" s="289">
        <f>B221</f>
        <v>5</v>
      </c>
      <c r="BI10" s="249" t="s">
        <v>69</v>
      </c>
      <c r="BJ10" s="262" t="s">
        <v>219</v>
      </c>
      <c r="BK10" s="289">
        <f>B280</f>
        <v>11</v>
      </c>
      <c r="BL10" s="249" t="s">
        <v>130</v>
      </c>
      <c r="BM10" s="262" t="s">
        <v>219</v>
      </c>
      <c r="BN10" s="289">
        <f>B280</f>
        <v>11</v>
      </c>
      <c r="BO10" s="249" t="s">
        <v>130</v>
      </c>
      <c r="BP10" s="262" t="s">
        <v>219</v>
      </c>
      <c r="BQ10" s="289">
        <f>B280</f>
        <v>11</v>
      </c>
      <c r="BR10" s="249" t="s">
        <v>130</v>
      </c>
      <c r="BS10" s="249" t="s">
        <v>43</v>
      </c>
      <c r="BT10" s="290">
        <f>E10</f>
        <v>3.1999999999999999E-11</v>
      </c>
      <c r="BU10" s="263" t="s">
        <v>35</v>
      </c>
      <c r="BV10" s="266" t="s">
        <v>80</v>
      </c>
      <c r="BW10" s="294" t="e">
        <f>(BW5/(BW6*BW12))*BW34*BW32*BW33</f>
        <v>#DIV/0!</v>
      </c>
      <c r="BX10" s="271" t="s">
        <v>313</v>
      </c>
      <c r="BY10" s="188" t="s">
        <v>16</v>
      </c>
      <c r="BZ10" s="109">
        <f>(BZ33*BZ11)/(1-EXP(-BZ11*BZ33))</f>
        <v>1720.0392254477595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315</v>
      </c>
      <c r="CL10" s="289">
        <f>B293</f>
        <v>241</v>
      </c>
      <c r="CM10" s="249" t="s">
        <v>309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3.1999999999999999E-11</v>
      </c>
      <c r="CY10" s="263" t="s">
        <v>35</v>
      </c>
      <c r="CZ10" s="263" t="s">
        <v>16</v>
      </c>
      <c r="DA10" s="288">
        <f>(DA38*DA11)/(1-EXP(-DA11*DA38))</f>
        <v>1984.6606447474148</v>
      </c>
      <c r="DC10" s="262" t="s">
        <v>499</v>
      </c>
      <c r="DD10" s="312">
        <f>(DD11*DD14*DD15)+(DD12*DD13*DD16)</f>
        <v>90750</v>
      </c>
      <c r="DE10" s="267" t="s">
        <v>149</v>
      </c>
      <c r="DF10" s="267" t="s">
        <v>37</v>
      </c>
      <c r="DG10" s="287">
        <f>B44</f>
        <v>0</v>
      </c>
      <c r="DL10" s="267"/>
      <c r="DO10" s="267" t="s">
        <v>37</v>
      </c>
      <c r="DP10" s="287">
        <f>B44</f>
        <v>0</v>
      </c>
      <c r="DR10" s="262" t="s">
        <v>387</v>
      </c>
      <c r="DS10" s="298">
        <f>B158</f>
        <v>55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55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55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55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55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55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2</v>
      </c>
    </row>
    <row r="11" spans="1:214" x14ac:dyDescent="0.2">
      <c r="A11" s="279" t="s">
        <v>461</v>
      </c>
      <c r="B11" s="363">
        <v>0.70099999999999996</v>
      </c>
      <c r="C11" s="241"/>
      <c r="D11" s="266" t="s">
        <v>48</v>
      </c>
      <c r="E11" s="190">
        <f>((E14/E15)*E24*E12*E16)+((E15/E15)*E25*E13*E17)</f>
        <v>60500</v>
      </c>
      <c r="F11" s="88" t="s">
        <v>268</v>
      </c>
      <c r="G11" s="266" t="s">
        <v>74</v>
      </c>
      <c r="H11" s="295">
        <f>(H5/(H7*H16*H28))*H70*H68*H69</f>
        <v>1.1683902676033057E-14</v>
      </c>
      <c r="I11" s="271" t="s">
        <v>313</v>
      </c>
      <c r="J11" s="188" t="s">
        <v>16</v>
      </c>
      <c r="K11" s="109">
        <f>(K46*K12)/(1-EXP(-K12*K46))</f>
        <v>1323.1070964982766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5</v>
      </c>
      <c r="X11" s="263" t="s">
        <v>224</v>
      </c>
      <c r="Y11" s="249" t="s">
        <v>473</v>
      </c>
      <c r="Z11" s="298">
        <f>B227+B228</f>
        <v>5</v>
      </c>
      <c r="AA11" s="263" t="s">
        <v>224</v>
      </c>
      <c r="AB11" s="262" t="s">
        <v>39</v>
      </c>
      <c r="AC11" s="297">
        <f>B221</f>
        <v>5</v>
      </c>
      <c r="AD11" s="297">
        <f>B233</f>
        <v>5</v>
      </c>
      <c r="AE11" s="297">
        <f>B245</f>
        <v>5</v>
      </c>
      <c r="AF11" s="297">
        <f>B257</f>
        <v>5</v>
      </c>
      <c r="AG11" s="297">
        <f>B271</f>
        <v>5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4468.75</v>
      </c>
      <c r="BU11" s="249" t="s">
        <v>268</v>
      </c>
      <c r="BV11" s="266" t="s">
        <v>160</v>
      </c>
      <c r="BW11" s="296">
        <f>(BW5/(BW8*(1/BW31)*BW15))*BW34*BW32*BW33</f>
        <v>9.0352591483658142E-6</v>
      </c>
      <c r="BX11" s="271" t="s">
        <v>313</v>
      </c>
      <c r="BY11" s="266" t="s">
        <v>23</v>
      </c>
      <c r="BZ11" s="109">
        <f>0.693/BZ12</f>
        <v>66.155354824913829</v>
      </c>
      <c r="CA11" s="88"/>
      <c r="CB11" s="249" t="s">
        <v>456</v>
      </c>
      <c r="CC11" s="287">
        <f>B3</f>
        <v>6.8000000000000005E-2</v>
      </c>
      <c r="CE11" s="249" t="s">
        <v>454</v>
      </c>
      <c r="CF11" s="287">
        <f>B6</f>
        <v>3.7100000000000001E-2</v>
      </c>
      <c r="CH11" s="249" t="s">
        <v>460</v>
      </c>
      <c r="CI11" s="287">
        <f>B10</f>
        <v>5.8400000000000001E-2</v>
      </c>
      <c r="CK11" s="266" t="s">
        <v>270</v>
      </c>
      <c r="CL11" s="287">
        <f>B31</f>
        <v>1.04753425E-2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1984.6606447474148</v>
      </c>
      <c r="CW11" s="262" t="s">
        <v>48</v>
      </c>
      <c r="CX11" s="312">
        <f>((CX15/24)*CX24*CX12*CX16)+((CX14/24)*CX25*CX13*CX17)</f>
        <v>56718.75</v>
      </c>
      <c r="CY11" s="249" t="s">
        <v>268</v>
      </c>
      <c r="CZ11" s="262" t="s">
        <v>23</v>
      </c>
      <c r="DA11" s="288">
        <f>0.693/DA12</f>
        <v>66.155354824913829</v>
      </c>
      <c r="DC11" s="262" t="s">
        <v>382</v>
      </c>
      <c r="DD11" s="297">
        <f>B141</f>
        <v>55</v>
      </c>
      <c r="DE11" s="267" t="s">
        <v>254</v>
      </c>
      <c r="DF11" s="267" t="s">
        <v>55</v>
      </c>
      <c r="DG11" s="288">
        <f>DG19+DG20</f>
        <v>0.18144061256544503</v>
      </c>
      <c r="DL11" s="267"/>
      <c r="DO11" s="267" t="s">
        <v>55</v>
      </c>
      <c r="DP11" s="288">
        <f>DP19+DP20</f>
        <v>0.18144061256544503</v>
      </c>
      <c r="DR11" s="262" t="s">
        <v>388</v>
      </c>
      <c r="DS11" s="298">
        <f>B159</f>
        <v>55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55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55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55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55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55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20</v>
      </c>
    </row>
    <row r="12" spans="1:214" x14ac:dyDescent="0.2">
      <c r="A12" s="279" t="s">
        <v>462</v>
      </c>
      <c r="B12" s="363">
        <v>2.2499999999999999E-2</v>
      </c>
      <c r="C12" s="241"/>
      <c r="D12" s="266" t="s">
        <v>318</v>
      </c>
      <c r="E12" s="313">
        <f>B51</f>
        <v>55</v>
      </c>
      <c r="F12" s="271" t="s">
        <v>49</v>
      </c>
      <c r="G12" s="266" t="s">
        <v>160</v>
      </c>
      <c r="H12" s="295">
        <f>(H5/(H8*(1/H45)*H21))*H70*H68*H69</f>
        <v>4.004262577116667E-6</v>
      </c>
      <c r="I12" s="271" t="s">
        <v>313</v>
      </c>
      <c r="J12" s="266" t="s">
        <v>23</v>
      </c>
      <c r="K12" s="109">
        <f>0.693/K13</f>
        <v>66.155354824913829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5</v>
      </c>
      <c r="BL12" s="249" t="s">
        <v>169</v>
      </c>
      <c r="BM12" s="262" t="s">
        <v>186</v>
      </c>
      <c r="BN12" s="289">
        <f>B271</f>
        <v>5</v>
      </c>
      <c r="BO12" s="249" t="s">
        <v>169</v>
      </c>
      <c r="BP12" s="262" t="s">
        <v>186</v>
      </c>
      <c r="BQ12" s="289">
        <f>B271</f>
        <v>5</v>
      </c>
      <c r="BR12" s="249" t="s">
        <v>169</v>
      </c>
      <c r="BS12" s="262" t="s">
        <v>358</v>
      </c>
      <c r="BT12" s="292">
        <f>B99</f>
        <v>55</v>
      </c>
      <c r="BU12" s="267" t="s">
        <v>49</v>
      </c>
      <c r="BV12" s="266" t="s">
        <v>488</v>
      </c>
      <c r="BW12" s="209">
        <f>((BW17*BW20*BW22*BW25*BW13)+(BW18*BW21*BW23*BW26*BW14))</f>
        <v>9750</v>
      </c>
      <c r="BX12" s="266" t="s">
        <v>116</v>
      </c>
      <c r="BY12" s="266" t="s">
        <v>270</v>
      </c>
      <c r="BZ12" s="189">
        <f>B31</f>
        <v>1.04753425E-2</v>
      </c>
      <c r="CA12" s="88" t="s">
        <v>69</v>
      </c>
      <c r="CB12" s="249" t="s">
        <v>457</v>
      </c>
      <c r="CC12" s="287">
        <f>B4</f>
        <v>0.75600000000000001</v>
      </c>
      <c r="CE12" s="249" t="s">
        <v>455</v>
      </c>
      <c r="CF12" s="287">
        <f>B7</f>
        <v>0.65</v>
      </c>
      <c r="CH12" s="249" t="s">
        <v>461</v>
      </c>
      <c r="CI12" s="287">
        <f>B11</f>
        <v>0.70099999999999996</v>
      </c>
      <c r="CK12" s="249" t="s">
        <v>23</v>
      </c>
      <c r="CL12" s="288">
        <f>693/CL11</f>
        <v>66155.35482491384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66.155354824913829</v>
      </c>
      <c r="CW12" s="262" t="s">
        <v>53</v>
      </c>
      <c r="CX12" s="292">
        <f>B51</f>
        <v>55</v>
      </c>
      <c r="CY12" s="267" t="s">
        <v>49</v>
      </c>
      <c r="CZ12" s="266" t="s">
        <v>270</v>
      </c>
      <c r="DA12" s="287">
        <f>B31</f>
        <v>1.04753425E-2</v>
      </c>
      <c r="DB12" s="249" t="s">
        <v>69</v>
      </c>
      <c r="DC12" s="262" t="s">
        <v>383</v>
      </c>
      <c r="DD12" s="297">
        <f>B142</f>
        <v>55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10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10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10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10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10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10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364">
        <v>0.46300000000000002</v>
      </c>
      <c r="C13" s="242"/>
      <c r="D13" s="266" t="s">
        <v>319</v>
      </c>
      <c r="E13" s="313">
        <f>B52</f>
        <v>55</v>
      </c>
      <c r="F13" s="271" t="s">
        <v>49</v>
      </c>
      <c r="G13" s="266" t="s">
        <v>249</v>
      </c>
      <c r="H13" s="295" t="e">
        <f>(H14/((1/H42)*(H50+H51+H52)))</f>
        <v>#DIV/0!</v>
      </c>
      <c r="I13" s="271" t="s">
        <v>313</v>
      </c>
      <c r="J13" s="266" t="s">
        <v>270</v>
      </c>
      <c r="K13" s="189">
        <f>B31</f>
        <v>1.04753425E-2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55</v>
      </c>
      <c r="X13" s="263" t="s">
        <v>49</v>
      </c>
      <c r="Y13" s="249" t="s">
        <v>474</v>
      </c>
      <c r="Z13" s="297">
        <f>B219</f>
        <v>55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11</v>
      </c>
      <c r="AG13" s="297">
        <f>B280</f>
        <v>11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6.8000000000000005E-2</v>
      </c>
      <c r="BM13" s="249" t="s">
        <v>454</v>
      </c>
      <c r="BN13" s="287">
        <f>B6</f>
        <v>3.7100000000000001E-2</v>
      </c>
      <c r="BP13" s="249" t="s">
        <v>460</v>
      </c>
      <c r="BQ13" s="287">
        <f>B10</f>
        <v>5.8400000000000001E-2</v>
      </c>
      <c r="BS13" s="262" t="s">
        <v>360</v>
      </c>
      <c r="BT13" s="292">
        <f>B100</f>
        <v>55</v>
      </c>
      <c r="BU13" s="267" t="s">
        <v>49</v>
      </c>
      <c r="BV13" s="266" t="s">
        <v>305</v>
      </c>
      <c r="BW13" s="194">
        <f>B101</f>
        <v>5</v>
      </c>
      <c r="BX13" s="266" t="s">
        <v>361</v>
      </c>
      <c r="BY13" s="266" t="s">
        <v>80</v>
      </c>
      <c r="BZ13" s="294" t="e">
        <f>((BZ5/(BZ6*BZ16*(1/BZ36)))*BZ10)*BZ12*BZ37*BZ38</f>
        <v>#DIV/0!</v>
      </c>
      <c r="CA13" s="271" t="s">
        <v>311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1720039.22544776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1.04753425E-2</v>
      </c>
      <c r="CV13" s="88" t="s">
        <v>69</v>
      </c>
      <c r="CW13" s="266" t="s">
        <v>57</v>
      </c>
      <c r="CX13" s="313">
        <f>B52</f>
        <v>55</v>
      </c>
      <c r="CY13" s="271" t="s">
        <v>49</v>
      </c>
      <c r="CZ13" s="266" t="s">
        <v>80</v>
      </c>
      <c r="DA13" s="294" t="e">
        <f>(DA5/(DA6*DA23))*DA12*DA50*DA51</f>
        <v>#DIV/0!</v>
      </c>
      <c r="DB13" s="266" t="s">
        <v>313</v>
      </c>
      <c r="DC13" s="262" t="s">
        <v>387</v>
      </c>
      <c r="DD13" s="297">
        <f>B158</f>
        <v>55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20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20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20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20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20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20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15</v>
      </c>
      <c r="F14" s="88" t="s">
        <v>224</v>
      </c>
      <c r="G14" s="266" t="s">
        <v>248</v>
      </c>
      <c r="H14" s="296" t="e">
        <f>(H5/(H9*(H22+H25)*H43))*H70*H68*H69</f>
        <v>#DIV/0!</v>
      </c>
      <c r="I14" s="271" t="s">
        <v>311</v>
      </c>
      <c r="J14" s="266" t="s">
        <v>80</v>
      </c>
      <c r="K14" s="294" t="e">
        <f>((K5/(K6*K19*(1/K49)))*K11)*K13*K54*K55</f>
        <v>#DIV/0!</v>
      </c>
      <c r="L14" s="271" t="s">
        <v>311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1.6230073680000001E-12</v>
      </c>
      <c r="X14" s="262" t="s">
        <v>64</v>
      </c>
      <c r="Y14" s="262" t="s">
        <v>63</v>
      </c>
      <c r="Z14" s="287">
        <f>B28</f>
        <v>1.6230073680000001E-12</v>
      </c>
      <c r="AA14" s="262" t="s">
        <v>64</v>
      </c>
      <c r="AB14" s="262" t="s">
        <v>301</v>
      </c>
      <c r="AC14" s="297">
        <f>B222</f>
        <v>55</v>
      </c>
      <c r="AD14" s="297">
        <f>B234</f>
        <v>55</v>
      </c>
      <c r="AE14" s="297">
        <f>B246</f>
        <v>55</v>
      </c>
      <c r="AF14" s="297">
        <f>B258</f>
        <v>55</v>
      </c>
      <c r="AG14" s="297">
        <f>B272</f>
        <v>55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5</v>
      </c>
      <c r="AT14" s="249" t="s">
        <v>224</v>
      </c>
      <c r="AU14" s="262" t="s">
        <v>466</v>
      </c>
      <c r="AV14" s="289">
        <f>B251</f>
        <v>5</v>
      </c>
      <c r="AW14" s="249" t="s">
        <v>224</v>
      </c>
      <c r="AX14" s="262" t="s">
        <v>466</v>
      </c>
      <c r="AY14" s="289">
        <f>B251</f>
        <v>5</v>
      </c>
      <c r="AZ14" s="249" t="s">
        <v>224</v>
      </c>
      <c r="BA14" s="262" t="s">
        <v>467</v>
      </c>
      <c r="BB14" s="289">
        <f>B227</f>
        <v>2</v>
      </c>
      <c r="BC14" s="249" t="s">
        <v>224</v>
      </c>
      <c r="BD14" s="262" t="s">
        <v>467</v>
      </c>
      <c r="BE14" s="289">
        <f>B227</f>
        <v>2</v>
      </c>
      <c r="BF14" s="249" t="s">
        <v>224</v>
      </c>
      <c r="BG14" s="262" t="s">
        <v>467</v>
      </c>
      <c r="BH14" s="289">
        <f>B227</f>
        <v>2</v>
      </c>
      <c r="BI14" s="249" t="s">
        <v>224</v>
      </c>
      <c r="BJ14" s="249" t="s">
        <v>457</v>
      </c>
      <c r="BK14" s="287">
        <f>B4</f>
        <v>0.75600000000000001</v>
      </c>
      <c r="BM14" s="249" t="s">
        <v>455</v>
      </c>
      <c r="BN14" s="287">
        <f>B7</f>
        <v>0.65</v>
      </c>
      <c r="BP14" s="249" t="s">
        <v>461</v>
      </c>
      <c r="BQ14" s="287">
        <f>B11</f>
        <v>0.70099999999999996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5</v>
      </c>
      <c r="BX14" s="266" t="s">
        <v>361</v>
      </c>
      <c r="BY14" s="266" t="s">
        <v>74</v>
      </c>
      <c r="BZ14" s="295">
        <f>((BZ5/(BZ7*BZ17*(1/BZ9)*BZ35))*BZ10)*BZ12*BZ37*BZ38</f>
        <v>0.11557799199736668</v>
      </c>
      <c r="CA14" s="271" t="s">
        <v>311</v>
      </c>
      <c r="CB14" s="249" t="s">
        <v>71</v>
      </c>
      <c r="CC14" s="290">
        <f>B23</f>
        <v>1.6930652399999999E-9</v>
      </c>
      <c r="CD14" s="263" t="s">
        <v>72</v>
      </c>
      <c r="CE14" s="249" t="s">
        <v>71</v>
      </c>
      <c r="CF14" s="290">
        <f>B25</f>
        <v>3.5682809472000002E-10</v>
      </c>
      <c r="CG14" s="263" t="s">
        <v>72</v>
      </c>
      <c r="CH14" s="249" t="s">
        <v>71</v>
      </c>
      <c r="CI14" s="290">
        <f>B27</f>
        <v>1.5412731840000001E-9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 t="e">
        <f>((CU5/(CU6*CU24*(1/CU47)))*CU11)*CU13*CU48*CU49</f>
        <v>#DIV/0!</v>
      </c>
      <c r="CV14" s="271" t="s">
        <v>311</v>
      </c>
      <c r="CW14" s="266" t="s">
        <v>389</v>
      </c>
      <c r="CX14" s="192">
        <f>B160</f>
        <v>15</v>
      </c>
      <c r="CY14" s="88" t="s">
        <v>224</v>
      </c>
      <c r="CZ14" s="266" t="s">
        <v>74</v>
      </c>
      <c r="DA14" s="295">
        <f>(DA5/(DA7*DA24*DA46))*DA12*DA50*DA51</f>
        <v>7.7892684506887061E-12</v>
      </c>
      <c r="DB14" s="266" t="s">
        <v>313</v>
      </c>
      <c r="DC14" s="262" t="s">
        <v>388</v>
      </c>
      <c r="DD14" s="297">
        <f>B159</f>
        <v>55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30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30</v>
      </c>
      <c r="EI14" s="263" t="s">
        <v>69</v>
      </c>
      <c r="EJ14" s="267"/>
      <c r="EP14" s="263" t="s">
        <v>494</v>
      </c>
      <c r="EQ14" s="307">
        <f>EH14</f>
        <v>30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30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30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30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30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30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30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30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15</v>
      </c>
      <c r="F15" s="88" t="s">
        <v>224</v>
      </c>
      <c r="G15" s="266" t="s">
        <v>440</v>
      </c>
      <c r="H15" s="193">
        <f>H32*H29*H17+H33*H30*H18</f>
        <v>5500</v>
      </c>
      <c r="I15" s="266" t="s">
        <v>116</v>
      </c>
      <c r="J15" s="266" t="s">
        <v>74</v>
      </c>
      <c r="K15" s="295">
        <f>((K5/(K7*K20*(1/K10)*K48))*K11)*K13*K54*K55</f>
        <v>1.050709018157879E-2</v>
      </c>
      <c r="L15" s="271" t="s">
        <v>311</v>
      </c>
      <c r="M15" s="249" t="s">
        <v>448</v>
      </c>
      <c r="N15" s="290">
        <f>B23</f>
        <v>1.6930652399999999E-9</v>
      </c>
      <c r="O15" s="263" t="s">
        <v>446</v>
      </c>
      <c r="P15" s="249" t="s">
        <v>449</v>
      </c>
      <c r="Q15" s="290">
        <f>B25</f>
        <v>3.5682809472000002E-10</v>
      </c>
      <c r="R15" s="263" t="s">
        <v>446</v>
      </c>
      <c r="S15" s="249" t="s">
        <v>453</v>
      </c>
      <c r="T15" s="290">
        <f>B27</f>
        <v>1.5412731840000001E-9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1.6930652399999999E-9</v>
      </c>
      <c r="AK15" s="263" t="s">
        <v>72</v>
      </c>
      <c r="AL15" s="262" t="s">
        <v>449</v>
      </c>
      <c r="AM15" s="290">
        <f>B25</f>
        <v>3.5682809472000002E-10</v>
      </c>
      <c r="AN15" s="263" t="s">
        <v>72</v>
      </c>
      <c r="AO15" s="262" t="s">
        <v>452</v>
      </c>
      <c r="AP15" s="290">
        <f>B27</f>
        <v>1.5412731840000001E-9</v>
      </c>
      <c r="AQ15" s="263" t="s">
        <v>72</v>
      </c>
      <c r="AR15" s="249" t="s">
        <v>448</v>
      </c>
      <c r="AS15" s="290">
        <f>B23</f>
        <v>1.6930652399999999E-9</v>
      </c>
      <c r="AT15" s="263" t="s">
        <v>72</v>
      </c>
      <c r="AU15" s="262" t="s">
        <v>449</v>
      </c>
      <c r="AV15" s="290">
        <f>B25</f>
        <v>3.5682809472000002E-10</v>
      </c>
      <c r="AW15" s="263" t="s">
        <v>72</v>
      </c>
      <c r="AX15" s="262" t="s">
        <v>452</v>
      </c>
      <c r="AY15" s="290">
        <f>B27</f>
        <v>1.5412731840000001E-9</v>
      </c>
      <c r="AZ15" s="263" t="s">
        <v>72</v>
      </c>
      <c r="BA15" s="249" t="s">
        <v>448</v>
      </c>
      <c r="BB15" s="290">
        <f>B23</f>
        <v>1.6930652399999999E-9</v>
      </c>
      <c r="BC15" s="263" t="s">
        <v>72</v>
      </c>
      <c r="BD15" s="262" t="s">
        <v>449</v>
      </c>
      <c r="BE15" s="290">
        <f>B25</f>
        <v>3.5682809472000002E-10</v>
      </c>
      <c r="BF15" s="263" t="s">
        <v>72</v>
      </c>
      <c r="BG15" s="262" t="s">
        <v>452</v>
      </c>
      <c r="BH15" s="290">
        <f>B27</f>
        <v>1.5412731840000001E-9</v>
      </c>
      <c r="BI15" s="263" t="s">
        <v>72</v>
      </c>
      <c r="BJ15" s="262" t="s">
        <v>471</v>
      </c>
      <c r="BK15" s="289">
        <f>B276</f>
        <v>5</v>
      </c>
      <c r="BL15" s="249" t="s">
        <v>224</v>
      </c>
      <c r="BM15" s="262" t="s">
        <v>471</v>
      </c>
      <c r="BN15" s="289">
        <f>B276</f>
        <v>5</v>
      </c>
      <c r="BO15" s="249" t="s">
        <v>224</v>
      </c>
      <c r="BP15" s="262" t="s">
        <v>471</v>
      </c>
      <c r="BQ15" s="289">
        <f>B276</f>
        <v>5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(((BZ5)/(BZ8*BZ22*(1/BZ34)*BZ25*BZ28*(1/24)*BZ31*BZ32))*BZ10)*BZ12*BZ37*BZ38</f>
        <v>6.2754771085269832E-4</v>
      </c>
      <c r="CA15" s="271" t="s">
        <v>311</v>
      </c>
      <c r="CB15" s="95" t="s">
        <v>315</v>
      </c>
      <c r="CC15" s="289">
        <f>B293</f>
        <v>241</v>
      </c>
      <c r="CD15" s="249" t="s">
        <v>309</v>
      </c>
      <c r="CE15" s="95" t="s">
        <v>315</v>
      </c>
      <c r="CF15" s="289">
        <f>B293</f>
        <v>241</v>
      </c>
      <c r="CG15" s="249" t="s">
        <v>309</v>
      </c>
      <c r="CH15" s="95" t="s">
        <v>315</v>
      </c>
      <c r="CI15" s="289">
        <f>B293</f>
        <v>241</v>
      </c>
      <c r="CJ15" s="249" t="s">
        <v>309</v>
      </c>
      <c r="CK15" s="267" t="s">
        <v>310</v>
      </c>
      <c r="CL15" s="289">
        <f>B294</f>
        <v>2.8000000000000002E-12</v>
      </c>
      <c r="CT15" s="266" t="s">
        <v>74</v>
      </c>
      <c r="CU15" s="295">
        <f>((CU5/(CU7*CU25*(1/CU10)*CU46))*CU11)*CU13*CU48*CU49</f>
        <v>1.050709018157879E-2</v>
      </c>
      <c r="CV15" s="271" t="s">
        <v>311</v>
      </c>
      <c r="CW15" s="266" t="s">
        <v>390</v>
      </c>
      <c r="CX15" s="192">
        <f>B161</f>
        <v>15</v>
      </c>
      <c r="CY15" s="88" t="s">
        <v>224</v>
      </c>
      <c r="CZ15" s="266" t="s">
        <v>160</v>
      </c>
      <c r="DA15" s="301">
        <f>(DA5/(DA8*DA25*(DA47/DA48)))*DA12*DA50*DA51</f>
        <v>2.6695083847444448E-3</v>
      </c>
      <c r="DB15" s="266" t="s">
        <v>313</v>
      </c>
      <c r="DC15" s="262" t="s">
        <v>384</v>
      </c>
      <c r="DD15" s="298">
        <f>B155</f>
        <v>10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30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2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95" t="s">
        <v>315</v>
      </c>
      <c r="HE15" s="292">
        <f>B293</f>
        <v>241</v>
      </c>
      <c r="HF15" s="249" t="s">
        <v>309</v>
      </c>
    </row>
    <row r="16" spans="1:214" x14ac:dyDescent="0.2">
      <c r="A16" s="585"/>
      <c r="B16" s="586"/>
      <c r="C16" s="686"/>
      <c r="D16" s="88" t="s">
        <v>343</v>
      </c>
      <c r="E16" s="194">
        <f>B64</f>
        <v>5</v>
      </c>
      <c r="F16" s="88" t="s">
        <v>69</v>
      </c>
      <c r="G16" s="266" t="s">
        <v>441</v>
      </c>
      <c r="H16" s="195">
        <f>H29*H19*H32*H36*(1/24)+H30*H20*H33*H37*(1/24)</f>
        <v>37812.5</v>
      </c>
      <c r="I16" s="266" t="s">
        <v>268</v>
      </c>
      <c r="J16" s="266" t="s">
        <v>117</v>
      </c>
      <c r="K16" s="295">
        <f>((K5/(K8*K45*((K40*K44*(1/24))+(K41*K43*(1/24)))*K32*(1/K47)*K34))*K11)*K13*K54*K55</f>
        <v>8.7039824082338113E-6</v>
      </c>
      <c r="L16" s="271" t="s">
        <v>311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((W5)/((W11/W12)*W8*W9*W10*W13))*W7*W20*W21</f>
        <v>7.010341605619834E-14</v>
      </c>
      <c r="X16" s="88" t="s">
        <v>15</v>
      </c>
      <c r="Y16" s="88" t="s">
        <v>74</v>
      </c>
      <c r="Z16" s="294">
        <f>((Z5)/((Z11/Z12)*Z8*Z9*Z10*Z13))*Z7*Z20*Z21</f>
        <v>7.010341605619834E-14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6.8000000000000005E-2</v>
      </c>
      <c r="AG16" s="305">
        <f>B3</f>
        <v>6.8000000000000005E-2</v>
      </c>
      <c r="AH16" s="267"/>
      <c r="AI16" s="262" t="s">
        <v>470</v>
      </c>
      <c r="AJ16" s="289">
        <f>B240</f>
        <v>5</v>
      </c>
      <c r="AK16" s="249" t="s">
        <v>224</v>
      </c>
      <c r="AL16" s="262" t="s">
        <v>470</v>
      </c>
      <c r="AM16" s="289">
        <f>B240</f>
        <v>5</v>
      </c>
      <c r="AN16" s="249" t="s">
        <v>224</v>
      </c>
      <c r="AO16" s="262" t="s">
        <v>470</v>
      </c>
      <c r="AP16" s="289">
        <f>B240</f>
        <v>5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3</v>
      </c>
      <c r="BC16" s="249" t="s">
        <v>224</v>
      </c>
      <c r="BD16" s="262" t="s">
        <v>468</v>
      </c>
      <c r="BE16" s="289">
        <f>B228</f>
        <v>3</v>
      </c>
      <c r="BF16" s="249" t="s">
        <v>224</v>
      </c>
      <c r="BG16" s="262" t="s">
        <v>468</v>
      </c>
      <c r="BH16" s="289">
        <f>B228</f>
        <v>3</v>
      </c>
      <c r="BI16" s="249" t="s">
        <v>224</v>
      </c>
      <c r="BJ16" s="249" t="s">
        <v>448</v>
      </c>
      <c r="BK16" s="290">
        <f>B23</f>
        <v>1.6930652399999999E-9</v>
      </c>
      <c r="BL16" s="263" t="s">
        <v>72</v>
      </c>
      <c r="BM16" s="262" t="s">
        <v>449</v>
      </c>
      <c r="BN16" s="290">
        <f>B25</f>
        <v>3.5682809472000002E-10</v>
      </c>
      <c r="BO16" s="263" t="s">
        <v>72</v>
      </c>
      <c r="BP16" s="262" t="s">
        <v>452</v>
      </c>
      <c r="BQ16" s="290">
        <f>B27</f>
        <v>1.5412731840000001E-9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107250</v>
      </c>
      <c r="CA16" s="262" t="s">
        <v>267</v>
      </c>
      <c r="CB16" s="267" t="s">
        <v>310</v>
      </c>
      <c r="CC16" s="293">
        <f>B294</f>
        <v>2.8000000000000002E-12</v>
      </c>
      <c r="CD16" s="262"/>
      <c r="CE16" s="267" t="s">
        <v>310</v>
      </c>
      <c r="CF16" s="293">
        <f>B294</f>
        <v>2.8000000000000002E-12</v>
      </c>
      <c r="CG16" s="262"/>
      <c r="CH16" s="267" t="s">
        <v>310</v>
      </c>
      <c r="CI16" s="289">
        <f>B294</f>
        <v>2.8000000000000002E-12</v>
      </c>
      <c r="CK16" s="267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((CU5*CU44*CU12)/((1-EXP(-CU12*CU44))*CU8*CU31*(1/365)*CU32*((CU38*(1/24)*CU42)+(CU39*(1/24)*CU41))*CU43))*CU13*CU48*CU49</f>
        <v>1.2046225856869395E-5</v>
      </c>
      <c r="CV16" s="271" t="s">
        <v>311</v>
      </c>
      <c r="CW16" s="88" t="s">
        <v>73</v>
      </c>
      <c r="CX16" s="194">
        <f>B155</f>
        <v>10</v>
      </c>
      <c r="CY16" s="88" t="s">
        <v>69</v>
      </c>
      <c r="CZ16" s="266" t="s">
        <v>170</v>
      </c>
      <c r="DA16" s="301" t="e">
        <f>DG2</f>
        <v>#DIV/0!</v>
      </c>
      <c r="DB16" s="266" t="s">
        <v>313</v>
      </c>
      <c r="DC16" s="262" t="s">
        <v>385</v>
      </c>
      <c r="DD16" s="298">
        <f>B156</f>
        <v>20</v>
      </c>
      <c r="DE16" s="262" t="s">
        <v>69</v>
      </c>
      <c r="DF16" s="267" t="s">
        <v>81</v>
      </c>
      <c r="DG16" s="299">
        <f>DG20+(0.693/DG22)</f>
        <v>0.23091361256544501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0.23091361256544501</v>
      </c>
      <c r="DQ16" s="262" t="s">
        <v>82</v>
      </c>
      <c r="DR16" s="267" t="s">
        <v>400</v>
      </c>
      <c r="DS16" s="297">
        <f>B175</f>
        <v>2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0.23091361256544501</v>
      </c>
      <c r="EF16" s="262" t="s">
        <v>82</v>
      </c>
      <c r="EG16" s="267" t="s">
        <v>401</v>
      </c>
      <c r="EH16" s="297">
        <f>B176</f>
        <v>2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0.23091361256544501</v>
      </c>
      <c r="EU16" s="262" t="s">
        <v>82</v>
      </c>
      <c r="EV16" s="267" t="s">
        <v>402</v>
      </c>
      <c r="EW16" s="297">
        <f>B177</f>
        <v>2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0.23091361256544501</v>
      </c>
      <c r="FJ16" s="262" t="s">
        <v>82</v>
      </c>
      <c r="FK16" s="267" t="s">
        <v>403</v>
      </c>
      <c r="FL16" s="297">
        <f>B178</f>
        <v>2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2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0.23091361256544501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0.23091361256544501</v>
      </c>
      <c r="HC16" s="262" t="s">
        <v>82</v>
      </c>
      <c r="HD16" s="267" t="s">
        <v>310</v>
      </c>
      <c r="HE16" s="292">
        <f>B294</f>
        <v>2.8000000000000002E-12</v>
      </c>
      <c r="HF16" s="267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15</v>
      </c>
      <c r="F17" s="266" t="s">
        <v>69</v>
      </c>
      <c r="G17" s="266" t="s">
        <v>322</v>
      </c>
      <c r="H17" s="194">
        <f>B55</f>
        <v>5</v>
      </c>
      <c r="I17" s="266" t="s">
        <v>30</v>
      </c>
      <c r="J17" s="266" t="s">
        <v>249</v>
      </c>
      <c r="K17" s="301" t="e">
        <f>(K18/(K50+K51))*K11</f>
        <v>#DIV/0!</v>
      </c>
      <c r="L17" s="271" t="s">
        <v>311</v>
      </c>
      <c r="M17" s="95" t="s">
        <v>315</v>
      </c>
      <c r="N17" s="293">
        <f>B293</f>
        <v>241</v>
      </c>
      <c r="O17" s="249" t="s">
        <v>309</v>
      </c>
      <c r="P17" s="95" t="s">
        <v>315</v>
      </c>
      <c r="Q17" s="293">
        <f>B293</f>
        <v>241</v>
      </c>
      <c r="R17" s="249" t="s">
        <v>309</v>
      </c>
      <c r="S17" s="95" t="s">
        <v>315</v>
      </c>
      <c r="T17" s="293">
        <f>B293</f>
        <v>241</v>
      </c>
      <c r="U17" s="249" t="s">
        <v>309</v>
      </c>
      <c r="V17" s="88" t="s">
        <v>78</v>
      </c>
      <c r="W17" s="296">
        <f>((W5)/((W11/W12)*W8*W9*W14*(1/365)))*W7*W20*W21</f>
        <v>2.7747523124307725E-8</v>
      </c>
      <c r="X17" s="88" t="s">
        <v>15</v>
      </c>
      <c r="Y17" s="88" t="s">
        <v>78</v>
      </c>
      <c r="Z17" s="296">
        <f>((Z5)/((Z11/Z12)*Z8*Z9*Z14*(1/365)))*Z7*Z20*Z21</f>
        <v>2.7747523124307725E-8</v>
      </c>
      <c r="AA17" s="88" t="s">
        <v>15</v>
      </c>
      <c r="AB17" s="262" t="s">
        <v>271</v>
      </c>
      <c r="AC17" s="292">
        <f>B219</f>
        <v>55</v>
      </c>
      <c r="AD17" s="292">
        <f>B231</f>
        <v>55</v>
      </c>
      <c r="AE17" s="292">
        <f>B243</f>
        <v>55</v>
      </c>
      <c r="AF17" s="292">
        <f>B255</f>
        <v>55</v>
      </c>
      <c r="AG17" s="292">
        <f>B269</f>
        <v>55</v>
      </c>
      <c r="AH17" s="267" t="s">
        <v>49</v>
      </c>
      <c r="AI17" s="95" t="s">
        <v>315</v>
      </c>
      <c r="AJ17" s="293">
        <f>B293</f>
        <v>241</v>
      </c>
      <c r="AK17" s="249" t="s">
        <v>309</v>
      </c>
      <c r="AL17" s="95" t="s">
        <v>315</v>
      </c>
      <c r="AM17" s="293">
        <f>B293</f>
        <v>241</v>
      </c>
      <c r="AN17" s="249" t="s">
        <v>309</v>
      </c>
      <c r="AO17" s="95" t="s">
        <v>315</v>
      </c>
      <c r="AP17" s="293">
        <f>B293</f>
        <v>241</v>
      </c>
      <c r="AQ17" s="249" t="s">
        <v>309</v>
      </c>
      <c r="AR17" s="95" t="s">
        <v>315</v>
      </c>
      <c r="AS17" s="293">
        <f>B293</f>
        <v>241</v>
      </c>
      <c r="AT17" s="249" t="s">
        <v>309</v>
      </c>
      <c r="AU17" s="95" t="s">
        <v>315</v>
      </c>
      <c r="AV17" s="293">
        <f>B293</f>
        <v>241</v>
      </c>
      <c r="AW17" s="249" t="s">
        <v>309</v>
      </c>
      <c r="AX17" s="95" t="s">
        <v>315</v>
      </c>
      <c r="AY17" s="293">
        <f>B293</f>
        <v>241</v>
      </c>
      <c r="AZ17" s="249" t="s">
        <v>309</v>
      </c>
      <c r="BA17" s="95" t="s">
        <v>315</v>
      </c>
      <c r="BB17" s="293">
        <f>B293</f>
        <v>241</v>
      </c>
      <c r="BC17" s="249" t="s">
        <v>309</v>
      </c>
      <c r="BD17" s="95" t="s">
        <v>315</v>
      </c>
      <c r="BE17" s="293">
        <f>B293</f>
        <v>241</v>
      </c>
      <c r="BF17" s="249" t="s">
        <v>309</v>
      </c>
      <c r="BG17" s="95" t="s">
        <v>315</v>
      </c>
      <c r="BH17" s="293">
        <f>B293</f>
        <v>241</v>
      </c>
      <c r="BI17" s="249" t="s">
        <v>309</v>
      </c>
      <c r="BJ17" s="95" t="s">
        <v>315</v>
      </c>
      <c r="BK17" s="293">
        <f>B293</f>
        <v>241</v>
      </c>
      <c r="BL17" s="249" t="s">
        <v>309</v>
      </c>
      <c r="BM17" s="95" t="s">
        <v>315</v>
      </c>
      <c r="BN17" s="293">
        <f>B293</f>
        <v>241</v>
      </c>
      <c r="BO17" s="249" t="s">
        <v>309</v>
      </c>
      <c r="BP17" s="95" t="s">
        <v>315</v>
      </c>
      <c r="BQ17" s="293">
        <f>B293</f>
        <v>241</v>
      </c>
      <c r="BR17" s="249" t="s">
        <v>309</v>
      </c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4468.75</v>
      </c>
      <c r="CA17" s="249" t="s">
        <v>268</v>
      </c>
      <c r="CH17" s="262"/>
      <c r="CI17" s="293"/>
      <c r="CJ17" s="262"/>
      <c r="CT17" s="266" t="s">
        <v>249</v>
      </c>
      <c r="CU17" s="301" t="e">
        <f>DJ2</f>
        <v>#DIV/0!</v>
      </c>
      <c r="CV17" s="271" t="s">
        <v>311</v>
      </c>
      <c r="CW17" s="266" t="s">
        <v>77</v>
      </c>
      <c r="CX17" s="304">
        <f>B156</f>
        <v>20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30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66.155354824913829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1.6230073680000001E-12</v>
      </c>
      <c r="F18" s="266" t="s">
        <v>64</v>
      </c>
      <c r="G18" s="266" t="s">
        <v>323</v>
      </c>
      <c r="H18" s="194">
        <f>B56</f>
        <v>5</v>
      </c>
      <c r="I18" s="266" t="s">
        <v>30</v>
      </c>
      <c r="J18" s="266" t="s">
        <v>248</v>
      </c>
      <c r="K18" s="302" t="e">
        <f>(K5/(K9*(K25+K28)*K39))*K13*K54*K55</f>
        <v>#DIV/0!</v>
      </c>
      <c r="L18" s="271" t="s">
        <v>311</v>
      </c>
      <c r="M18" s="267" t="s">
        <v>310</v>
      </c>
      <c r="N18" s="289">
        <f>B294</f>
        <v>2.8000000000000002E-12</v>
      </c>
      <c r="P18" s="267" t="s">
        <v>310</v>
      </c>
      <c r="Q18" s="289">
        <f>B294</f>
        <v>2.8000000000000002E-12</v>
      </c>
      <c r="S18" s="267" t="s">
        <v>310</v>
      </c>
      <c r="T18" s="289">
        <f>B294</f>
        <v>2.8000000000000002E-12</v>
      </c>
      <c r="V18" s="88" t="s">
        <v>74</v>
      </c>
      <c r="W18" s="294">
        <f>((W5*W6*W9)/((W11/W12)*(1-EXP(-W6*W9))*W10*W13*W8*W9))*W7*W20*W21</f>
        <v>2.3188581818181816E-11</v>
      </c>
      <c r="X18" s="88" t="s">
        <v>16</v>
      </c>
      <c r="Y18" s="88" t="s">
        <v>74</v>
      </c>
      <c r="Z18" s="294">
        <f>((Z5*Z6*Z9)/((Z11/Z12)*(1-EXP(-Z6*Z9))*Z10*Z13*Z8*Z9))*Z7*Z20*Z21</f>
        <v>2.3188581818181816E-11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AI18" s="267" t="s">
        <v>310</v>
      </c>
      <c r="AJ18" s="289">
        <f>B294</f>
        <v>2.8000000000000002E-12</v>
      </c>
      <c r="AL18" s="267" t="s">
        <v>310</v>
      </c>
      <c r="AM18" s="289">
        <f>B294</f>
        <v>2.8000000000000002E-12</v>
      </c>
      <c r="AO18" s="267" t="s">
        <v>310</v>
      </c>
      <c r="AP18" s="289">
        <f>B294</f>
        <v>2.8000000000000002E-12</v>
      </c>
      <c r="AR18" s="267" t="s">
        <v>310</v>
      </c>
      <c r="AS18" s="289">
        <f>B294</f>
        <v>2.8000000000000002E-12</v>
      </c>
      <c r="AU18" s="267" t="s">
        <v>310</v>
      </c>
      <c r="AV18" s="289">
        <f>B294</f>
        <v>2.8000000000000002E-12</v>
      </c>
      <c r="AX18" s="267" t="s">
        <v>310</v>
      </c>
      <c r="AY18" s="289">
        <f>B294</f>
        <v>2.8000000000000002E-12</v>
      </c>
      <c r="BA18" s="267" t="s">
        <v>310</v>
      </c>
      <c r="BB18" s="289">
        <f>B294</f>
        <v>2.8000000000000002E-12</v>
      </c>
      <c r="BD18" s="267" t="s">
        <v>310</v>
      </c>
      <c r="BE18" s="289">
        <f>B294</f>
        <v>2.8000000000000002E-12</v>
      </c>
      <c r="BG18" s="267" t="s">
        <v>310</v>
      </c>
      <c r="BH18" s="289">
        <f>B294</f>
        <v>2.8000000000000002E-12</v>
      </c>
      <c r="BJ18" s="267" t="s">
        <v>310</v>
      </c>
      <c r="BK18" s="289">
        <f>B294</f>
        <v>2.8000000000000002E-12</v>
      </c>
      <c r="BM18" s="267" t="s">
        <v>310</v>
      </c>
      <c r="BN18" s="289">
        <f>B294</f>
        <v>2.8000000000000002E-12</v>
      </c>
      <c r="BP18" s="267" t="s">
        <v>310</v>
      </c>
      <c r="BQ18" s="289">
        <f>B294</f>
        <v>2.8000000000000002E-12</v>
      </c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55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311</v>
      </c>
      <c r="CW18" s="266" t="s">
        <v>63</v>
      </c>
      <c r="CX18" s="189">
        <f>B28</f>
        <v>1.6230073680000001E-12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66.155354824913829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66.155354824913829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66.155354824913829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66.155354824913829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66.155354824913829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1.04753425E-2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3.1999999999999999E-11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55</v>
      </c>
      <c r="I19" s="271" t="s">
        <v>49</v>
      </c>
      <c r="J19" s="266" t="s">
        <v>51</v>
      </c>
      <c r="K19" s="196">
        <f>K21*K31*K36+K22*K32*K35</f>
        <v>60500</v>
      </c>
      <c r="L19" s="266" t="s">
        <v>267</v>
      </c>
      <c r="V19" s="88" t="s">
        <v>78</v>
      </c>
      <c r="W19" s="296">
        <f>((W5*W6*W9)/((W11/W12)*(1-EXP(-W6*W9))*W14*W8*W9*(1/365)))*W7*W20*W21</f>
        <v>9.1782361890053951E-6</v>
      </c>
      <c r="X19" s="88" t="s">
        <v>16</v>
      </c>
      <c r="Y19" s="88" t="s">
        <v>78</v>
      </c>
      <c r="Z19" s="296">
        <f>((Z5*Z6*Z9)/((Z11/Z12)*(1-EXP(-Z6*Z9))*Z14*Z8*Z9*(1/365)))*Z7*Z20*Z21</f>
        <v>9.1782361890053951E-6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0.75600000000000001</v>
      </c>
      <c r="AG19" s="305">
        <f>B4</f>
        <v>0.75600000000000001</v>
      </c>
      <c r="AH19" s="267"/>
      <c r="BS19" s="262" t="s">
        <v>63</v>
      </c>
      <c r="BT19" s="287">
        <f>E18</f>
        <v>1.6230073680000001E-12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55</v>
      </c>
      <c r="CA19" s="263" t="s">
        <v>54</v>
      </c>
      <c r="CB19" s="410" t="s">
        <v>561</v>
      </c>
      <c r="CC19" s="400">
        <f>((CC22*CC23*CC24)/((1-EXP(-CC24*CC23))*CC27*CC31*(CC26/365)*CC29*(CC30/24)*CC28))*CC25*CC32*CC33</f>
        <v>1.4967893910342377E-2</v>
      </c>
      <c r="CD19" s="404" t="s">
        <v>314</v>
      </c>
      <c r="CE19" s="402" t="s">
        <v>562</v>
      </c>
      <c r="CF19" s="400">
        <f>((CF22*CF23*CF24)/((1-EXP(-CF24*CF23))*CF27*CF31*(CF26/365)*CF29*(CF30/24)*CF28))*CF25*CF32*CF33</f>
        <v>1.7569950582371895E-3</v>
      </c>
      <c r="CG19" s="398" t="s">
        <v>311</v>
      </c>
      <c r="CK19" s="410" t="s">
        <v>510</v>
      </c>
      <c r="CL19" s="400" t="e">
        <f>(CL22/(CL23*CL24*CL25*CL26))*CL28*CL27*CL32</f>
        <v>#DIV/0!</v>
      </c>
      <c r="CM19" s="404" t="s">
        <v>311</v>
      </c>
      <c r="CN19" s="402" t="s">
        <v>7</v>
      </c>
      <c r="CO19" s="400" t="e">
        <f>(CL19/(CO22*((CO27*CO29*CO30*(CO23+CO24))+(CO28*CO29))))*CL30</f>
        <v>#DIV/0!</v>
      </c>
      <c r="CP19" s="412" t="s">
        <v>311</v>
      </c>
      <c r="CQ19" s="402" t="s">
        <v>6</v>
      </c>
      <c r="CR19" s="400" t="e">
        <f>CL19/(CR22*CR23*(1/CR24))</f>
        <v>#DIV/0!</v>
      </c>
      <c r="CS19" s="415" t="s">
        <v>313</v>
      </c>
      <c r="CT19" s="266" t="s">
        <v>258</v>
      </c>
      <c r="CU19" s="295" t="e">
        <f>GV2</f>
        <v>#DIV/0!</v>
      </c>
      <c r="CV19" s="271" t="s">
        <v>311</v>
      </c>
      <c r="CW19" s="266" t="s">
        <v>255</v>
      </c>
      <c r="CX19" s="304">
        <f>B173</f>
        <v>2</v>
      </c>
      <c r="CY19" s="88"/>
      <c r="CZ19" s="266" t="s">
        <v>184</v>
      </c>
      <c r="DA19" s="295" t="e">
        <f>EK2</f>
        <v>#DIV/0!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1.04753425E-2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1.04753425E-2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1.04753425E-2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1.04753425E-2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1.04753425E-2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315</v>
      </c>
      <c r="GP19" s="292">
        <f>B293</f>
        <v>241</v>
      </c>
      <c r="GQ19" s="249" t="s">
        <v>309</v>
      </c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0</v>
      </c>
      <c r="C20" s="263" t="s">
        <v>35</v>
      </c>
      <c r="D20" s="88" t="s">
        <v>74</v>
      </c>
      <c r="E20" s="294">
        <f>((E5)/(E10*E11))*E7*E26*E27</f>
        <v>3.651219586260331E-15</v>
      </c>
      <c r="F20" s="88" t="s">
        <v>15</v>
      </c>
      <c r="G20" s="266" t="s">
        <v>319</v>
      </c>
      <c r="H20" s="194">
        <f>B52</f>
        <v>55</v>
      </c>
      <c r="I20" s="271" t="s">
        <v>49</v>
      </c>
      <c r="J20" s="266" t="s">
        <v>48</v>
      </c>
      <c r="K20" s="196">
        <f>(K36*K31*K23*(K37/24))+(K35*K32*K24*(K38/24))</f>
        <v>37812.5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315</v>
      </c>
      <c r="W20" s="289">
        <f>B293</f>
        <v>241</v>
      </c>
      <c r="X20" s="249" t="s">
        <v>309</v>
      </c>
      <c r="Y20" s="95" t="s">
        <v>315</v>
      </c>
      <c r="Z20" s="289">
        <f>B293</f>
        <v>241</v>
      </c>
      <c r="AA20" s="249" t="s">
        <v>309</v>
      </c>
      <c r="AB20" s="262" t="s">
        <v>71</v>
      </c>
      <c r="AC20" s="287">
        <f>B23</f>
        <v>1.6930652399999999E-9</v>
      </c>
      <c r="AD20" s="287">
        <f>B23</f>
        <v>1.6930652399999999E-9</v>
      </c>
      <c r="AE20" s="287">
        <f>B23</f>
        <v>1.6930652399999999E-9</v>
      </c>
      <c r="AF20" s="287">
        <f>B23</f>
        <v>1.6930652399999999E-9</v>
      </c>
      <c r="AG20" s="287">
        <f>B23</f>
        <v>1.6930652399999999E-9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55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 t="e">
        <f>EN2</f>
        <v>#DIV/0!</v>
      </c>
      <c r="CV20" s="271" t="s">
        <v>311</v>
      </c>
      <c r="CW20" s="88" t="s">
        <v>74</v>
      </c>
      <c r="CX20" s="294">
        <f>((CX5)/((CX14/CX15)*CX10*CX11))*CX7*CX26*CX27</f>
        <v>3.8946342253443527E-15</v>
      </c>
      <c r="CY20" s="88" t="s">
        <v>15</v>
      </c>
      <c r="CZ20" s="266" t="s">
        <v>493</v>
      </c>
      <c r="DA20" s="295" t="e">
        <f>DV2</f>
        <v>#DIV/0!</v>
      </c>
      <c r="DB20" s="88"/>
      <c r="DC20" s="267" t="s">
        <v>399</v>
      </c>
      <c r="DD20" s="297">
        <f>B174</f>
        <v>2</v>
      </c>
      <c r="DE20" s="268"/>
      <c r="DF20" s="267" t="s">
        <v>90</v>
      </c>
      <c r="DG20" s="288">
        <f>0.693/DG23</f>
        <v>0.18141361256544503</v>
      </c>
      <c r="DH20" s="249" t="s">
        <v>82</v>
      </c>
      <c r="DL20" s="267"/>
      <c r="DO20" s="267" t="s">
        <v>90</v>
      </c>
      <c r="DP20" s="288">
        <f>0.693/B35</f>
        <v>0.18141361256544503</v>
      </c>
      <c r="DQ20" s="249" t="s">
        <v>82</v>
      </c>
      <c r="DR20" s="95" t="s">
        <v>315</v>
      </c>
      <c r="DS20" s="289">
        <f>B293</f>
        <v>241</v>
      </c>
      <c r="DT20" s="249" t="s">
        <v>309</v>
      </c>
      <c r="DU20" s="267"/>
      <c r="EA20" s="267"/>
      <c r="EB20" s="307"/>
      <c r="EC20" s="263"/>
      <c r="ED20" s="267" t="s">
        <v>90</v>
      </c>
      <c r="EE20" s="299">
        <f>0.693/B35</f>
        <v>0.18141361256544503</v>
      </c>
      <c r="EF20" s="263" t="s">
        <v>82</v>
      </c>
      <c r="EG20" s="249" t="s">
        <v>315</v>
      </c>
      <c r="EH20" s="297">
        <f>B293</f>
        <v>241</v>
      </c>
      <c r="EI20" s="249" t="s">
        <v>309</v>
      </c>
      <c r="EJ20" s="267"/>
      <c r="EP20" s="267"/>
      <c r="EQ20" s="307"/>
      <c r="ER20" s="263"/>
      <c r="ES20" s="267" t="s">
        <v>90</v>
      </c>
      <c r="ET20" s="299">
        <f>0.693/B35</f>
        <v>0.18141361256544503</v>
      </c>
      <c r="EU20" s="263" t="s">
        <v>82</v>
      </c>
      <c r="EV20" s="95" t="s">
        <v>315</v>
      </c>
      <c r="EW20" s="297">
        <f>B293</f>
        <v>241</v>
      </c>
      <c r="EX20" s="249" t="s">
        <v>309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0.18141361256544503</v>
      </c>
      <c r="FJ20" s="263" t="s">
        <v>82</v>
      </c>
      <c r="FK20" s="95" t="s">
        <v>315</v>
      </c>
      <c r="FL20" s="297">
        <f>B293</f>
        <v>241</v>
      </c>
      <c r="FM20" s="249" t="s">
        <v>309</v>
      </c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315</v>
      </c>
      <c r="GA20" s="292">
        <f>B293</f>
        <v>241</v>
      </c>
      <c r="GB20" s="249" t="s">
        <v>309</v>
      </c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0.18141361256544503</v>
      </c>
      <c r="GN20" s="263" t="s">
        <v>82</v>
      </c>
      <c r="GO20" s="267" t="s">
        <v>310</v>
      </c>
      <c r="GP20" s="292">
        <f>B294</f>
        <v>2.8000000000000002E-12</v>
      </c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0.18141361256544503</v>
      </c>
      <c r="HC20" s="263" t="s">
        <v>82</v>
      </c>
    </row>
    <row r="21" spans="1:214" ht="15" thickTop="1" thickBot="1" x14ac:dyDescent="0.25">
      <c r="A21" s="262" t="s">
        <v>316</v>
      </c>
      <c r="B21" s="315">
        <v>0</v>
      </c>
      <c r="C21" s="262" t="s">
        <v>35</v>
      </c>
      <c r="D21" s="88" t="s">
        <v>78</v>
      </c>
      <c r="E21" s="295">
        <f>((E5)/((E14/E15)*E8*E9*E18*(1/365)*E19))*E7*E26*E27</f>
        <v>1.4451834960576939E-9</v>
      </c>
      <c r="F21" s="88" t="s">
        <v>15</v>
      </c>
      <c r="G21" s="266" t="s">
        <v>442</v>
      </c>
      <c r="H21" s="197">
        <f>(H29*H32*H38*H34)+(H30*H33*H39*H35)</f>
        <v>4400</v>
      </c>
      <c r="I21" s="266" t="s">
        <v>218</v>
      </c>
      <c r="J21" s="266" t="s">
        <v>320</v>
      </c>
      <c r="K21" s="194">
        <f>B53</f>
        <v>55</v>
      </c>
      <c r="L21" s="188" t="s">
        <v>54</v>
      </c>
      <c r="M21" s="617" t="s">
        <v>516</v>
      </c>
      <c r="N21" s="647">
        <f>((N24*N25*N26)/((1-EXP(-N26*N25))*N29*N34*(N28/365)*N32*(((N33/24)*N31)+((N35/24)*N30))))*N27*N36*N37</f>
        <v>3.3229693197275016E-5</v>
      </c>
      <c r="O21" s="637" t="s">
        <v>314</v>
      </c>
      <c r="P21" s="639" t="s">
        <v>516</v>
      </c>
      <c r="Q21" s="647">
        <f>((Q24*Q25*Q26)/((1-EXP(-Q26*Q25))*Q29*Q34*(Q28/365)*Q32*(((Q33/24)*Q31)+((Q35/24)*Q30))))*Q27*Q36*Q37</f>
        <v>1.1559494386807169E-5</v>
      </c>
      <c r="R21" s="643" t="s">
        <v>311</v>
      </c>
      <c r="V21" s="267" t="s">
        <v>310</v>
      </c>
      <c r="W21" s="289">
        <f>B295</f>
        <v>2.8000000000000001E-15</v>
      </c>
      <c r="Y21" s="267" t="s">
        <v>310</v>
      </c>
      <c r="Z21" s="289">
        <f>B295</f>
        <v>2.8000000000000001E-15</v>
      </c>
      <c r="AB21" s="262" t="s">
        <v>43</v>
      </c>
      <c r="AC21" s="290">
        <f>B19</f>
        <v>3.1999999999999999E-11</v>
      </c>
      <c r="AD21" s="290">
        <f>B19</f>
        <v>3.1999999999999999E-11</v>
      </c>
      <c r="AE21" s="290">
        <f>B19</f>
        <v>3.1999999999999999E-11</v>
      </c>
      <c r="AF21" s="290">
        <f>B19</f>
        <v>3.1999999999999999E-11</v>
      </c>
      <c r="AG21" s="290">
        <f>B19</f>
        <v>3.1999999999999999E-11</v>
      </c>
      <c r="AH21" s="263" t="s">
        <v>35</v>
      </c>
      <c r="AI21" s="381" t="s">
        <v>516</v>
      </c>
      <c r="AJ21" s="387">
        <f>((AJ24*AJ25*AJ26)/((1-EXP(-AJ26*AJ25))*AJ34*(AJ28/365)*AJ29*(AJ35/24)*AJ30*AJ32))*AJ27*AJ36*AJ37</f>
        <v>1.0631456918931252E-4</v>
      </c>
      <c r="AK21" s="629" t="s">
        <v>314</v>
      </c>
      <c r="AL21" s="383" t="s">
        <v>516</v>
      </c>
      <c r="AM21" s="387">
        <f>((AM24*AM25*AM26)/((1-EXP(-AM26*AM25))*AM34*(AM28/365)*AM29*(AM35/24)*AM30*AM32))*AM27*AM36*AM37</f>
        <v>3.6983268502775672E-5</v>
      </c>
      <c r="AN21" s="635" t="s">
        <v>311</v>
      </c>
      <c r="AR21" s="381" t="s">
        <v>516</v>
      </c>
      <c r="AS21" s="387">
        <f>((AS24*AS25*AS26)/((1-EXP(-AS26*AS25))*AS34*(AS28/365)*AS29*(AS33/24)*AS31*AS32))*AS27*AS36*AS37</f>
        <v>4.2525827675724998E-5</v>
      </c>
      <c r="AT21" s="391" t="s">
        <v>314</v>
      </c>
      <c r="AU21" s="383" t="s">
        <v>516</v>
      </c>
      <c r="AV21" s="387">
        <f>((AV24*AV25*AV26)/((1-EXP(-AV26*AV25))*AV34*(AV28/365)*AV29*(AV33/24)*AV31*AV32))*AV27*AV36*AV37</f>
        <v>1.4793307401110274E-5</v>
      </c>
      <c r="AW21" s="385" t="s">
        <v>311</v>
      </c>
      <c r="BA21" s="381" t="s">
        <v>516</v>
      </c>
      <c r="BB21" s="387">
        <f>((BB24*BB25*BB26)/((1-EXP(-BB26*BB25))*BB34*(BB28/365)*BB29*((BB33+BB35)/24)*BB31*BB32))*BB27*BB36*BB37</f>
        <v>4.2525827675724998E-5</v>
      </c>
      <c r="BC21" s="391" t="s">
        <v>314</v>
      </c>
      <c r="BD21" s="383" t="s">
        <v>516</v>
      </c>
      <c r="BE21" s="387">
        <f>((BE24*BE25*BE26)/((1-EXP(-BE26*BE25))*BE34*(BE28/365)*BE29*((BE33+BE35)/24)*BE31*BE32))*BE27*BE36*BE37</f>
        <v>1.4793307401110274E-5</v>
      </c>
      <c r="BF21" s="385" t="s">
        <v>311</v>
      </c>
      <c r="BJ21" s="381" t="s">
        <v>561</v>
      </c>
      <c r="BK21" s="389">
        <f>((BK24*BK25*BK26)/((1-EXP(-BK26*BK25))*BK31*BK35*(BK28/365)*BK33*(BK34/24)*BK32))*BK27*BK36*BK37</f>
        <v>4.0821528846388278E-3</v>
      </c>
      <c r="BL21" s="391" t="s">
        <v>314</v>
      </c>
      <c r="BM21" s="383" t="s">
        <v>562</v>
      </c>
      <c r="BN21" s="389">
        <f>((BN24*BN25*BN26)/((1-EXP(-BN26*BN25))*BN31*BN35*(BN28/365)*BN33*(BN34/24)*BN32))*BN27*BN36*BN37</f>
        <v>4.7918047042832423E-4</v>
      </c>
      <c r="BO21" s="385" t="s">
        <v>311</v>
      </c>
      <c r="BS21" s="88" t="s">
        <v>74</v>
      </c>
      <c r="BT21" s="294">
        <f>((BT5)/(BT10*BT11))*BT7*BT29*BT30</f>
        <v>4.9431895937062932E-14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55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 t="e">
        <f>DY2</f>
        <v>#DIV/0!</v>
      </c>
      <c r="CV21" s="271" t="s">
        <v>311</v>
      </c>
      <c r="CW21" s="88" t="s">
        <v>78</v>
      </c>
      <c r="CX21" s="296">
        <f>((CX5)/((CX14/CX15)*CX8*CX9*CX18*(1/365)*CX19))*CX7*CX26*CX27</f>
        <v>4.8172783201923132E-10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66.155354824913829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R21" s="267" t="s">
        <v>310</v>
      </c>
      <c r="DS21" s="289">
        <f>B294</f>
        <v>2.8000000000000002E-12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G21" s="267" t="s">
        <v>310</v>
      </c>
      <c r="EH21" s="289">
        <f>B294</f>
        <v>2.8000000000000002E-12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V21" s="267" t="s">
        <v>310</v>
      </c>
      <c r="EW21" s="289">
        <f>B294</f>
        <v>2.8000000000000002E-12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 t="s">
        <v>310</v>
      </c>
      <c r="FL21" s="292">
        <f>B294</f>
        <v>2.8000000000000002E-12</v>
      </c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FZ21" s="267" t="s">
        <v>310</v>
      </c>
      <c r="GA21" s="289">
        <f>B294</f>
        <v>2.8000000000000002E-12</v>
      </c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0</v>
      </c>
      <c r="C22" s="262" t="s">
        <v>35</v>
      </c>
      <c r="D22" s="88" t="s">
        <v>74</v>
      </c>
      <c r="E22" s="295">
        <f>((E5*E9*E6)/((1-EXP(-E6*E9))*E10*E11))*E7*E26*E27</f>
        <v>4.8309545454545451E-12</v>
      </c>
      <c r="F22" s="88" t="s">
        <v>16</v>
      </c>
      <c r="G22" s="266" t="s">
        <v>443</v>
      </c>
      <c r="H22" s="190">
        <f>(H29*H32*H23)+(H30*H33*H24)</f>
        <v>60500</v>
      </c>
      <c r="I22" s="271" t="s">
        <v>149</v>
      </c>
      <c r="J22" s="266" t="s">
        <v>321</v>
      </c>
      <c r="K22" s="194">
        <f>B54</f>
        <v>55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((BT5)/((BT14/24)*(BT8/365)*BT9*BT19*BT20))*BT7*BT29*BT30</f>
        <v>1.9565561177396473E-8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0</v>
      </c>
      <c r="CQ22" s="262" t="s">
        <v>265</v>
      </c>
      <c r="CR22" s="287">
        <f>CO22</f>
        <v>0</v>
      </c>
      <c r="CT22" s="266" t="s">
        <v>492</v>
      </c>
      <c r="CU22" s="295" t="e">
        <f>GG2</f>
        <v>#DIV/0!</v>
      </c>
      <c r="CV22" s="271" t="s">
        <v>311</v>
      </c>
      <c r="CW22" s="88" t="s">
        <v>74</v>
      </c>
      <c r="CX22" s="294">
        <f>((CX5*CX9*CX6)/((CX14/CX15)*(1-EXP(-CX6*CX9))*CX10*CX11))*CX7*CX26*CX27</f>
        <v>7.7295272727272709E-12</v>
      </c>
      <c r="CY22" s="88" t="s">
        <v>16</v>
      </c>
      <c r="CZ22" s="266" t="s">
        <v>183</v>
      </c>
      <c r="DA22" s="296" t="e">
        <f>FO2</f>
        <v>#DIV/0!</v>
      </c>
      <c r="DB22" s="88"/>
      <c r="DC22" s="266" t="s">
        <v>270</v>
      </c>
      <c r="DD22" s="287">
        <f>B31</f>
        <v>1.04753425E-2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1.6930652399999999E-9</v>
      </c>
      <c r="C23" s="262" t="s">
        <v>95</v>
      </c>
      <c r="D23" s="88" t="s">
        <v>78</v>
      </c>
      <c r="E23" s="296">
        <f>((E5*E9*E6)/((E14/E15)*E8*E9*(1-EXP(-E6*E9))*E18*(1/365)*E19))*E7*E26*E27</f>
        <v>1.9121325393761236E-6</v>
      </c>
      <c r="F23" s="88" t="s">
        <v>16</v>
      </c>
      <c r="G23" s="266" t="s">
        <v>332</v>
      </c>
      <c r="H23" s="194">
        <f>B60</f>
        <v>55</v>
      </c>
      <c r="I23" s="271" t="s">
        <v>254</v>
      </c>
      <c r="J23" s="266" t="s">
        <v>318</v>
      </c>
      <c r="K23" s="313">
        <f>B51</f>
        <v>55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2</v>
      </c>
      <c r="AD23" s="290">
        <f>B239</f>
        <v>0</v>
      </c>
      <c r="AE23" s="290">
        <f>B251</f>
        <v>5</v>
      </c>
      <c r="AF23" s="290">
        <f>B263</f>
        <v>5</v>
      </c>
      <c r="AG23" s="290">
        <f>B276</f>
        <v>5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((BT5*BT28*BT6)/((1-EXP(-BT6*BT28))*BT10*BT11))*BT7*BT29*BT30</f>
        <v>8.5024799999999999E-11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0</v>
      </c>
      <c r="CM23" s="266" t="s">
        <v>13</v>
      </c>
      <c r="CN23" s="249" t="s">
        <v>21</v>
      </c>
      <c r="CO23" s="290">
        <f>CO25</f>
        <v>0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 t="e">
        <f>FR2</f>
        <v>#DIV/0!</v>
      </c>
      <c r="CV23" s="271" t="s">
        <v>311</v>
      </c>
      <c r="CW23" s="88" t="s">
        <v>78</v>
      </c>
      <c r="CX23" s="296">
        <f>((CX5*CX9*CX6)/((CX14/CX15)*CX8*CX9*(1-EXP(-CX6*CX9))*CX18*(1/365)*CX19))*CX7*CX26*CX27</f>
        <v>9.560662696880622E-7</v>
      </c>
      <c r="CY23" s="88" t="s">
        <v>16</v>
      </c>
      <c r="CZ23" s="266" t="s">
        <v>495</v>
      </c>
      <c r="DA23" s="190">
        <f>(DA34*DA36*DA26)+(DA35*DA37*DA27)</f>
        <v>8250</v>
      </c>
      <c r="DB23" s="88" t="s">
        <v>116</v>
      </c>
      <c r="DC23" s="95" t="s">
        <v>315</v>
      </c>
      <c r="DD23" s="297">
        <f>B293</f>
        <v>241</v>
      </c>
      <c r="DE23" s="249" t="s">
        <v>309</v>
      </c>
      <c r="DF23" s="262" t="s">
        <v>17</v>
      </c>
      <c r="DG23" s="287">
        <f>B35</f>
        <v>3.82</v>
      </c>
      <c r="DH23" s="249" t="s">
        <v>257</v>
      </c>
      <c r="DO23" s="262" t="s">
        <v>20</v>
      </c>
      <c r="DP23" s="305">
        <f>DP25</f>
        <v>0</v>
      </c>
      <c r="EA23" s="262"/>
      <c r="EB23" s="293"/>
      <c r="EC23" s="263"/>
      <c r="ED23" s="262" t="s">
        <v>20</v>
      </c>
      <c r="EE23" s="305">
        <f>EE25</f>
        <v>0</v>
      </c>
      <c r="EF23" s="263"/>
      <c r="EP23" s="262"/>
      <c r="EQ23" s="293"/>
      <c r="ER23" s="263"/>
      <c r="ES23" s="262" t="s">
        <v>20</v>
      </c>
      <c r="ET23" s="305">
        <f>ET25</f>
        <v>0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0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0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0</v>
      </c>
      <c r="HC23" s="263"/>
      <c r="HD23" s="219" t="s">
        <v>574</v>
      </c>
      <c r="HE23" s="348">
        <f>((HE25*HE33*HE38*HE32*10^-3*HE31*HE27)/(HE30*HE41*(1-EXP(-HE27*HE31))))*HE28*HE15*HE16</f>
        <v>0</v>
      </c>
      <c r="HF23" s="252" t="s">
        <v>311</v>
      </c>
    </row>
    <row r="24" spans="1:214" ht="14.25" thickTop="1" thickBot="1" x14ac:dyDescent="0.25">
      <c r="A24" s="262" t="s">
        <v>450</v>
      </c>
      <c r="B24" s="315">
        <v>3.5028935999999998E-10</v>
      </c>
      <c r="C24" s="262" t="s">
        <v>282</v>
      </c>
      <c r="D24" s="249" t="s">
        <v>340</v>
      </c>
      <c r="E24" s="289">
        <f>B67</f>
        <v>55</v>
      </c>
      <c r="F24" s="249" t="s">
        <v>26</v>
      </c>
      <c r="G24" s="262" t="s">
        <v>333</v>
      </c>
      <c r="H24" s="297">
        <f>B61</f>
        <v>55</v>
      </c>
      <c r="I24" s="267" t="s">
        <v>254</v>
      </c>
      <c r="J24" s="262" t="s">
        <v>319</v>
      </c>
      <c r="K24" s="292">
        <f>B52</f>
        <v>55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3</v>
      </c>
      <c r="AD24" s="290">
        <f>B240</f>
        <v>5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((BT5*BT28*BT6)/((BT14/24)*(BT8/365)*BT9*(1-EXP(-BT6*BT28))*BT19*BT20))*BT7*BT29*BT30</f>
        <v>3.3653532693019785E-5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66.155354824913829</v>
      </c>
      <c r="CE24" s="262" t="s">
        <v>23</v>
      </c>
      <c r="CF24" s="288">
        <f>0.693/CF25</f>
        <v>66.155354824913829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90750</v>
      </c>
      <c r="CV24" s="266" t="s">
        <v>267</v>
      </c>
      <c r="CW24" s="266" t="s">
        <v>387</v>
      </c>
      <c r="CX24" s="192">
        <f>B158</f>
        <v>55</v>
      </c>
      <c r="CY24" s="88" t="s">
        <v>26</v>
      </c>
      <c r="CZ24" s="266" t="s">
        <v>496</v>
      </c>
      <c r="DA24" s="190">
        <f>(DA34*DA36*DA28*(DA39/24))+(DA35*DA37*DA29*(DA40/24))</f>
        <v>56718.75</v>
      </c>
      <c r="DB24" s="266" t="s">
        <v>268</v>
      </c>
      <c r="DC24" s="267" t="s">
        <v>310</v>
      </c>
      <c r="DD24" s="289">
        <f>B294</f>
        <v>2.8000000000000002E-12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2.178944975594044E-13</v>
      </c>
      <c r="HF24" s="75" t="s">
        <v>311</v>
      </c>
    </row>
    <row r="25" spans="1:214" ht="13.5" thickTop="1" x14ac:dyDescent="0.2">
      <c r="A25" s="262" t="s">
        <v>449</v>
      </c>
      <c r="B25" s="315">
        <v>3.5682809472000002E-10</v>
      </c>
      <c r="C25" s="262" t="s">
        <v>95</v>
      </c>
      <c r="D25" s="249" t="s">
        <v>339</v>
      </c>
      <c r="E25" s="289">
        <f>B68</f>
        <v>55</v>
      </c>
      <c r="F25" s="249" t="s">
        <v>26</v>
      </c>
      <c r="G25" s="262" t="s">
        <v>444</v>
      </c>
      <c r="H25" s="291">
        <f>(H29*H32*H26)+(H30*H33*H27)</f>
        <v>60500</v>
      </c>
      <c r="I25" s="267" t="s">
        <v>149</v>
      </c>
      <c r="J25" s="262" t="s">
        <v>443</v>
      </c>
      <c r="K25" s="291">
        <f>(K31*K36*K26)+(K32*K35*K27)</f>
        <v>60500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2.3188523232963787E-11</v>
      </c>
      <c r="X25" s="254" t="s">
        <v>312</v>
      </c>
      <c r="Y25" s="321" t="s">
        <v>16</v>
      </c>
      <c r="Z25" s="358">
        <f>1/((1/Z38)+(1/Z39))</f>
        <v>4.6377046465927568E-12</v>
      </c>
      <c r="AA25" s="255" t="s">
        <v>312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5</v>
      </c>
      <c r="AK25" s="249" t="s">
        <v>69</v>
      </c>
      <c r="AL25" s="249" t="s">
        <v>485</v>
      </c>
      <c r="AM25" s="289">
        <f>AM29</f>
        <v>5</v>
      </c>
      <c r="AN25" s="249" t="s">
        <v>69</v>
      </c>
      <c r="AR25" s="249" t="s">
        <v>486</v>
      </c>
      <c r="AS25" s="289">
        <f>AS10</f>
        <v>5</v>
      </c>
      <c r="AT25" s="249" t="s">
        <v>69</v>
      </c>
      <c r="AU25" s="249" t="s">
        <v>486</v>
      </c>
      <c r="AV25" s="289">
        <f>AS10</f>
        <v>5</v>
      </c>
      <c r="AW25" s="249" t="s">
        <v>69</v>
      </c>
      <c r="BA25" s="249" t="s">
        <v>92</v>
      </c>
      <c r="BB25" s="289">
        <f>BB10</f>
        <v>5</v>
      </c>
      <c r="BC25" s="249" t="s">
        <v>69</v>
      </c>
      <c r="BD25" s="249" t="s">
        <v>92</v>
      </c>
      <c r="BE25" s="289">
        <f>BB10</f>
        <v>5</v>
      </c>
      <c r="BF25" s="249" t="s">
        <v>69</v>
      </c>
      <c r="BJ25" s="249" t="s">
        <v>487</v>
      </c>
      <c r="BK25" s="289">
        <f>BK12</f>
        <v>5</v>
      </c>
      <c r="BL25" s="249" t="s">
        <v>69</v>
      </c>
      <c r="BM25" s="249" t="s">
        <v>487</v>
      </c>
      <c r="BN25" s="289">
        <f>BK12</f>
        <v>5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1.04753425E-2</v>
      </c>
      <c r="CD25" s="249" t="s">
        <v>69</v>
      </c>
      <c r="CE25" s="266" t="s">
        <v>270</v>
      </c>
      <c r="CF25" s="287">
        <f>B31</f>
        <v>1.04753425E-2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0</v>
      </c>
      <c r="CT25" s="266" t="s">
        <v>48</v>
      </c>
      <c r="CU25" s="196">
        <f>((CU34*CU30*CU28*CU35/24))+(CU33*CU31*CU29*(CU36/24))</f>
        <v>56718.75</v>
      </c>
      <c r="CV25" s="88" t="s">
        <v>268</v>
      </c>
      <c r="CW25" s="266" t="s">
        <v>388</v>
      </c>
      <c r="CX25" s="192">
        <f>B159</f>
        <v>55</v>
      </c>
      <c r="CY25" s="88" t="s">
        <v>26</v>
      </c>
      <c r="CZ25" s="266" t="s">
        <v>497</v>
      </c>
      <c r="DA25" s="190">
        <f>(DA34*DA36*DA41*DA43)+(DA35*DA37*DA42*DA44)</f>
        <v>6600</v>
      </c>
      <c r="DB25" s="88" t="s">
        <v>269</v>
      </c>
      <c r="DO25" s="262" t="s">
        <v>37</v>
      </c>
      <c r="DP25" s="287">
        <f>B44</f>
        <v>0</v>
      </c>
      <c r="EA25" s="262"/>
      <c r="EC25" s="263"/>
      <c r="ED25" s="262" t="s">
        <v>38</v>
      </c>
      <c r="EE25" s="287">
        <f>B45</f>
        <v>0</v>
      </c>
      <c r="EF25" s="263"/>
      <c r="EP25" s="262"/>
      <c r="ER25" s="263"/>
      <c r="ES25" s="263" t="s">
        <v>37</v>
      </c>
      <c r="ET25" s="287">
        <f>B45</f>
        <v>0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0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0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0</v>
      </c>
      <c r="HC25" s="263"/>
      <c r="HD25" s="265" t="s">
        <v>22</v>
      </c>
      <c r="HE25" s="292">
        <f>B47</f>
        <v>0</v>
      </c>
      <c r="HF25" s="262" t="s">
        <v>580</v>
      </c>
    </row>
    <row r="26" spans="1:214" ht="13.5" thickBot="1" x14ac:dyDescent="0.25">
      <c r="A26" s="262" t="s">
        <v>451</v>
      </c>
      <c r="B26" s="315">
        <v>1.00696514688E-9</v>
      </c>
      <c r="C26" s="262" t="s">
        <v>95</v>
      </c>
      <c r="D26" s="263" t="s">
        <v>315</v>
      </c>
      <c r="E26" s="289">
        <f>B293</f>
        <v>241</v>
      </c>
      <c r="F26" s="249" t="s">
        <v>309</v>
      </c>
      <c r="G26" s="262" t="s">
        <v>334</v>
      </c>
      <c r="H26" s="297">
        <f>B62</f>
        <v>55</v>
      </c>
      <c r="I26" s="267" t="s">
        <v>254</v>
      </c>
      <c r="J26" s="262" t="s">
        <v>332</v>
      </c>
      <c r="K26" s="297">
        <f>B60</f>
        <v>55</v>
      </c>
      <c r="L26" s="267" t="s">
        <v>254</v>
      </c>
      <c r="M26" s="262" t="s">
        <v>23</v>
      </c>
      <c r="N26" s="288">
        <f>0.693/N27</f>
        <v>66.155354824913829</v>
      </c>
      <c r="P26" s="262" t="s">
        <v>23</v>
      </c>
      <c r="Q26" s="288">
        <f>0.693/Q27</f>
        <v>66.155354824913829</v>
      </c>
      <c r="V26" s="320" t="s">
        <v>15</v>
      </c>
      <c r="W26" s="359">
        <f>1/((1/W38)+(1/W39))</f>
        <v>7.0103238942136513E-14</v>
      </c>
      <c r="X26" s="258" t="s">
        <v>312</v>
      </c>
      <c r="Y26" s="322" t="s">
        <v>15</v>
      </c>
      <c r="Z26" s="360">
        <f>1/((1/Z40)+(1/Z41))</f>
        <v>7.0103238942136525E-14</v>
      </c>
      <c r="AA26" s="259" t="s">
        <v>312</v>
      </c>
      <c r="AB26" s="269" t="s">
        <v>92</v>
      </c>
      <c r="AC26" s="298">
        <f>AC11</f>
        <v>5</v>
      </c>
      <c r="AD26" s="298">
        <f>AD11</f>
        <v>5</v>
      </c>
      <c r="AE26" s="298">
        <f>AE11</f>
        <v>5</v>
      </c>
      <c r="AF26" s="298">
        <f>AF11</f>
        <v>5</v>
      </c>
      <c r="AG26" s="298">
        <f>AG11</f>
        <v>5</v>
      </c>
      <c r="AH26" s="269" t="s">
        <v>69</v>
      </c>
      <c r="AI26" s="262" t="s">
        <v>23</v>
      </c>
      <c r="AJ26" s="288">
        <f>0.693/AJ27</f>
        <v>66.155354824913829</v>
      </c>
      <c r="AL26" s="262" t="s">
        <v>23</v>
      </c>
      <c r="AM26" s="288">
        <f>0.693/AM27</f>
        <v>66.155354824913829</v>
      </c>
      <c r="AR26" s="262" t="s">
        <v>23</v>
      </c>
      <c r="AS26" s="288">
        <f>0.693/AS27</f>
        <v>66.155354824913829</v>
      </c>
      <c r="AU26" s="262" t="s">
        <v>23</v>
      </c>
      <c r="AV26" s="288">
        <f>0.693/AV27</f>
        <v>66.155354824913829</v>
      </c>
      <c r="BA26" s="262" t="s">
        <v>23</v>
      </c>
      <c r="BB26" s="288">
        <f>0.693/BB27</f>
        <v>66.155354824913829</v>
      </c>
      <c r="BD26" s="262" t="s">
        <v>23</v>
      </c>
      <c r="BE26" s="288">
        <f>0.693/BE27</f>
        <v>66.155354824913829</v>
      </c>
      <c r="BJ26" s="262" t="s">
        <v>23</v>
      </c>
      <c r="BK26" s="288">
        <f>0.693/BK27</f>
        <v>66.155354824913829</v>
      </c>
      <c r="BM26" s="262" t="s">
        <v>23</v>
      </c>
      <c r="BN26" s="288">
        <f>0.693/BN27</f>
        <v>66.155354824913829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55</v>
      </c>
      <c r="CV26" s="188" t="s">
        <v>54</v>
      </c>
      <c r="CW26" s="95" t="s">
        <v>315</v>
      </c>
      <c r="CX26" s="194">
        <f>B293</f>
        <v>241</v>
      </c>
      <c r="CY26" s="249" t="s">
        <v>309</v>
      </c>
      <c r="CZ26" s="271" t="s">
        <v>378</v>
      </c>
      <c r="DA26" s="304">
        <f>B137</f>
        <v>5</v>
      </c>
      <c r="DB26" s="266" t="s">
        <v>30</v>
      </c>
      <c r="DF26" s="249" t="s">
        <v>38</v>
      </c>
      <c r="DG26" s="287">
        <f>B45</f>
        <v>0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1.1683902641940991E-14</v>
      </c>
      <c r="HF26" s="262" t="s">
        <v>313</v>
      </c>
    </row>
    <row r="27" spans="1:214" ht="15" thickTop="1" x14ac:dyDescent="0.2">
      <c r="A27" s="262" t="s">
        <v>452</v>
      </c>
      <c r="B27" s="315">
        <v>1.5412731840000001E-9</v>
      </c>
      <c r="C27" s="262" t="s">
        <v>95</v>
      </c>
      <c r="D27" s="249" t="s">
        <v>310</v>
      </c>
      <c r="E27" s="289">
        <f>B295</f>
        <v>2.8000000000000001E-15</v>
      </c>
      <c r="G27" s="262" t="s">
        <v>335</v>
      </c>
      <c r="H27" s="297">
        <f>B63</f>
        <v>55</v>
      </c>
      <c r="I27" s="267" t="s">
        <v>254</v>
      </c>
      <c r="J27" s="262" t="s">
        <v>333</v>
      </c>
      <c r="K27" s="297">
        <f>B61</f>
        <v>55</v>
      </c>
      <c r="L27" s="267" t="s">
        <v>254</v>
      </c>
      <c r="M27" s="266" t="s">
        <v>270</v>
      </c>
      <c r="N27" s="287">
        <f>B31</f>
        <v>1.04753425E-2</v>
      </c>
      <c r="O27" s="249" t="s">
        <v>69</v>
      </c>
      <c r="P27" s="266" t="s">
        <v>270</v>
      </c>
      <c r="Q27" s="287">
        <f>B31</f>
        <v>1.04753425E-2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66.155354824913829</v>
      </c>
      <c r="AD27" s="288">
        <f>0.693/AD28</f>
        <v>66.155354824913829</v>
      </c>
      <c r="AE27" s="288">
        <f>0.693/AE28</f>
        <v>66.155354824913829</v>
      </c>
      <c r="AF27" s="288">
        <f>0.693/AF28</f>
        <v>66.155354824913829</v>
      </c>
      <c r="AG27" s="288">
        <f>0.693/AG28</f>
        <v>66.155354824913829</v>
      </c>
      <c r="AI27" s="266" t="s">
        <v>270</v>
      </c>
      <c r="AJ27" s="287">
        <f>B31</f>
        <v>1.04753425E-2</v>
      </c>
      <c r="AK27" s="249" t="s">
        <v>69</v>
      </c>
      <c r="AL27" s="266" t="s">
        <v>270</v>
      </c>
      <c r="AM27" s="287">
        <f>B31</f>
        <v>1.04753425E-2</v>
      </c>
      <c r="AN27" s="249" t="s">
        <v>69</v>
      </c>
      <c r="AR27" s="266" t="s">
        <v>270</v>
      </c>
      <c r="AS27" s="287">
        <f>B31</f>
        <v>1.04753425E-2</v>
      </c>
      <c r="AT27" s="249" t="s">
        <v>69</v>
      </c>
      <c r="AU27" s="266" t="s">
        <v>270</v>
      </c>
      <c r="AV27" s="287">
        <f>B31</f>
        <v>1.04753425E-2</v>
      </c>
      <c r="AW27" s="249" t="s">
        <v>69</v>
      </c>
      <c r="BA27" s="266" t="s">
        <v>270</v>
      </c>
      <c r="BB27" s="287">
        <f>B31</f>
        <v>1.04753425E-2</v>
      </c>
      <c r="BC27" s="249" t="s">
        <v>69</v>
      </c>
      <c r="BD27" s="266" t="s">
        <v>270</v>
      </c>
      <c r="BE27" s="287">
        <f>B31</f>
        <v>1.04753425E-2</v>
      </c>
      <c r="BF27" s="249" t="s">
        <v>69</v>
      </c>
      <c r="BJ27" s="266" t="s">
        <v>270</v>
      </c>
      <c r="BK27" s="287">
        <f>B31</f>
        <v>1.04753425E-2</v>
      </c>
      <c r="BL27" s="249" t="s">
        <v>69</v>
      </c>
      <c r="BM27" s="266" t="s">
        <v>270</v>
      </c>
      <c r="BN27" s="287">
        <f>B31</f>
        <v>1.04753425E-2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315</v>
      </c>
      <c r="CL27" s="289">
        <f>B293</f>
        <v>241</v>
      </c>
      <c r="CM27" s="249" t="s">
        <v>309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55</v>
      </c>
      <c r="CV27" s="188" t="s">
        <v>54</v>
      </c>
      <c r="CW27" s="267" t="s">
        <v>310</v>
      </c>
      <c r="CX27" s="304">
        <f>B295</f>
        <v>2.8000000000000001E-15</v>
      </c>
      <c r="CY27" s="266"/>
      <c r="CZ27" s="271" t="s">
        <v>379</v>
      </c>
      <c r="DA27" s="304">
        <f>B138</f>
        <v>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0</v>
      </c>
      <c r="EP27" s="262"/>
      <c r="EQ27" s="310"/>
      <c r="ES27" s="262" t="s">
        <v>275</v>
      </c>
      <c r="ET27" s="310">
        <f>B38</f>
        <v>0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66.155354824913829</v>
      </c>
    </row>
    <row r="28" spans="1:214" ht="15.75" thickBot="1" x14ac:dyDescent="0.25">
      <c r="A28" s="262" t="s">
        <v>63</v>
      </c>
      <c r="B28" s="315">
        <v>1.6230073680000001E-12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60500</v>
      </c>
      <c r="L28" s="267" t="s">
        <v>149</v>
      </c>
      <c r="M28" s="262" t="s">
        <v>338</v>
      </c>
      <c r="N28" s="289">
        <f>B68</f>
        <v>55</v>
      </c>
      <c r="O28" s="249" t="s">
        <v>26</v>
      </c>
      <c r="P28" s="262" t="s">
        <v>338</v>
      </c>
      <c r="Q28" s="289">
        <f>B68</f>
        <v>55</v>
      </c>
      <c r="R28" s="249" t="s">
        <v>26</v>
      </c>
      <c r="V28" s="262" t="s">
        <v>23</v>
      </c>
      <c r="W28" s="288">
        <f>0.693/W29</f>
        <v>66.155354824913829</v>
      </c>
      <c r="Y28" s="262" t="s">
        <v>23</v>
      </c>
      <c r="Z28" s="288">
        <f>0.693/Z29</f>
        <v>66.155354824913829</v>
      </c>
      <c r="AB28" s="266" t="s">
        <v>270</v>
      </c>
      <c r="AC28" s="287">
        <f>B31</f>
        <v>1.04753425E-2</v>
      </c>
      <c r="AD28" s="287">
        <f>B31</f>
        <v>1.04753425E-2</v>
      </c>
      <c r="AE28" s="287">
        <f>B31</f>
        <v>1.04753425E-2</v>
      </c>
      <c r="AF28" s="287">
        <f>B31</f>
        <v>1.04753425E-2</v>
      </c>
      <c r="AG28" s="287">
        <f>B31</f>
        <v>1.04753425E-2</v>
      </c>
      <c r="AH28" s="249" t="s">
        <v>69</v>
      </c>
      <c r="AI28" s="262" t="s">
        <v>40</v>
      </c>
      <c r="AJ28" s="289">
        <f>B232</f>
        <v>55</v>
      </c>
      <c r="AK28" s="249" t="s">
        <v>26</v>
      </c>
      <c r="AL28" s="262" t="s">
        <v>40</v>
      </c>
      <c r="AM28" s="289">
        <f>B232</f>
        <v>55</v>
      </c>
      <c r="AN28" s="249" t="s">
        <v>26</v>
      </c>
      <c r="AR28" s="262" t="s">
        <v>431</v>
      </c>
      <c r="AS28" s="289">
        <f>B244</f>
        <v>55</v>
      </c>
      <c r="AT28" s="249" t="s">
        <v>26</v>
      </c>
      <c r="AU28" s="262" t="s">
        <v>431</v>
      </c>
      <c r="AV28" s="289">
        <f>B244</f>
        <v>55</v>
      </c>
      <c r="AW28" s="249" t="s">
        <v>26</v>
      </c>
      <c r="BA28" s="262" t="s">
        <v>425</v>
      </c>
      <c r="BB28" s="289">
        <f>B220</f>
        <v>55</v>
      </c>
      <c r="BC28" s="249" t="s">
        <v>26</v>
      </c>
      <c r="BD28" s="262" t="s">
        <v>425</v>
      </c>
      <c r="BE28" s="289">
        <f>B220</f>
        <v>55</v>
      </c>
      <c r="BF28" s="249" t="s">
        <v>26</v>
      </c>
      <c r="BJ28" s="262" t="s">
        <v>221</v>
      </c>
      <c r="BK28" s="289">
        <f>B256</f>
        <v>55</v>
      </c>
      <c r="BL28" s="249" t="s">
        <v>26</v>
      </c>
      <c r="BM28" s="262" t="s">
        <v>221</v>
      </c>
      <c r="BN28" s="289">
        <f>B256</f>
        <v>55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2.2499999999999999E-2</v>
      </c>
      <c r="CE28" s="249" t="s">
        <v>458</v>
      </c>
      <c r="CF28" s="287">
        <f>B8</f>
        <v>4.2700000000000002E-2</v>
      </c>
      <c r="CK28" s="266" t="s">
        <v>270</v>
      </c>
      <c r="CL28" s="287">
        <f>B31</f>
        <v>1.04753425E-2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55</v>
      </c>
      <c r="CV28" s="267" t="s">
        <v>49</v>
      </c>
      <c r="CZ28" s="262" t="s">
        <v>376</v>
      </c>
      <c r="DA28" s="293">
        <f>B135</f>
        <v>55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1.04753425E-2</v>
      </c>
      <c r="HF28" s="249" t="s">
        <v>69</v>
      </c>
    </row>
    <row r="29" spans="1:214" ht="18.75" thickTop="1" x14ac:dyDescent="0.2">
      <c r="A29" s="266" t="s">
        <v>161</v>
      </c>
      <c r="B29" s="315">
        <v>3.5145699120000001E-15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55</v>
      </c>
      <c r="I29" s="262" t="s">
        <v>26</v>
      </c>
      <c r="J29" s="262" t="s">
        <v>334</v>
      </c>
      <c r="K29" s="297">
        <f>B62</f>
        <v>55</v>
      </c>
      <c r="L29" s="267" t="s">
        <v>254</v>
      </c>
      <c r="M29" s="262" t="s">
        <v>341</v>
      </c>
      <c r="N29" s="289">
        <f>B66</f>
        <v>20</v>
      </c>
      <c r="O29" s="249" t="s">
        <v>69</v>
      </c>
      <c r="P29" s="262" t="s">
        <v>341</v>
      </c>
      <c r="Q29" s="289">
        <f>B66</f>
        <v>20</v>
      </c>
      <c r="R29" s="249" t="s">
        <v>69</v>
      </c>
      <c r="V29" s="266" t="s">
        <v>270</v>
      </c>
      <c r="W29" s="287">
        <f>B31</f>
        <v>1.04753425E-2</v>
      </c>
      <c r="X29" s="249" t="s">
        <v>69</v>
      </c>
      <c r="Y29" s="266" t="s">
        <v>270</v>
      </c>
      <c r="Z29" s="287">
        <f>B31</f>
        <v>1.04753425E-2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5</v>
      </c>
      <c r="AK29" s="249" t="s">
        <v>69</v>
      </c>
      <c r="AL29" s="262" t="s">
        <v>429</v>
      </c>
      <c r="AM29" s="289">
        <f>B233</f>
        <v>5</v>
      </c>
      <c r="AN29" s="249" t="s">
        <v>69</v>
      </c>
      <c r="AR29" s="262" t="s">
        <v>432</v>
      </c>
      <c r="AS29" s="289">
        <f>B245</f>
        <v>5</v>
      </c>
      <c r="AT29" s="249" t="s">
        <v>69</v>
      </c>
      <c r="AU29" s="262" t="s">
        <v>432</v>
      </c>
      <c r="AV29" s="289">
        <f>B245</f>
        <v>5</v>
      </c>
      <c r="AW29" s="249" t="s">
        <v>69</v>
      </c>
      <c r="BA29" s="262" t="s">
        <v>75</v>
      </c>
      <c r="BB29" s="289">
        <f>B221</f>
        <v>5</v>
      </c>
      <c r="BC29" s="249" t="s">
        <v>69</v>
      </c>
      <c r="BD29" s="262" t="s">
        <v>75</v>
      </c>
      <c r="BE29" s="289">
        <f>B221</f>
        <v>5</v>
      </c>
      <c r="BF29" s="249" t="s">
        <v>69</v>
      </c>
      <c r="BJ29" s="262" t="s">
        <v>219</v>
      </c>
      <c r="BK29" s="289">
        <f>B280</f>
        <v>11</v>
      </c>
      <c r="BL29" s="249" t="s">
        <v>130</v>
      </c>
      <c r="BM29" s="262" t="s">
        <v>219</v>
      </c>
      <c r="BN29" s="289">
        <f>B280</f>
        <v>11</v>
      </c>
      <c r="BO29" s="249" t="s">
        <v>130</v>
      </c>
      <c r="BS29" s="95" t="s">
        <v>315</v>
      </c>
      <c r="BT29" s="313">
        <f>B293</f>
        <v>241</v>
      </c>
      <c r="BU29" s="249" t="s">
        <v>309</v>
      </c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0.46300000000000002</v>
      </c>
      <c r="CE29" s="249" t="s">
        <v>459</v>
      </c>
      <c r="CF29" s="287">
        <f>B9</f>
        <v>0.72299999999999998</v>
      </c>
      <c r="CK29" s="249" t="s">
        <v>23</v>
      </c>
      <c r="CL29" s="288">
        <f>693/CL28</f>
        <v>66155.35482491384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55</v>
      </c>
      <c r="CV29" s="267" t="s">
        <v>49</v>
      </c>
      <c r="CZ29" s="262" t="s">
        <v>377</v>
      </c>
      <c r="DA29" s="293">
        <f>B136</f>
        <v>55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0.6</v>
      </c>
    </row>
    <row r="30" spans="1:214" x14ac:dyDescent="0.2">
      <c r="A30" s="262" t="s">
        <v>438</v>
      </c>
      <c r="B30" s="315">
        <v>0</v>
      </c>
      <c r="C30" s="267" t="s">
        <v>35</v>
      </c>
      <c r="D30" s="203" t="s">
        <v>510</v>
      </c>
      <c r="E30" s="204" t="e">
        <f>E37</f>
        <v>#DIV/0!</v>
      </c>
      <c r="F30" s="184" t="s">
        <v>311</v>
      </c>
      <c r="G30" s="262" t="s">
        <v>339</v>
      </c>
      <c r="H30" s="298">
        <f>B68</f>
        <v>55</v>
      </c>
      <c r="I30" s="262" t="s">
        <v>26</v>
      </c>
      <c r="J30" s="262" t="s">
        <v>335</v>
      </c>
      <c r="K30" s="297">
        <f>B63</f>
        <v>55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55</v>
      </c>
      <c r="X30" s="249" t="s">
        <v>165</v>
      </c>
      <c r="Y30" s="249" t="s">
        <v>221</v>
      </c>
      <c r="Z30" s="289">
        <f>B256</f>
        <v>55</v>
      </c>
      <c r="AA30" s="249" t="s">
        <v>165</v>
      </c>
      <c r="AB30" s="263" t="s">
        <v>16</v>
      </c>
      <c r="AC30" s="288">
        <f>(AC26*AC27)/(1-EXP(-AC27*AC26))</f>
        <v>330.77677412456916</v>
      </c>
      <c r="AD30" s="288">
        <f>(AD26*AD27)/(1-EXP(-AD27*AD26))</f>
        <v>330.77677412456916</v>
      </c>
      <c r="AE30" s="288">
        <f>(AE26*AE27)/(1-EXP(-AE27*AE26))</f>
        <v>330.77677412456916</v>
      </c>
      <c r="AF30" s="288">
        <f>(AF26*AF27)/(1-EXP(-AF27*AF26))</f>
        <v>330.77677412456916</v>
      </c>
      <c r="AG30" s="288">
        <f>(AG26*AG27)/(1-EXP(-AG27*AG26))</f>
        <v>330.77677412456916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7" t="s">
        <v>310</v>
      </c>
      <c r="BT30" s="137">
        <f>B295</f>
        <v>2.8000000000000001E-15</v>
      </c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1720039.22544776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55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55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2</v>
      </c>
    </row>
    <row r="31" spans="1:214" ht="13.5" thickBot="1" x14ac:dyDescent="0.25">
      <c r="A31" s="266" t="s">
        <v>270</v>
      </c>
      <c r="B31" s="315">
        <v>1.04753425E-2</v>
      </c>
      <c r="C31" s="249" t="s">
        <v>274</v>
      </c>
      <c r="D31" s="183"/>
      <c r="E31" s="182"/>
      <c r="F31" s="181"/>
      <c r="G31" s="262" t="s">
        <v>341</v>
      </c>
      <c r="H31" s="298">
        <f>B66</f>
        <v>20</v>
      </c>
      <c r="I31" s="263" t="s">
        <v>69</v>
      </c>
      <c r="J31" s="262" t="s">
        <v>340</v>
      </c>
      <c r="K31" s="298">
        <f>B67</f>
        <v>55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5</v>
      </c>
      <c r="X31" s="249" t="s">
        <v>169</v>
      </c>
      <c r="Y31" s="249" t="s">
        <v>186</v>
      </c>
      <c r="Z31" s="289">
        <f>B257</f>
        <v>5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5</v>
      </c>
      <c r="BL31" s="249" t="s">
        <v>169</v>
      </c>
      <c r="BM31" s="262" t="s">
        <v>186</v>
      </c>
      <c r="BN31" s="289">
        <f>B271</f>
        <v>5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6.8000000000000005E-2</v>
      </c>
      <c r="CB31" s="249" t="s">
        <v>71</v>
      </c>
      <c r="CC31" s="290">
        <f>B24</f>
        <v>3.5028935999999998E-10</v>
      </c>
      <c r="CD31" s="262" t="s">
        <v>282</v>
      </c>
      <c r="CE31" s="249" t="s">
        <v>71</v>
      </c>
      <c r="CF31" s="290">
        <f>B26</f>
        <v>1.00696514688E-9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55</v>
      </c>
      <c r="CV31" s="262" t="s">
        <v>26</v>
      </c>
      <c r="CZ31" s="262" t="s">
        <v>381</v>
      </c>
      <c r="DA31" s="297">
        <f>B140</f>
        <v>55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20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5</v>
      </c>
      <c r="I32" s="263" t="s">
        <v>69</v>
      </c>
      <c r="J32" s="262" t="s">
        <v>339</v>
      </c>
      <c r="K32" s="298">
        <f>B68</f>
        <v>55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3.1999999999999999E-11</v>
      </c>
      <c r="X32" s="263" t="s">
        <v>44</v>
      </c>
      <c r="Y32" s="249" t="s">
        <v>43</v>
      </c>
      <c r="Z32" s="290">
        <f>B19</f>
        <v>3.1999999999999999E-11</v>
      </c>
      <c r="AA32" s="263" t="s">
        <v>44</v>
      </c>
      <c r="AB32" s="266" t="s">
        <v>80</v>
      </c>
      <c r="AC32" s="294" t="e">
        <f>((AC5/(AC9*AC14*AC8*AC11*(1/AC6)))*AC30)*AC28*AC38*AC39</f>
        <v>#DIV/0!</v>
      </c>
      <c r="AD32" s="294" t="e">
        <f>((AD5/(AD9*AD14*AD8*AD11*(1/AD6)))*AD30)*AD28*AD38*AD39</f>
        <v>#DIV/0!</v>
      </c>
      <c r="AE32" s="294" t="e">
        <f>((AE5/(AE9*AE14*AE8*AE11*(1/AE6)))*AE30)*AE28*AE38*AE39</f>
        <v>#DIV/0!</v>
      </c>
      <c r="AF32" s="294" t="e">
        <f>((AF5/(AF9*AF14*AF8*AF11*(1/AF6)))*AF30)*AF28*AF38*AF39</f>
        <v>#DIV/0!</v>
      </c>
      <c r="AG32" s="294" t="e">
        <f>((AG5/(AG9*AG14*AG8*AG11*(1/AG6)))*AG30)*AG28*AG38*AG39</f>
        <v>#DIV/0!</v>
      </c>
      <c r="AH32" s="266" t="s">
        <v>311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2.2499999999999999E-2</v>
      </c>
      <c r="BM32" s="249" t="s">
        <v>458</v>
      </c>
      <c r="BN32" s="287">
        <f>B8</f>
        <v>4.2700000000000002E-2</v>
      </c>
      <c r="BV32" s="95" t="s">
        <v>315</v>
      </c>
      <c r="BW32" s="289">
        <f>B293</f>
        <v>241</v>
      </c>
      <c r="BX32" s="249" t="s">
        <v>309</v>
      </c>
      <c r="BY32" s="262" t="s">
        <v>62</v>
      </c>
      <c r="BZ32" s="305">
        <f>B4</f>
        <v>0.75600000000000001</v>
      </c>
      <c r="CB32" s="95" t="s">
        <v>315</v>
      </c>
      <c r="CC32" s="289">
        <f>B293</f>
        <v>241</v>
      </c>
      <c r="CD32" s="249" t="s">
        <v>309</v>
      </c>
      <c r="CE32" s="95" t="s">
        <v>315</v>
      </c>
      <c r="CF32" s="289">
        <f>B293</f>
        <v>241</v>
      </c>
      <c r="CG32" s="249" t="s">
        <v>309</v>
      </c>
      <c r="CK32" s="267" t="s">
        <v>310</v>
      </c>
      <c r="CL32" s="289">
        <f>B294</f>
        <v>2.8000000000000002E-12</v>
      </c>
      <c r="CT32" s="262" t="s">
        <v>386</v>
      </c>
      <c r="CU32" s="292">
        <f>B157</f>
        <v>30</v>
      </c>
      <c r="CV32" s="267" t="s">
        <v>69</v>
      </c>
      <c r="CZ32" s="262" t="s">
        <v>382</v>
      </c>
      <c r="DA32" s="297">
        <f>B141</f>
        <v>55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50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55</v>
      </c>
      <c r="F33" s="262" t="s">
        <v>26</v>
      </c>
      <c r="G33" s="262" t="s">
        <v>342</v>
      </c>
      <c r="H33" s="297">
        <f>B65</f>
        <v>15</v>
      </c>
      <c r="I33" s="263" t="s">
        <v>69</v>
      </c>
      <c r="J33" s="262" t="s">
        <v>338</v>
      </c>
      <c r="K33" s="297">
        <f>B69</f>
        <v>55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5</v>
      </c>
      <c r="X33" s="263" t="s">
        <v>224</v>
      </c>
      <c r="Y33" s="249" t="s">
        <v>222</v>
      </c>
      <c r="Z33" s="298">
        <f>B263</f>
        <v>5</v>
      </c>
      <c r="AA33" s="263" t="s">
        <v>224</v>
      </c>
      <c r="AB33" s="266" t="s">
        <v>74</v>
      </c>
      <c r="AC33" s="295">
        <f>((AC5/(AC21*AC17*AC8*AC11*(1/AC35)*((8/1)/(24/1))*AC31))*AC30)*AC28*AC38*AC39</f>
        <v>1.9700794090460237E-2</v>
      </c>
      <c r="AD33" s="295">
        <f>((AD5/(AD21*AD17*AD8*((8/1)/(24/1))*AD11*(1/AD35)*AD31))*AD30)*AD28*AD38*AD39</f>
        <v>1.9700794090460227E-2</v>
      </c>
      <c r="AE33" s="295">
        <f>((AE5/(AE21*AE17*AE8*((8/1)/(24/1))*AE11*(1/AE35)*AE31))*AE30)*AE28*AE38*AE39</f>
        <v>1.9700794090460227E-2</v>
      </c>
      <c r="AF33" s="295">
        <f>((AF5/(AF21*AF17*AF8*AF11*(1/AF36)*(AF23/24)*AF31))*AF30)*AF28*AF38*AF39</f>
        <v>1.7940580002601137E-5</v>
      </c>
      <c r="AG33" s="295">
        <f>((AG5/(AG21*AG17*AG8*AG11*(1/AG37)*(AG23/24)*AG31))*AG30)*AG28*AG38*AG39</f>
        <v>8.3608428187392249E-4</v>
      </c>
      <c r="AH33" s="88" t="s">
        <v>311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5</v>
      </c>
      <c r="AT33" s="249" t="s">
        <v>224</v>
      </c>
      <c r="AU33" s="262" t="s">
        <v>466</v>
      </c>
      <c r="AV33" s="289">
        <f>B251</f>
        <v>5</v>
      </c>
      <c r="AW33" s="249" t="s">
        <v>224</v>
      </c>
      <c r="BA33" s="262" t="s">
        <v>467</v>
      </c>
      <c r="BB33" s="289">
        <f>B227</f>
        <v>2</v>
      </c>
      <c r="BC33" s="249" t="s">
        <v>224</v>
      </c>
      <c r="BD33" s="262" t="s">
        <v>467</v>
      </c>
      <c r="BE33" s="289">
        <f>B227</f>
        <v>2</v>
      </c>
      <c r="BF33" s="249" t="s">
        <v>224</v>
      </c>
      <c r="BJ33" s="249" t="s">
        <v>463</v>
      </c>
      <c r="BK33" s="287">
        <f>B13</f>
        <v>0.46300000000000002</v>
      </c>
      <c r="BM33" s="249" t="s">
        <v>459</v>
      </c>
      <c r="BN33" s="287">
        <f>B9</f>
        <v>0.72299999999999998</v>
      </c>
      <c r="BV33" s="267" t="s">
        <v>310</v>
      </c>
      <c r="BW33" s="289">
        <f>B295</f>
        <v>2.8000000000000001E-15</v>
      </c>
      <c r="BY33" s="269" t="s">
        <v>111</v>
      </c>
      <c r="BZ33" s="298">
        <f>BZ25</f>
        <v>26</v>
      </c>
      <c r="CA33" s="249" t="s">
        <v>69</v>
      </c>
      <c r="CB33" s="267" t="s">
        <v>310</v>
      </c>
      <c r="CC33" s="289">
        <f>B294</f>
        <v>2.8000000000000002E-12</v>
      </c>
      <c r="CE33" s="267" t="s">
        <v>310</v>
      </c>
      <c r="CF33" s="289">
        <f>B294</f>
        <v>2.8000000000000002E-12</v>
      </c>
      <c r="CK33" s="267"/>
      <c r="CT33" s="262" t="s">
        <v>385</v>
      </c>
      <c r="CU33" s="297">
        <f>B156</f>
        <v>20</v>
      </c>
      <c r="CV33" s="263" t="s">
        <v>69</v>
      </c>
      <c r="CZ33" s="262" t="s">
        <v>383</v>
      </c>
      <c r="DA33" s="297">
        <f>B142</f>
        <v>55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3.1322096352372828</v>
      </c>
    </row>
    <row r="34" spans="1:214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0</v>
      </c>
      <c r="F34" s="262" t="s">
        <v>289</v>
      </c>
      <c r="G34" s="249" t="s">
        <v>344</v>
      </c>
      <c r="H34" s="297">
        <f>B70</f>
        <v>2</v>
      </c>
      <c r="I34" s="249" t="s">
        <v>104</v>
      </c>
      <c r="J34" s="262" t="s">
        <v>341</v>
      </c>
      <c r="K34" s="292">
        <f>B66</f>
        <v>20</v>
      </c>
      <c r="L34" s="267" t="s">
        <v>69</v>
      </c>
      <c r="M34" s="249" t="s">
        <v>450</v>
      </c>
      <c r="N34" s="290">
        <f>B24</f>
        <v>3.5028935999999998E-10</v>
      </c>
      <c r="O34" s="263" t="s">
        <v>447</v>
      </c>
      <c r="P34" s="249" t="s">
        <v>451</v>
      </c>
      <c r="Q34" s="290">
        <f>B26</f>
        <v>1.00696514688E-9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((AC5/(AC20*(AC8/365)*AC11*((AC23+AC24)/24)*AC16*AC19))*AC30)*AC28*AC38*AC39</f>
        <v>8.798447105322415E-6</v>
      </c>
      <c r="AD34" s="296">
        <f>((AD5/(AD20*(AD8/365)*AD11*(AD24/24)*AD18*AD19))*AD30)*AD28*AD38*AD39</f>
        <v>2.1996117763306032E-5</v>
      </c>
      <c r="AE34" s="296">
        <f>((AE5/(AE20*(AE8/365)*AE11*(AE23/24)*AE16*AE19))*AE30)*AE28*AE38*AE39</f>
        <v>8.798447105322415E-6</v>
      </c>
      <c r="AF34" s="296">
        <f>((AF5/(AF20*(AF8/365)*AF11*(AF23/24)*AF16*AF19))*AF30)*AF28*AF38*AF39</f>
        <v>1.7114937568709956E-4</v>
      </c>
      <c r="AG34" s="296">
        <f>((AG5/(AG20*(AG8/365)*AG11*(AG23/24)*AG16*AG19))*AG30)*AG28*AG38*AG39</f>
        <v>1.7114937568709956E-4</v>
      </c>
      <c r="AH34" s="266" t="s">
        <v>311</v>
      </c>
      <c r="AI34" s="262" t="s">
        <v>450</v>
      </c>
      <c r="AJ34" s="290">
        <f>B24</f>
        <v>3.5028935999999998E-10</v>
      </c>
      <c r="AK34" s="262" t="s">
        <v>282</v>
      </c>
      <c r="AL34" s="262" t="s">
        <v>451</v>
      </c>
      <c r="AM34" s="290">
        <f>B26</f>
        <v>1.00696514688E-9</v>
      </c>
      <c r="AN34" s="263" t="s">
        <v>72</v>
      </c>
      <c r="AR34" s="262" t="s">
        <v>450</v>
      </c>
      <c r="AS34" s="290">
        <f>B24</f>
        <v>3.5028935999999998E-10</v>
      </c>
      <c r="AT34" s="262" t="s">
        <v>282</v>
      </c>
      <c r="AU34" s="262" t="s">
        <v>451</v>
      </c>
      <c r="AV34" s="290">
        <f>B26</f>
        <v>1.00696514688E-9</v>
      </c>
      <c r="AW34" s="263" t="s">
        <v>72</v>
      </c>
      <c r="BA34" s="262" t="s">
        <v>450</v>
      </c>
      <c r="BB34" s="290">
        <f>B24</f>
        <v>3.5028935999999998E-10</v>
      </c>
      <c r="BC34" s="262" t="s">
        <v>282</v>
      </c>
      <c r="BD34" s="262" t="s">
        <v>451</v>
      </c>
      <c r="BE34" s="290">
        <f>B26</f>
        <v>1.00696514688E-9</v>
      </c>
      <c r="BF34" s="263" t="s">
        <v>72</v>
      </c>
      <c r="BJ34" s="262" t="s">
        <v>471</v>
      </c>
      <c r="BK34" s="289">
        <f>B276</f>
        <v>5</v>
      </c>
      <c r="BL34" s="249" t="s">
        <v>224</v>
      </c>
      <c r="BM34" s="262" t="s">
        <v>471</v>
      </c>
      <c r="BN34" s="289">
        <f>B276</f>
        <v>5</v>
      </c>
      <c r="BO34" s="249" t="s">
        <v>224</v>
      </c>
      <c r="BV34" s="249" t="s">
        <v>270</v>
      </c>
      <c r="BW34" s="287">
        <f>B31</f>
        <v>1.04753425E-2</v>
      </c>
      <c r="BX34" s="249" t="s">
        <v>69</v>
      </c>
      <c r="BZ34" s="298">
        <v>365</v>
      </c>
      <c r="CA34" s="249" t="s">
        <v>26</v>
      </c>
      <c r="CT34" s="262" t="s">
        <v>384</v>
      </c>
      <c r="CU34" s="297">
        <f>B155</f>
        <v>10</v>
      </c>
      <c r="CV34" s="262" t="s">
        <v>69</v>
      </c>
      <c r="CZ34" s="262" t="s">
        <v>387</v>
      </c>
      <c r="DA34" s="293">
        <f>B158</f>
        <v>55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0</v>
      </c>
      <c r="HF34" s="249" t="s">
        <v>19</v>
      </c>
    </row>
    <row r="35" spans="1:214" ht="12.75" customHeight="1" x14ac:dyDescent="0.2">
      <c r="A35" s="266" t="s">
        <v>270</v>
      </c>
      <c r="B35" s="315">
        <v>3.82</v>
      </c>
      <c r="C35" s="249" t="s">
        <v>257</v>
      </c>
      <c r="D35" s="262" t="s">
        <v>341</v>
      </c>
      <c r="E35" s="297">
        <f>B66</f>
        <v>20</v>
      </c>
      <c r="F35" s="249" t="s">
        <v>69</v>
      </c>
      <c r="G35" s="249" t="s">
        <v>345</v>
      </c>
      <c r="H35" s="297">
        <f>B71</f>
        <v>2</v>
      </c>
      <c r="I35" s="249" t="s">
        <v>104</v>
      </c>
      <c r="J35" s="262" t="s">
        <v>342</v>
      </c>
      <c r="K35" s="297">
        <f>B65</f>
        <v>15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55</v>
      </c>
      <c r="X35" s="263" t="s">
        <v>49</v>
      </c>
      <c r="Y35" s="249" t="s">
        <v>435</v>
      </c>
      <c r="Z35" s="297">
        <f>B255</f>
        <v>55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5</v>
      </c>
      <c r="AK35" s="249" t="s">
        <v>224</v>
      </c>
      <c r="AL35" s="262" t="s">
        <v>470</v>
      </c>
      <c r="AM35" s="289">
        <f>B240</f>
        <v>5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3</v>
      </c>
      <c r="BC35" s="249" t="s">
        <v>224</v>
      </c>
      <c r="BD35" s="262" t="s">
        <v>468</v>
      </c>
      <c r="BE35" s="289">
        <f>B228</f>
        <v>3</v>
      </c>
      <c r="BF35" s="249" t="s">
        <v>224</v>
      </c>
      <c r="BJ35" s="262" t="s">
        <v>450</v>
      </c>
      <c r="BK35" s="290">
        <f>B24</f>
        <v>3.5028935999999998E-10</v>
      </c>
      <c r="BL35" s="262" t="s">
        <v>282</v>
      </c>
      <c r="BM35" s="262" t="s">
        <v>451</v>
      </c>
      <c r="BN35" s="290">
        <f>B26</f>
        <v>1.00696514688E-9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15</v>
      </c>
      <c r="CV35" s="249" t="s">
        <v>224</v>
      </c>
      <c r="CZ35" s="262" t="s">
        <v>388</v>
      </c>
      <c r="DA35" s="293">
        <f>B159</f>
        <v>55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2</v>
      </c>
      <c r="HF35" s="249" t="s">
        <v>108</v>
      </c>
    </row>
    <row r="36" spans="1:214" ht="13.5" customHeight="1" x14ac:dyDescent="0.2">
      <c r="A36" s="262" t="s">
        <v>122</v>
      </c>
      <c r="B36" s="314">
        <v>0</v>
      </c>
      <c r="C36" s="263" t="s">
        <v>298</v>
      </c>
      <c r="D36" s="262" t="s">
        <v>337</v>
      </c>
      <c r="E36" s="297">
        <f>B57</f>
        <v>55</v>
      </c>
      <c r="F36" s="249" t="s">
        <v>54</v>
      </c>
      <c r="G36" s="262" t="s">
        <v>347</v>
      </c>
      <c r="H36" s="298">
        <f>B72</f>
        <v>15</v>
      </c>
      <c r="I36" s="269" t="s">
        <v>224</v>
      </c>
      <c r="J36" s="262" t="s">
        <v>343</v>
      </c>
      <c r="K36" s="297">
        <f>B64</f>
        <v>5</v>
      </c>
      <c r="L36" s="262" t="s">
        <v>69</v>
      </c>
      <c r="M36" s="95" t="s">
        <v>315</v>
      </c>
      <c r="N36" s="361">
        <f>B293</f>
        <v>241</v>
      </c>
      <c r="O36" s="249" t="s">
        <v>309</v>
      </c>
      <c r="P36" s="95" t="s">
        <v>315</v>
      </c>
      <c r="Q36" s="361">
        <f>B293</f>
        <v>241</v>
      </c>
      <c r="R36" s="249" t="s">
        <v>309</v>
      </c>
      <c r="V36" s="262" t="s">
        <v>63</v>
      </c>
      <c r="W36" s="287">
        <f>B28</f>
        <v>1.6230073680000001E-12</v>
      </c>
      <c r="X36" s="262" t="s">
        <v>64</v>
      </c>
      <c r="Y36" s="262" t="s">
        <v>63</v>
      </c>
      <c r="Z36" s="287">
        <f>B28</f>
        <v>1.6230073680000001E-12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315</v>
      </c>
      <c r="AJ36" s="289">
        <f>B293</f>
        <v>241</v>
      </c>
      <c r="AK36" s="249" t="s">
        <v>309</v>
      </c>
      <c r="AL36" s="95" t="s">
        <v>315</v>
      </c>
      <c r="AM36" s="289">
        <f>B293</f>
        <v>241</v>
      </c>
      <c r="AN36" s="249" t="s">
        <v>309</v>
      </c>
      <c r="AR36" s="95" t="s">
        <v>315</v>
      </c>
      <c r="AS36" s="289">
        <f>B293</f>
        <v>241</v>
      </c>
      <c r="AT36" s="249" t="s">
        <v>309</v>
      </c>
      <c r="AU36" s="95" t="s">
        <v>315</v>
      </c>
      <c r="AV36" s="289">
        <f>B293</f>
        <v>241</v>
      </c>
      <c r="AW36" s="249" t="s">
        <v>309</v>
      </c>
      <c r="BA36" s="95" t="s">
        <v>315</v>
      </c>
      <c r="BB36" s="289">
        <f>B293</f>
        <v>241</v>
      </c>
      <c r="BC36" s="249" t="s">
        <v>309</v>
      </c>
      <c r="BD36" s="95" t="s">
        <v>315</v>
      </c>
      <c r="BE36" s="289">
        <f>B293</f>
        <v>241</v>
      </c>
      <c r="BJ36" s="95" t="s">
        <v>315</v>
      </c>
      <c r="BK36" s="289">
        <f>B293</f>
        <v>241</v>
      </c>
      <c r="BL36" s="249" t="s">
        <v>309</v>
      </c>
      <c r="BM36" s="95" t="s">
        <v>315</v>
      </c>
      <c r="BN36" s="289">
        <f>B293</f>
        <v>241</v>
      </c>
      <c r="BO36" s="249" t="s">
        <v>309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15</v>
      </c>
      <c r="CV36" s="249" t="s">
        <v>224</v>
      </c>
      <c r="CZ36" s="262" t="s">
        <v>384</v>
      </c>
      <c r="DA36" s="292">
        <f>B155</f>
        <v>10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2</v>
      </c>
      <c r="HF36" s="249" t="s">
        <v>110</v>
      </c>
    </row>
    <row r="37" spans="1:214" x14ac:dyDescent="0.2">
      <c r="A37" s="262" t="s">
        <v>278</v>
      </c>
      <c r="B37" s="315">
        <v>0</v>
      </c>
      <c r="C37" s="263" t="s">
        <v>298</v>
      </c>
      <c r="D37" s="262" t="s">
        <v>80</v>
      </c>
      <c r="E37" s="300" t="e">
        <f>(E32/(E34*E33*E35*E36))*E7*E38*E39</f>
        <v>#DIV/0!</v>
      </c>
      <c r="F37" s="263" t="s">
        <v>311</v>
      </c>
      <c r="G37" s="262" t="s">
        <v>348</v>
      </c>
      <c r="H37" s="298">
        <f>B73</f>
        <v>15</v>
      </c>
      <c r="I37" s="249" t="s">
        <v>224</v>
      </c>
      <c r="J37" s="262" t="s">
        <v>347</v>
      </c>
      <c r="K37" s="298">
        <f>B72</f>
        <v>15</v>
      </c>
      <c r="L37" s="269" t="s">
        <v>224</v>
      </c>
      <c r="M37" s="267" t="s">
        <v>310</v>
      </c>
      <c r="N37" s="289">
        <f>B294</f>
        <v>2.8000000000000002E-12</v>
      </c>
      <c r="P37" s="267" t="s">
        <v>310</v>
      </c>
      <c r="Q37" s="289">
        <f>B294</f>
        <v>2.8000000000000002E-12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AI37" s="267" t="s">
        <v>310</v>
      </c>
      <c r="AJ37" s="289">
        <f>B294</f>
        <v>2.8000000000000002E-12</v>
      </c>
      <c r="AL37" s="267" t="s">
        <v>310</v>
      </c>
      <c r="AM37" s="289">
        <f>B294</f>
        <v>2.8000000000000002E-12</v>
      </c>
      <c r="AR37" s="267" t="s">
        <v>310</v>
      </c>
      <c r="AS37" s="289">
        <f>B294</f>
        <v>2.8000000000000002E-12</v>
      </c>
      <c r="AU37" s="267" t="s">
        <v>310</v>
      </c>
      <c r="AV37" s="289">
        <f>B294</f>
        <v>2.8000000000000002E-12</v>
      </c>
      <c r="BA37" s="267" t="s">
        <v>310</v>
      </c>
      <c r="BB37" s="289">
        <f>B294</f>
        <v>2.8000000000000002E-12</v>
      </c>
      <c r="BD37" s="267" t="s">
        <v>310</v>
      </c>
      <c r="BE37" s="289">
        <f>B294</f>
        <v>2.8000000000000002E-12</v>
      </c>
      <c r="BJ37" s="267" t="s">
        <v>310</v>
      </c>
      <c r="BK37" s="289">
        <f>B294</f>
        <v>2.8000000000000002E-12</v>
      </c>
      <c r="BM37" s="267" t="s">
        <v>310</v>
      </c>
      <c r="BN37" s="289">
        <f>B294</f>
        <v>2.8000000000000002E-12</v>
      </c>
      <c r="BY37" s="95" t="s">
        <v>315</v>
      </c>
      <c r="BZ37" s="297">
        <f>B293</f>
        <v>241</v>
      </c>
      <c r="CA37" s="249" t="s">
        <v>309</v>
      </c>
      <c r="CC37" s="592"/>
      <c r="CD37" s="592"/>
      <c r="CE37" s="592"/>
      <c r="CF37" s="592"/>
      <c r="CG37" s="592"/>
      <c r="CT37" s="267" t="s">
        <v>399</v>
      </c>
      <c r="CU37" s="292">
        <f>B174</f>
        <v>2</v>
      </c>
      <c r="CZ37" s="262" t="s">
        <v>385</v>
      </c>
      <c r="DA37" s="292">
        <f>B156</f>
        <v>20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0.38379773434271086</v>
      </c>
      <c r="HF37" s="249" t="s">
        <v>113</v>
      </c>
    </row>
    <row r="38" spans="1:214" x14ac:dyDescent="0.2">
      <c r="A38" s="262" t="s">
        <v>275</v>
      </c>
      <c r="B38" s="315">
        <v>0</v>
      </c>
      <c r="C38" s="263" t="s">
        <v>298</v>
      </c>
      <c r="D38" s="95" t="s">
        <v>315</v>
      </c>
      <c r="E38" s="289">
        <f>B293</f>
        <v>241</v>
      </c>
      <c r="F38" s="249" t="s">
        <v>309</v>
      </c>
      <c r="G38" s="249" t="s">
        <v>349</v>
      </c>
      <c r="H38" s="297">
        <f>B75</f>
        <v>2</v>
      </c>
      <c r="I38" s="249" t="s">
        <v>98</v>
      </c>
      <c r="J38" s="262" t="s">
        <v>348</v>
      </c>
      <c r="K38" s="298">
        <f>B73</f>
        <v>15</v>
      </c>
      <c r="L38" s="249" t="s">
        <v>224</v>
      </c>
      <c r="V38" s="88" t="s">
        <v>74</v>
      </c>
      <c r="W38" s="294">
        <f>((W27)/((W33/W34)*W30*W31*W32*W35))*W29*W42*W43</f>
        <v>7.010341605619834E-14</v>
      </c>
      <c r="X38" s="88" t="s">
        <v>15</v>
      </c>
      <c r="Y38" s="88" t="s">
        <v>74</v>
      </c>
      <c r="Z38" s="294">
        <f>((Z27*Z31*Z28)/((1-EXP(-Z28))*Z31*Z32*Z30*Z44*(Z33/Z34)*Z35))*Z29*Z46*Z47</f>
        <v>4.6377163636363621E-12</v>
      </c>
      <c r="AA38" s="88" t="s">
        <v>16</v>
      </c>
      <c r="AB38" s="95" t="s">
        <v>315</v>
      </c>
      <c r="AC38" s="297">
        <f>B293</f>
        <v>241</v>
      </c>
      <c r="AD38" s="297">
        <f>B293</f>
        <v>241</v>
      </c>
      <c r="AE38" s="297">
        <f>B293</f>
        <v>241</v>
      </c>
      <c r="AF38" s="297">
        <f>B293</f>
        <v>241</v>
      </c>
      <c r="AG38" s="297">
        <f>B293</f>
        <v>241</v>
      </c>
      <c r="AH38" s="249" t="s">
        <v>309</v>
      </c>
      <c r="AL38" s="262"/>
      <c r="AM38" s="293"/>
      <c r="AN38" s="262"/>
      <c r="BD38" s="262"/>
      <c r="BE38" s="293"/>
      <c r="BF38" s="262"/>
      <c r="BY38" s="267" t="s">
        <v>310</v>
      </c>
      <c r="BZ38" s="289">
        <f>B294</f>
        <v>2.8000000000000002E-12</v>
      </c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30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0.36</v>
      </c>
      <c r="HF38" s="249" t="s">
        <v>108</v>
      </c>
    </row>
    <row r="39" spans="1:214" x14ac:dyDescent="0.2">
      <c r="A39" s="262" t="s">
        <v>276</v>
      </c>
      <c r="B39" s="315">
        <v>0</v>
      </c>
      <c r="C39" s="263" t="s">
        <v>298</v>
      </c>
      <c r="D39" s="267" t="s">
        <v>310</v>
      </c>
      <c r="E39" s="289">
        <f>B294</f>
        <v>2.8000000000000002E-12</v>
      </c>
      <c r="F39" s="263"/>
      <c r="G39" s="249" t="s">
        <v>350</v>
      </c>
      <c r="H39" s="289">
        <f>B76</f>
        <v>2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((W27)/((W33/W34)*W30*W31*W36*(1/365)))*W29*W42*W43</f>
        <v>2.7747523124307725E-8</v>
      </c>
      <c r="X39" s="88" t="s">
        <v>15</v>
      </c>
      <c r="Y39" s="88" t="s">
        <v>78</v>
      </c>
      <c r="Z39" s="296">
        <f>((Z27*Z31*Z28)/((1-EXP(-Z28*Z31))*Z36*Z30*Z44*(Z33/Z34)*Z37*(Z44/Z45)))*Z29*Z46*Z47</f>
        <v>1.8356472378010789E-6</v>
      </c>
      <c r="AA39" s="88" t="s">
        <v>16</v>
      </c>
      <c r="AB39" s="267" t="s">
        <v>310</v>
      </c>
      <c r="AC39" s="289">
        <f>B294</f>
        <v>2.8000000000000002E-12</v>
      </c>
      <c r="AD39" s="289">
        <f>B294</f>
        <v>2.8000000000000002E-12</v>
      </c>
      <c r="AE39" s="289">
        <f>B294</f>
        <v>2.8000000000000002E-12</v>
      </c>
      <c r="AF39" s="289">
        <f>B294</f>
        <v>2.8000000000000002E-12</v>
      </c>
      <c r="AG39" s="289">
        <f>B294</f>
        <v>2.8000000000000002E-12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15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2</v>
      </c>
      <c r="HF39" s="249" t="s">
        <v>113</v>
      </c>
    </row>
    <row r="40" spans="1:214" ht="14.2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((W27*W28*W31)/((W33/W34)*(1-EXP(-W28*W31))*W32*W35*W30*W31))*W29*W42*W43</f>
        <v>2.3188581818181816E-11</v>
      </c>
      <c r="X40" s="88" t="s">
        <v>16</v>
      </c>
      <c r="Y40" s="88" t="s">
        <v>74</v>
      </c>
      <c r="Z40" s="294">
        <f>(Z27/((Z32*Z30*Z44*(Z33/Z34)*Z35)))*Z29*Z46*Z47</f>
        <v>7.0103416056198353E-14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15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2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((W27*W28*W31)/((W33/W34)*(1-EXP(-W28*W31))*W36*W30*W31*(1/365)))*W29*W42*W43</f>
        <v>9.1782361890053951E-6</v>
      </c>
      <c r="X41" s="88" t="s">
        <v>16</v>
      </c>
      <c r="Y41" s="88" t="s">
        <v>78</v>
      </c>
      <c r="Z41" s="296">
        <f>(Z27/(Z36*Z30*(1/Z45)*Z44*(Z33/Z34)*Z37))*Z29*Z46*Z47</f>
        <v>2.7747523124307725E-8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2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2</v>
      </c>
      <c r="HF41" s="249" t="s">
        <v>113</v>
      </c>
    </row>
    <row r="42" spans="1:214" x14ac:dyDescent="0.2">
      <c r="A42" s="249" t="s">
        <v>265</v>
      </c>
      <c r="B42" s="315">
        <f>B38</f>
        <v>0</v>
      </c>
      <c r="C42" s="263" t="s">
        <v>298</v>
      </c>
      <c r="D42" s="203" t="s">
        <v>510</v>
      </c>
      <c r="E42" s="204" t="e">
        <f>E52</f>
        <v>#DIV/0!</v>
      </c>
      <c r="F42" s="184" t="s">
        <v>313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315</v>
      </c>
      <c r="W42" s="289">
        <f>B293</f>
        <v>241</v>
      </c>
      <c r="X42" s="249" t="s">
        <v>309</v>
      </c>
      <c r="Y42" s="249" t="s">
        <v>219</v>
      </c>
      <c r="Z42" s="289">
        <f>B267</f>
        <v>11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6.8000000000000005E-2</v>
      </c>
      <c r="CZ42" s="262" t="s">
        <v>398</v>
      </c>
      <c r="DA42" s="292">
        <f>B168</f>
        <v>2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V43" s="267" t="s">
        <v>310</v>
      </c>
      <c r="W43" s="289">
        <f>B295</f>
        <v>2.8000000000000001E-15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0.75600000000000001</v>
      </c>
      <c r="CZ43" s="249" t="s">
        <v>393</v>
      </c>
      <c r="DA43" s="292">
        <f>B163</f>
        <v>2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0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6.8000000000000005E-2</v>
      </c>
      <c r="Y44" s="249" t="s">
        <v>186</v>
      </c>
      <c r="Z44" s="289">
        <f>B257</f>
        <v>5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30</v>
      </c>
      <c r="CV44" s="269" t="s">
        <v>69</v>
      </c>
      <c r="CZ44" s="249" t="s">
        <v>394</v>
      </c>
      <c r="DA44" s="292">
        <f>B164</f>
        <v>2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0</v>
      </c>
      <c r="C45" s="249" t="s">
        <v>19</v>
      </c>
      <c r="D45" s="262" t="s">
        <v>338</v>
      </c>
      <c r="E45" s="298">
        <f>B69</f>
        <v>55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0.75600000000000001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.75" customHeight="1" x14ac:dyDescent="0.2">
      <c r="A46" s="249" t="s">
        <v>284</v>
      </c>
      <c r="B46" s="315">
        <v>0</v>
      </c>
      <c r="C46" s="249" t="s">
        <v>19</v>
      </c>
      <c r="D46" s="262" t="s">
        <v>438</v>
      </c>
      <c r="E46" s="287">
        <f>B30</f>
        <v>0</v>
      </c>
      <c r="F46" s="262" t="s">
        <v>289</v>
      </c>
      <c r="G46" s="249" t="s">
        <v>20</v>
      </c>
      <c r="H46" s="287">
        <f>H48</f>
        <v>0</v>
      </c>
      <c r="I46" s="263"/>
      <c r="J46" s="269" t="s">
        <v>107</v>
      </c>
      <c r="K46" s="292">
        <f>K34</f>
        <v>20</v>
      </c>
      <c r="L46" s="269" t="s">
        <v>69</v>
      </c>
      <c r="Y46" s="95" t="s">
        <v>315</v>
      </c>
      <c r="Z46" s="289">
        <f>B293</f>
        <v>241</v>
      </c>
      <c r="AA46" s="249" t="s">
        <v>309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0</v>
      </c>
      <c r="C47" s="262" t="s">
        <v>14</v>
      </c>
      <c r="D47" s="262" t="s">
        <v>341</v>
      </c>
      <c r="E47" s="297">
        <f>B66</f>
        <v>20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Y47" s="267" t="s">
        <v>310</v>
      </c>
      <c r="Z47" s="289">
        <f>B295</f>
        <v>2.8000000000000001E-15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55</v>
      </c>
      <c r="F48" s="249" t="s">
        <v>54</v>
      </c>
      <c r="G48" s="263" t="s">
        <v>37</v>
      </c>
      <c r="H48" s="290">
        <f>B44</f>
        <v>0</v>
      </c>
      <c r="K48" s="289">
        <v>1000</v>
      </c>
      <c r="L48" s="249" t="s">
        <v>115</v>
      </c>
      <c r="CT48" s="95" t="s">
        <v>315</v>
      </c>
      <c r="CU48" s="289">
        <f>B293</f>
        <v>241</v>
      </c>
      <c r="CV48" s="249" t="s">
        <v>309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x14ac:dyDescent="0.2">
      <c r="A49" s="249" t="s">
        <v>331</v>
      </c>
      <c r="B49" s="284">
        <v>0.25</v>
      </c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BY49" s="262"/>
      <c r="BZ49" s="293"/>
      <c r="CT49" s="267" t="s">
        <v>310</v>
      </c>
      <c r="CU49" s="289">
        <f>B294</f>
        <v>2.8000000000000002E-12</v>
      </c>
      <c r="DA49" s="292">
        <v>1000</v>
      </c>
      <c r="DB49" s="267" t="s">
        <v>115</v>
      </c>
      <c r="DW49" s="264"/>
      <c r="DX49" s="264"/>
      <c r="DY49" s="328"/>
      <c r="DZ49" s="264"/>
    </row>
    <row r="50" spans="1:130" ht="15" x14ac:dyDescent="0.2">
      <c r="A50" s="516" t="s">
        <v>2</v>
      </c>
      <c r="B50" s="516"/>
      <c r="C50" s="516"/>
      <c r="D50" s="262" t="s">
        <v>122</v>
      </c>
      <c r="E50" s="298">
        <f>B36</f>
        <v>0</v>
      </c>
      <c r="F50" s="263" t="s">
        <v>19</v>
      </c>
      <c r="G50" s="249" t="s">
        <v>18</v>
      </c>
      <c r="H50" s="288">
        <f>(H53*H54*H48*((1-EXP(-H55*H56))))/(H57*H55)</f>
        <v>0</v>
      </c>
      <c r="I50" s="249" t="s">
        <v>19</v>
      </c>
      <c r="J50" s="249" t="s">
        <v>20</v>
      </c>
      <c r="K50" s="287">
        <f>K52</f>
        <v>0</v>
      </c>
      <c r="BY50" s="263"/>
      <c r="BZ50" s="307"/>
      <c r="CT50" s="263"/>
      <c r="CU50" s="307"/>
      <c r="CZ50" s="95" t="s">
        <v>315</v>
      </c>
      <c r="DA50" s="289">
        <f>B293</f>
        <v>241</v>
      </c>
      <c r="DB50" s="249" t="s">
        <v>309</v>
      </c>
      <c r="DW50" s="264"/>
      <c r="DX50" s="264"/>
      <c r="DY50" s="328"/>
      <c r="DZ50" s="264"/>
    </row>
    <row r="51" spans="1:130" x14ac:dyDescent="0.2">
      <c r="A51" s="262" t="s">
        <v>318</v>
      </c>
      <c r="B51" s="283">
        <v>55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5.4035127681958941E-3</v>
      </c>
      <c r="I51" s="249" t="s">
        <v>19</v>
      </c>
      <c r="J51" s="262" t="s">
        <v>28</v>
      </c>
      <c r="K51" s="293">
        <f>K53</f>
        <v>0.26</v>
      </c>
      <c r="BW51" s="287"/>
      <c r="BY51" s="262"/>
      <c r="BZ51" s="293"/>
      <c r="CT51" s="262"/>
      <c r="CU51" s="293"/>
      <c r="CZ51" s="267" t="s">
        <v>310</v>
      </c>
      <c r="DA51" s="289">
        <f>B294</f>
        <v>2.8000000000000002E-12</v>
      </c>
      <c r="DW51" s="264"/>
      <c r="DX51" s="264"/>
      <c r="DY51" s="328"/>
      <c r="DZ51" s="264"/>
    </row>
    <row r="52" spans="1:130" x14ac:dyDescent="0.2">
      <c r="A52" s="262" t="s">
        <v>319</v>
      </c>
      <c r="B52" s="283">
        <v>55</v>
      </c>
      <c r="C52" s="267" t="s">
        <v>49</v>
      </c>
      <c r="D52" s="262" t="s">
        <v>80</v>
      </c>
      <c r="E52" s="300" t="e">
        <f>(E44/(E46*E45*E47*E48*E50*E51*(1/E49)))*E7*E53*E54</f>
        <v>#DIV/0!</v>
      </c>
      <c r="F52" s="249" t="s">
        <v>313</v>
      </c>
      <c r="G52" s="249" t="s">
        <v>36</v>
      </c>
      <c r="H52" s="288">
        <f>(H53*H54*H58*H64*((1-EXP(-H59*H60))))/(H61*H59)</f>
        <v>0.82303427313698274</v>
      </c>
      <c r="I52" s="249" t="s">
        <v>19</v>
      </c>
      <c r="J52" s="263" t="s">
        <v>37</v>
      </c>
      <c r="K52" s="290">
        <f>B44</f>
        <v>0</v>
      </c>
      <c r="BW52" s="287"/>
      <c r="CZ52" s="267"/>
      <c r="DW52" s="264"/>
      <c r="DX52" s="264"/>
      <c r="DY52" s="328"/>
      <c r="DZ52" s="264"/>
    </row>
    <row r="53" spans="1:130" x14ac:dyDescent="0.2">
      <c r="A53" s="262" t="s">
        <v>320</v>
      </c>
      <c r="B53" s="283">
        <v>55</v>
      </c>
      <c r="C53" s="263" t="s">
        <v>54</v>
      </c>
      <c r="D53" s="95" t="s">
        <v>315</v>
      </c>
      <c r="E53" s="289">
        <f>B293</f>
        <v>241</v>
      </c>
      <c r="F53" s="249" t="s">
        <v>309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BV53" s="262"/>
      <c r="CZ53" s="267"/>
    </row>
    <row r="54" spans="1:130" x14ac:dyDescent="0.2">
      <c r="A54" s="262" t="s">
        <v>321</v>
      </c>
      <c r="B54" s="283">
        <v>55</v>
      </c>
      <c r="C54" s="263" t="s">
        <v>54</v>
      </c>
      <c r="D54" s="267" t="s">
        <v>310</v>
      </c>
      <c r="E54" s="289">
        <f>B295</f>
        <v>2.8000000000000001E-15</v>
      </c>
      <c r="G54" s="262" t="s">
        <v>46</v>
      </c>
      <c r="H54" s="287">
        <f>B86</f>
        <v>0.25</v>
      </c>
      <c r="I54" s="249" t="s">
        <v>47</v>
      </c>
      <c r="J54" s="267" t="s">
        <v>315</v>
      </c>
      <c r="K54" s="289">
        <f>B293</f>
        <v>241</v>
      </c>
      <c r="L54" s="249" t="s">
        <v>309</v>
      </c>
      <c r="BV54" s="262"/>
      <c r="CZ54" s="267"/>
    </row>
    <row r="55" spans="1:130" x14ac:dyDescent="0.2">
      <c r="A55" s="262" t="s">
        <v>322</v>
      </c>
      <c r="B55" s="283">
        <v>5</v>
      </c>
      <c r="C55" s="262" t="s">
        <v>30</v>
      </c>
      <c r="G55" s="267" t="s">
        <v>55</v>
      </c>
      <c r="H55" s="303">
        <f>H62+H63</f>
        <v>0.18144061256544503</v>
      </c>
      <c r="J55" s="267" t="s">
        <v>310</v>
      </c>
      <c r="K55" s="289">
        <f>B294</f>
        <v>2.8000000000000002E-12</v>
      </c>
      <c r="BV55" s="267"/>
      <c r="CZ55" s="267"/>
    </row>
    <row r="56" spans="1:130" x14ac:dyDescent="0.2">
      <c r="A56" s="262" t="s">
        <v>323</v>
      </c>
      <c r="B56" s="283">
        <v>5</v>
      </c>
      <c r="C56" s="262" t="s">
        <v>30</v>
      </c>
      <c r="G56" s="267" t="s">
        <v>60</v>
      </c>
      <c r="H56" s="289">
        <f>B87</f>
        <v>10950</v>
      </c>
      <c r="I56" s="249" t="s">
        <v>61</v>
      </c>
      <c r="BV56" s="267"/>
      <c r="CZ56" s="267"/>
    </row>
    <row r="57" spans="1:130" x14ac:dyDescent="0.2">
      <c r="A57" s="262" t="s">
        <v>337</v>
      </c>
      <c r="B57" s="283">
        <v>55</v>
      </c>
      <c r="C57" s="249" t="s">
        <v>54</v>
      </c>
      <c r="G57" s="267" t="s">
        <v>65</v>
      </c>
      <c r="H57" s="289">
        <f>B88</f>
        <v>240</v>
      </c>
      <c r="I57" s="249" t="s">
        <v>66</v>
      </c>
      <c r="BV57" s="267"/>
      <c r="CZ57" s="267"/>
      <c r="DA57" s="293"/>
      <c r="DB57" s="262"/>
    </row>
    <row r="58" spans="1:130" x14ac:dyDescent="0.2">
      <c r="A58" s="249" t="s">
        <v>357</v>
      </c>
      <c r="B58" s="283">
        <v>55</v>
      </c>
      <c r="C58" s="249" t="s">
        <v>54</v>
      </c>
      <c r="G58" s="267" t="s">
        <v>76</v>
      </c>
      <c r="H58" s="289">
        <f>B89</f>
        <v>0.42</v>
      </c>
      <c r="I58" s="249" t="s">
        <v>47</v>
      </c>
      <c r="BV58" s="267"/>
      <c r="CZ58" s="267"/>
      <c r="DA58" s="293"/>
      <c r="DB58" s="262"/>
    </row>
    <row r="59" spans="1:130" x14ac:dyDescent="0.2">
      <c r="A59" s="249" t="s">
        <v>336</v>
      </c>
      <c r="B59" s="283">
        <v>55</v>
      </c>
      <c r="C59" s="249" t="s">
        <v>54</v>
      </c>
      <c r="G59" s="267" t="s">
        <v>81</v>
      </c>
      <c r="H59" s="299">
        <f>H63+(0.693/H65)</f>
        <v>0.23091361256544501</v>
      </c>
      <c r="I59" s="262" t="s">
        <v>82</v>
      </c>
      <c r="BV59" s="267"/>
      <c r="CZ59" s="267"/>
      <c r="DA59" s="293"/>
      <c r="DB59" s="262"/>
    </row>
    <row r="60" spans="1:130" x14ac:dyDescent="0.2">
      <c r="A60" s="262" t="s">
        <v>332</v>
      </c>
      <c r="B60" s="283">
        <v>55</v>
      </c>
      <c r="C60" s="267" t="s">
        <v>254</v>
      </c>
      <c r="G60" s="267" t="s">
        <v>85</v>
      </c>
      <c r="H60" s="293">
        <f>B90</f>
        <v>60</v>
      </c>
      <c r="I60" s="262" t="s">
        <v>61</v>
      </c>
      <c r="BV60" s="267"/>
      <c r="CZ60" s="267"/>
    </row>
    <row r="61" spans="1:130" x14ac:dyDescent="0.2">
      <c r="A61" s="262" t="s">
        <v>333</v>
      </c>
      <c r="B61" s="283">
        <v>55</v>
      </c>
      <c r="C61" s="267" t="s">
        <v>254</v>
      </c>
      <c r="G61" s="267" t="s">
        <v>87</v>
      </c>
      <c r="H61" s="293">
        <f>B91</f>
        <v>2</v>
      </c>
      <c r="I61" s="262" t="s">
        <v>66</v>
      </c>
      <c r="BV61" s="267"/>
      <c r="BW61" s="293"/>
      <c r="BX61" s="262"/>
      <c r="CZ61" s="267"/>
      <c r="DA61" s="287"/>
    </row>
    <row r="62" spans="1:130" x14ac:dyDescent="0.2">
      <c r="A62" s="262" t="s">
        <v>334</v>
      </c>
      <c r="B62" s="283">
        <v>55</v>
      </c>
      <c r="C62" s="267" t="s">
        <v>254</v>
      </c>
      <c r="G62" s="267" t="s">
        <v>89</v>
      </c>
      <c r="H62" s="289">
        <f>B92</f>
        <v>2.6999999999999999E-5</v>
      </c>
      <c r="I62" s="249" t="s">
        <v>82</v>
      </c>
      <c r="BV62" s="267"/>
      <c r="BW62" s="293"/>
      <c r="BX62" s="262"/>
      <c r="CZ62" s="267"/>
    </row>
    <row r="63" spans="1:130" x14ac:dyDescent="0.2">
      <c r="A63" s="262" t="s">
        <v>335</v>
      </c>
      <c r="B63" s="283">
        <v>55</v>
      </c>
      <c r="C63" s="267" t="s">
        <v>254</v>
      </c>
      <c r="G63" s="267" t="s">
        <v>90</v>
      </c>
      <c r="H63" s="288">
        <f>0.693/H67</f>
        <v>0.18141361256544503</v>
      </c>
      <c r="I63" s="249" t="s">
        <v>82</v>
      </c>
      <c r="BV63" s="267"/>
      <c r="BW63" s="293"/>
      <c r="BX63" s="262"/>
      <c r="CZ63" s="267"/>
    </row>
    <row r="64" spans="1:130" x14ac:dyDescent="0.2">
      <c r="A64" s="262" t="s">
        <v>343</v>
      </c>
      <c r="B64" s="283">
        <v>5</v>
      </c>
      <c r="C64" s="264" t="s">
        <v>69</v>
      </c>
      <c r="G64" s="267" t="s">
        <v>91</v>
      </c>
      <c r="H64" s="289">
        <f>B93</f>
        <v>1</v>
      </c>
      <c r="I64" s="249" t="s">
        <v>47</v>
      </c>
      <c r="AI64" s="275"/>
      <c r="AJ64" s="353"/>
      <c r="AK64" s="275"/>
      <c r="BV64" s="267"/>
    </row>
    <row r="65" spans="1:105" x14ac:dyDescent="0.2">
      <c r="A65" s="262" t="s">
        <v>342</v>
      </c>
      <c r="B65" s="283">
        <v>15</v>
      </c>
      <c r="C65" s="264" t="s">
        <v>69</v>
      </c>
      <c r="G65" s="267" t="s">
        <v>92</v>
      </c>
      <c r="H65" s="289">
        <f>B94</f>
        <v>14</v>
      </c>
      <c r="I65" s="249" t="s">
        <v>93</v>
      </c>
      <c r="AI65" s="275"/>
      <c r="AJ65" s="353"/>
      <c r="AK65" s="275"/>
      <c r="BV65" s="267"/>
    </row>
    <row r="66" spans="1:105" x14ac:dyDescent="0.2">
      <c r="A66" s="262" t="s">
        <v>341</v>
      </c>
      <c r="B66" s="283">
        <v>20</v>
      </c>
      <c r="C66" s="264" t="s">
        <v>69</v>
      </c>
      <c r="G66" s="249" t="s">
        <v>38</v>
      </c>
      <c r="H66" s="287">
        <f>B45</f>
        <v>0</v>
      </c>
      <c r="AI66" s="275"/>
      <c r="AJ66" s="353"/>
      <c r="AK66" s="275"/>
      <c r="BV66" s="267"/>
      <c r="CZ66" s="262"/>
      <c r="DA66" s="287"/>
    </row>
    <row r="67" spans="1:105" x14ac:dyDescent="0.2">
      <c r="A67" s="262" t="s">
        <v>340</v>
      </c>
      <c r="B67" s="283">
        <v>55</v>
      </c>
      <c r="C67" s="264" t="s">
        <v>26</v>
      </c>
      <c r="G67" s="262" t="s">
        <v>273</v>
      </c>
      <c r="H67" s="287">
        <f>B35</f>
        <v>3.82</v>
      </c>
      <c r="I67" s="249" t="s">
        <v>257</v>
      </c>
      <c r="AI67" s="275"/>
      <c r="AJ67" s="353"/>
      <c r="AK67" s="275"/>
      <c r="BV67" s="267"/>
    </row>
    <row r="68" spans="1:105" x14ac:dyDescent="0.2">
      <c r="A68" s="262" t="s">
        <v>339</v>
      </c>
      <c r="B68" s="283">
        <v>55</v>
      </c>
      <c r="C68" s="264" t="s">
        <v>26</v>
      </c>
      <c r="G68" s="95" t="s">
        <v>315</v>
      </c>
      <c r="H68" s="297">
        <f>B293</f>
        <v>241</v>
      </c>
      <c r="I68" s="249" t="s">
        <v>309</v>
      </c>
      <c r="AI68" s="275"/>
      <c r="AJ68" s="353"/>
      <c r="AK68" s="275"/>
    </row>
    <row r="69" spans="1:105" x14ac:dyDescent="0.2">
      <c r="A69" s="262" t="s">
        <v>338</v>
      </c>
      <c r="B69" s="283">
        <v>55</v>
      </c>
      <c r="C69" s="264" t="s">
        <v>26</v>
      </c>
      <c r="G69" s="267" t="s">
        <v>310</v>
      </c>
      <c r="H69" s="289">
        <f>B295</f>
        <v>2.8000000000000001E-15</v>
      </c>
      <c r="AI69" s="275"/>
      <c r="AJ69" s="353"/>
      <c r="AK69" s="275"/>
      <c r="BV69" s="262"/>
      <c r="BW69" s="287"/>
    </row>
    <row r="70" spans="1:105" x14ac:dyDescent="0.2">
      <c r="A70" s="249" t="s">
        <v>344</v>
      </c>
      <c r="B70" s="284">
        <v>2</v>
      </c>
      <c r="C70" s="92" t="s">
        <v>104</v>
      </c>
      <c r="G70" s="249" t="s">
        <v>270</v>
      </c>
      <c r="H70" s="287">
        <f>B31</f>
        <v>1.04753425E-2</v>
      </c>
      <c r="I70" s="249" t="s">
        <v>69</v>
      </c>
      <c r="AI70" s="275"/>
      <c r="AJ70" s="353"/>
      <c r="AK70" s="275"/>
      <c r="BV70" s="262"/>
    </row>
    <row r="71" spans="1:105" x14ac:dyDescent="0.2">
      <c r="A71" s="249" t="s">
        <v>345</v>
      </c>
      <c r="B71" s="284">
        <v>2</v>
      </c>
      <c r="C71" s="92" t="s">
        <v>104</v>
      </c>
      <c r="AI71" s="275"/>
      <c r="AJ71" s="353"/>
      <c r="AK71" s="275"/>
      <c r="BV71" s="262"/>
    </row>
    <row r="72" spans="1:105" x14ac:dyDescent="0.2">
      <c r="A72" s="262" t="s">
        <v>347</v>
      </c>
      <c r="B72" s="283">
        <v>15</v>
      </c>
      <c r="C72" s="264" t="s">
        <v>224</v>
      </c>
      <c r="AF72" s="277"/>
      <c r="AG72" s="353"/>
      <c r="AH72" s="275"/>
      <c r="AI72" s="275"/>
      <c r="AJ72" s="353"/>
      <c r="AK72" s="275"/>
    </row>
    <row r="73" spans="1:105" x14ac:dyDescent="0.2">
      <c r="A73" s="262" t="s">
        <v>348</v>
      </c>
      <c r="B73" s="283">
        <v>15</v>
      </c>
      <c r="C73" s="264" t="s">
        <v>224</v>
      </c>
      <c r="AF73" s="277"/>
      <c r="AG73" s="353"/>
      <c r="AH73" s="275"/>
      <c r="AI73" s="275"/>
      <c r="AJ73" s="353"/>
      <c r="AK73" s="275"/>
    </row>
    <row r="74" spans="1:105" x14ac:dyDescent="0.2">
      <c r="A74" s="262" t="s">
        <v>346</v>
      </c>
      <c r="B74" s="283">
        <v>15</v>
      </c>
      <c r="C74" s="264" t="s">
        <v>224</v>
      </c>
      <c r="AF74" s="277"/>
      <c r="AG74" s="353"/>
      <c r="AH74" s="275"/>
      <c r="AI74" s="275"/>
      <c r="AJ74" s="353"/>
      <c r="AK74" s="275"/>
    </row>
    <row r="75" spans="1:105" x14ac:dyDescent="0.2">
      <c r="A75" s="249" t="s">
        <v>349</v>
      </c>
      <c r="B75" s="284">
        <v>2</v>
      </c>
      <c r="C75" s="92" t="s">
        <v>98</v>
      </c>
      <c r="AF75" s="277"/>
      <c r="AG75" s="353"/>
      <c r="AH75" s="275"/>
      <c r="AI75" s="275"/>
      <c r="AJ75" s="353"/>
      <c r="AK75" s="275"/>
    </row>
    <row r="76" spans="1:105" x14ac:dyDescent="0.2">
      <c r="A76" s="249" t="s">
        <v>350</v>
      </c>
      <c r="B76" s="284">
        <v>2</v>
      </c>
      <c r="C76" s="92" t="s">
        <v>98</v>
      </c>
      <c r="AF76" s="277"/>
      <c r="AG76" s="353"/>
      <c r="AH76" s="275"/>
      <c r="AI76" s="275"/>
      <c r="AJ76" s="353"/>
      <c r="AK76" s="275"/>
    </row>
    <row r="77" spans="1:105" x14ac:dyDescent="0.2">
      <c r="A77" s="262" t="s">
        <v>103</v>
      </c>
      <c r="B77" s="283">
        <v>0.4</v>
      </c>
      <c r="AF77" s="277"/>
      <c r="AG77" s="353"/>
      <c r="AH77" s="275"/>
      <c r="AI77" s="275"/>
      <c r="AJ77" s="353"/>
      <c r="AK77" s="275"/>
    </row>
    <row r="78" spans="1:105" x14ac:dyDescent="0.2">
      <c r="A78" s="249" t="s">
        <v>353</v>
      </c>
      <c r="B78" s="284">
        <v>1</v>
      </c>
      <c r="C78" s="247"/>
      <c r="AF78" s="277"/>
      <c r="AG78" s="353"/>
    </row>
    <row r="79" spans="1:105" x14ac:dyDescent="0.2">
      <c r="A79" s="249" t="s">
        <v>158</v>
      </c>
      <c r="B79" s="284">
        <v>0.4</v>
      </c>
      <c r="C79" s="247"/>
      <c r="AF79" s="277"/>
      <c r="AG79" s="353"/>
      <c r="AH79" s="275"/>
      <c r="AI79" s="275"/>
      <c r="AJ79" s="353"/>
      <c r="AK79" s="275"/>
    </row>
    <row r="80" spans="1:105" x14ac:dyDescent="0.2">
      <c r="A80" s="249" t="s">
        <v>159</v>
      </c>
      <c r="B80" s="282">
        <f>B3</f>
        <v>6.8000000000000005E-2</v>
      </c>
      <c r="C80" s="247"/>
      <c r="AF80" s="277"/>
      <c r="AG80" s="353"/>
      <c r="AH80" s="275"/>
      <c r="AI80" s="275"/>
      <c r="AJ80" s="353"/>
      <c r="AK80" s="275"/>
    </row>
    <row r="81" spans="1:37" x14ac:dyDescent="0.2">
      <c r="A81" s="249" t="s">
        <v>62</v>
      </c>
      <c r="B81" s="282">
        <f>B4</f>
        <v>0.75600000000000001</v>
      </c>
      <c r="C81" s="247"/>
      <c r="AF81" s="277"/>
      <c r="AG81" s="353"/>
      <c r="AH81" s="275"/>
      <c r="AI81" s="275"/>
      <c r="AJ81" s="353"/>
      <c r="AK81" s="275"/>
    </row>
    <row r="82" spans="1:37" x14ac:dyDescent="0.2">
      <c r="A82" s="262" t="s">
        <v>124</v>
      </c>
      <c r="B82" s="284">
        <v>1</v>
      </c>
      <c r="C82" s="263" t="s">
        <v>125</v>
      </c>
      <c r="AF82" s="277"/>
      <c r="AG82" s="353"/>
      <c r="AH82" s="275"/>
      <c r="AI82" s="275"/>
      <c r="AJ82" s="353"/>
      <c r="AK82" s="275"/>
    </row>
    <row r="83" spans="1:37" x14ac:dyDescent="0.2">
      <c r="A83" s="249" t="s">
        <v>83</v>
      </c>
      <c r="B83" s="284">
        <v>0.5</v>
      </c>
      <c r="C83" s="249" t="s">
        <v>84</v>
      </c>
      <c r="AF83" s="277"/>
      <c r="AG83" s="353"/>
    </row>
    <row r="84" spans="1:37" x14ac:dyDescent="0.2">
      <c r="A84" s="249" t="s">
        <v>355</v>
      </c>
      <c r="B84" s="284">
        <v>0.25</v>
      </c>
      <c r="C84" s="247"/>
      <c r="AF84" s="277"/>
      <c r="AG84" s="353"/>
      <c r="AH84" s="275"/>
      <c r="AI84" s="275"/>
      <c r="AJ84" s="353"/>
      <c r="AK84" s="275"/>
    </row>
    <row r="85" spans="1:37" x14ac:dyDescent="0.2">
      <c r="A85" s="262" t="s">
        <v>41</v>
      </c>
      <c r="B85" s="284">
        <v>3.62</v>
      </c>
      <c r="C85" s="249" t="s">
        <v>42</v>
      </c>
      <c r="AF85" s="277"/>
      <c r="AG85" s="353"/>
    </row>
    <row r="86" spans="1:37" x14ac:dyDescent="0.2">
      <c r="A86" s="262" t="s">
        <v>46</v>
      </c>
      <c r="B86" s="284">
        <v>0.25</v>
      </c>
      <c r="C86" s="249" t="s">
        <v>47</v>
      </c>
      <c r="AH86" s="276"/>
      <c r="AI86" s="276"/>
      <c r="AJ86" s="277"/>
      <c r="AK86" s="276"/>
    </row>
    <row r="87" spans="1:37" x14ac:dyDescent="0.2">
      <c r="A87" s="267" t="s">
        <v>60</v>
      </c>
      <c r="B87" s="284">
        <v>10950</v>
      </c>
      <c r="C87" s="249" t="s">
        <v>61</v>
      </c>
    </row>
    <row r="88" spans="1:37" x14ac:dyDescent="0.2">
      <c r="A88" s="267" t="s">
        <v>65</v>
      </c>
      <c r="B88" s="284">
        <v>240</v>
      </c>
      <c r="C88" s="249" t="s">
        <v>66</v>
      </c>
    </row>
    <row r="89" spans="1:37" x14ac:dyDescent="0.2">
      <c r="A89" s="267" t="s">
        <v>76</v>
      </c>
      <c r="B89" s="284">
        <v>0.42</v>
      </c>
      <c r="C89" s="249" t="s">
        <v>47</v>
      </c>
    </row>
    <row r="90" spans="1:37" x14ac:dyDescent="0.2">
      <c r="A90" s="267" t="s">
        <v>85</v>
      </c>
      <c r="B90" s="284">
        <v>60</v>
      </c>
      <c r="C90" s="262" t="s">
        <v>61</v>
      </c>
    </row>
    <row r="91" spans="1:37" x14ac:dyDescent="0.2">
      <c r="A91" s="267" t="s">
        <v>87</v>
      </c>
      <c r="B91" s="284">
        <v>2</v>
      </c>
      <c r="C91" s="262" t="s">
        <v>66</v>
      </c>
    </row>
    <row r="92" spans="1:37" x14ac:dyDescent="0.2">
      <c r="A92" s="267" t="s">
        <v>89</v>
      </c>
      <c r="B92" s="284">
        <v>2.6999999999999999E-5</v>
      </c>
      <c r="C92" s="249" t="s">
        <v>82</v>
      </c>
    </row>
    <row r="93" spans="1:37" x14ac:dyDescent="0.2">
      <c r="A93" s="267" t="s">
        <v>91</v>
      </c>
      <c r="B93" s="284">
        <v>1</v>
      </c>
      <c r="C93" s="249" t="s">
        <v>47</v>
      </c>
    </row>
    <row r="94" spans="1:37" x14ac:dyDescent="0.2">
      <c r="A94" s="267" t="s">
        <v>92</v>
      </c>
      <c r="B94" s="284">
        <v>14</v>
      </c>
      <c r="C94" s="249" t="s">
        <v>93</v>
      </c>
    </row>
    <row r="95" spans="1:37" x14ac:dyDescent="0.2">
      <c r="A95" s="262" t="s">
        <v>356</v>
      </c>
      <c r="B95" s="283">
        <v>1</v>
      </c>
    </row>
    <row r="96" spans="1:37" x14ac:dyDescent="0.2">
      <c r="A96" s="262" t="s">
        <v>351</v>
      </c>
      <c r="B96" s="283">
        <v>1.752</v>
      </c>
      <c r="C96" s="264" t="s">
        <v>224</v>
      </c>
    </row>
    <row r="97" spans="1:3" x14ac:dyDescent="0.2">
      <c r="A97" s="262" t="s">
        <v>352</v>
      </c>
      <c r="B97" s="283">
        <v>16.416</v>
      </c>
      <c r="C97" s="264" t="s">
        <v>224</v>
      </c>
    </row>
    <row r="98" spans="1:3" ht="15" x14ac:dyDescent="0.2">
      <c r="A98" s="517" t="s">
        <v>5</v>
      </c>
      <c r="B98" s="517"/>
      <c r="C98" s="517"/>
    </row>
    <row r="99" spans="1:3" x14ac:dyDescent="0.2">
      <c r="A99" s="262" t="s">
        <v>358</v>
      </c>
      <c r="B99" s="284">
        <v>55</v>
      </c>
      <c r="C99" s="267" t="s">
        <v>359</v>
      </c>
    </row>
    <row r="100" spans="1:3" x14ac:dyDescent="0.2">
      <c r="A100" s="262" t="s">
        <v>360</v>
      </c>
      <c r="B100" s="284">
        <v>55</v>
      </c>
      <c r="C100" s="267" t="s">
        <v>359</v>
      </c>
    </row>
    <row r="101" spans="1:3" x14ac:dyDescent="0.2">
      <c r="A101" s="262" t="s">
        <v>305</v>
      </c>
      <c r="B101" s="283">
        <v>5</v>
      </c>
      <c r="C101" s="262" t="s">
        <v>361</v>
      </c>
    </row>
    <row r="102" spans="1:3" x14ac:dyDescent="0.2">
      <c r="A102" s="262" t="s">
        <v>306</v>
      </c>
      <c r="B102" s="283">
        <v>5</v>
      </c>
      <c r="C102" s="262" t="s">
        <v>361</v>
      </c>
    </row>
    <row r="103" spans="1:3" x14ac:dyDescent="0.2">
      <c r="A103" s="262" t="s">
        <v>362</v>
      </c>
      <c r="B103" s="284">
        <v>55</v>
      </c>
      <c r="C103" s="263" t="s">
        <v>54</v>
      </c>
    </row>
    <row r="104" spans="1:3" x14ac:dyDescent="0.2">
      <c r="A104" s="262" t="s">
        <v>363</v>
      </c>
      <c r="B104" s="284">
        <v>55</v>
      </c>
      <c r="C104" s="263" t="s">
        <v>54</v>
      </c>
    </row>
    <row r="105" spans="1:3" x14ac:dyDescent="0.2">
      <c r="A105" s="249" t="s">
        <v>187</v>
      </c>
      <c r="B105" s="284">
        <v>1</v>
      </c>
      <c r="C105" s="249" t="s">
        <v>254</v>
      </c>
    </row>
    <row r="106" spans="1:3" x14ac:dyDescent="0.2">
      <c r="A106" s="249" t="s">
        <v>188</v>
      </c>
      <c r="B106" s="284">
        <v>1</v>
      </c>
      <c r="C106" s="249" t="s">
        <v>254</v>
      </c>
    </row>
    <row r="107" spans="1:3" x14ac:dyDescent="0.2">
      <c r="A107" s="94" t="s">
        <v>373</v>
      </c>
      <c r="B107" s="283">
        <v>6</v>
      </c>
      <c r="C107" s="270" t="s">
        <v>69</v>
      </c>
    </row>
    <row r="108" spans="1:3" x14ac:dyDescent="0.2">
      <c r="A108" s="94" t="s">
        <v>372</v>
      </c>
      <c r="B108" s="283">
        <f>B109-B107</f>
        <v>20</v>
      </c>
      <c r="C108" s="270" t="s">
        <v>69</v>
      </c>
    </row>
    <row r="109" spans="1:3" x14ac:dyDescent="0.2">
      <c r="A109" s="94" t="s">
        <v>59</v>
      </c>
      <c r="B109" s="283">
        <v>26</v>
      </c>
      <c r="C109" s="270" t="s">
        <v>69</v>
      </c>
    </row>
    <row r="110" spans="1:3" x14ac:dyDescent="0.2">
      <c r="A110" s="94" t="s">
        <v>371</v>
      </c>
      <c r="B110" s="107">
        <v>75</v>
      </c>
      <c r="C110" s="94" t="s">
        <v>26</v>
      </c>
    </row>
    <row r="111" spans="1:3" x14ac:dyDescent="0.2">
      <c r="A111" s="94" t="s">
        <v>370</v>
      </c>
      <c r="B111" s="283">
        <v>75</v>
      </c>
      <c r="C111" s="94" t="s">
        <v>26</v>
      </c>
    </row>
    <row r="112" spans="1:3" x14ac:dyDescent="0.2">
      <c r="A112" s="94" t="s">
        <v>157</v>
      </c>
      <c r="B112" s="283">
        <v>75</v>
      </c>
      <c r="C112" s="94" t="s">
        <v>26</v>
      </c>
    </row>
    <row r="113" spans="1:3" x14ac:dyDescent="0.2">
      <c r="A113" s="94" t="s">
        <v>105</v>
      </c>
      <c r="B113" s="283">
        <v>1</v>
      </c>
      <c r="C113" s="92" t="s">
        <v>224</v>
      </c>
    </row>
    <row r="114" spans="1:3" x14ac:dyDescent="0.2">
      <c r="A114" s="92" t="s">
        <v>368</v>
      </c>
      <c r="B114" s="284">
        <v>1</v>
      </c>
      <c r="C114" s="92" t="s">
        <v>224</v>
      </c>
    </row>
    <row r="115" spans="1:3" x14ac:dyDescent="0.2">
      <c r="A115" s="92" t="s">
        <v>369</v>
      </c>
      <c r="B115" s="284">
        <v>1</v>
      </c>
      <c r="C115" s="92" t="s">
        <v>224</v>
      </c>
    </row>
    <row r="116" spans="1:3" x14ac:dyDescent="0.2">
      <c r="A116" s="249" t="s">
        <v>366</v>
      </c>
      <c r="B116" s="284">
        <v>1</v>
      </c>
      <c r="C116" s="249" t="s">
        <v>104</v>
      </c>
    </row>
    <row r="117" spans="1:3" x14ac:dyDescent="0.2">
      <c r="A117" s="249" t="s">
        <v>367</v>
      </c>
      <c r="B117" s="284">
        <v>1</v>
      </c>
      <c r="C117" s="249" t="s">
        <v>104</v>
      </c>
    </row>
    <row r="118" spans="1:3" x14ac:dyDescent="0.2">
      <c r="A118" s="94" t="s">
        <v>364</v>
      </c>
      <c r="B118" s="284">
        <v>1</v>
      </c>
      <c r="C118" s="92" t="s">
        <v>98</v>
      </c>
    </row>
    <row r="119" spans="1:3" x14ac:dyDescent="0.2">
      <c r="A119" s="94" t="s">
        <v>365</v>
      </c>
      <c r="B119" s="284">
        <v>1</v>
      </c>
      <c r="C119" s="92" t="s">
        <v>98</v>
      </c>
    </row>
    <row r="120" spans="1:3" x14ac:dyDescent="0.2">
      <c r="A120" s="263" t="s">
        <v>192</v>
      </c>
      <c r="B120" s="283">
        <v>1</v>
      </c>
      <c r="C120" s="249" t="s">
        <v>283</v>
      </c>
    </row>
    <row r="121" spans="1:3" x14ac:dyDescent="0.2">
      <c r="A121" s="263" t="s">
        <v>189</v>
      </c>
      <c r="B121" s="283">
        <v>1</v>
      </c>
      <c r="C121" s="249" t="s">
        <v>283</v>
      </c>
    </row>
    <row r="122" spans="1:3" x14ac:dyDescent="0.2">
      <c r="A122" s="263" t="s">
        <v>190</v>
      </c>
      <c r="B122" s="283">
        <v>1</v>
      </c>
      <c r="C122" s="249" t="s">
        <v>47</v>
      </c>
    </row>
    <row r="123" spans="1:3" x14ac:dyDescent="0.2">
      <c r="A123" s="263" t="s">
        <v>191</v>
      </c>
      <c r="B123" s="283">
        <v>1</v>
      </c>
      <c r="C123" s="249" t="s">
        <v>47</v>
      </c>
    </row>
    <row r="124" spans="1:3" x14ac:dyDescent="0.2">
      <c r="A124" s="263" t="s">
        <v>199</v>
      </c>
      <c r="B124" s="283">
        <v>1</v>
      </c>
      <c r="C124" s="249" t="s">
        <v>30</v>
      </c>
    </row>
    <row r="125" spans="1:3" x14ac:dyDescent="0.2">
      <c r="A125" s="249" t="s">
        <v>193</v>
      </c>
      <c r="B125" s="283">
        <v>1</v>
      </c>
      <c r="C125" s="249" t="s">
        <v>283</v>
      </c>
    </row>
    <row r="126" spans="1:3" x14ac:dyDescent="0.2">
      <c r="A126" s="249" t="s">
        <v>196</v>
      </c>
      <c r="B126" s="283">
        <v>1</v>
      </c>
      <c r="C126" s="249" t="s">
        <v>283</v>
      </c>
    </row>
    <row r="127" spans="1:3" x14ac:dyDescent="0.2">
      <c r="A127" s="268" t="s">
        <v>197</v>
      </c>
      <c r="B127" s="283">
        <v>1</v>
      </c>
      <c r="C127" s="249" t="s">
        <v>47</v>
      </c>
    </row>
    <row r="128" spans="1:3" x14ac:dyDescent="0.2">
      <c r="A128" s="262" t="s">
        <v>198</v>
      </c>
      <c r="B128" s="283">
        <v>1</v>
      </c>
      <c r="C128" s="249" t="s">
        <v>47</v>
      </c>
    </row>
    <row r="129" spans="1:3" x14ac:dyDescent="0.2">
      <c r="A129" s="263" t="s">
        <v>200</v>
      </c>
      <c r="B129" s="283">
        <v>1</v>
      </c>
      <c r="C129" s="249" t="s">
        <v>30</v>
      </c>
    </row>
    <row r="130" spans="1:3" x14ac:dyDescent="0.2">
      <c r="A130" s="262" t="s">
        <v>255</v>
      </c>
      <c r="B130" s="284">
        <v>1</v>
      </c>
    </row>
    <row r="131" spans="1:3" x14ac:dyDescent="0.2">
      <c r="A131" s="249" t="s">
        <v>83</v>
      </c>
      <c r="B131" s="284">
        <v>0.5</v>
      </c>
    </row>
    <row r="132" spans="1:3" ht="15" x14ac:dyDescent="0.2">
      <c r="A132" s="518" t="s">
        <v>180</v>
      </c>
      <c r="B132" s="518"/>
      <c r="C132" s="518"/>
    </row>
    <row r="133" spans="1:3" x14ac:dyDescent="0.2">
      <c r="A133" s="262" t="s">
        <v>374</v>
      </c>
      <c r="B133" s="283">
        <v>55</v>
      </c>
      <c r="C133" s="263" t="s">
        <v>54</v>
      </c>
    </row>
    <row r="134" spans="1:3" x14ac:dyDescent="0.2">
      <c r="A134" s="262" t="s">
        <v>375</v>
      </c>
      <c r="B134" s="283">
        <v>55</v>
      </c>
      <c r="C134" s="263" t="s">
        <v>54</v>
      </c>
    </row>
    <row r="135" spans="1:3" x14ac:dyDescent="0.2">
      <c r="A135" s="262" t="s">
        <v>376</v>
      </c>
      <c r="B135" s="283">
        <v>55</v>
      </c>
      <c r="C135" s="267" t="s">
        <v>359</v>
      </c>
    </row>
    <row r="136" spans="1:3" x14ac:dyDescent="0.2">
      <c r="A136" s="262" t="s">
        <v>377</v>
      </c>
      <c r="B136" s="283">
        <v>55</v>
      </c>
      <c r="C136" s="267" t="s">
        <v>359</v>
      </c>
    </row>
    <row r="137" spans="1:3" x14ac:dyDescent="0.2">
      <c r="A137" s="267" t="s">
        <v>378</v>
      </c>
      <c r="B137" s="284">
        <v>5</v>
      </c>
      <c r="C137" s="262" t="s">
        <v>30</v>
      </c>
    </row>
    <row r="138" spans="1:3" x14ac:dyDescent="0.2">
      <c r="A138" s="267" t="s">
        <v>379</v>
      </c>
      <c r="B138" s="284">
        <v>5</v>
      </c>
      <c r="C138" s="262" t="s">
        <v>30</v>
      </c>
    </row>
    <row r="139" spans="1:3" x14ac:dyDescent="0.2">
      <c r="A139" s="262" t="s">
        <v>380</v>
      </c>
      <c r="B139" s="283">
        <v>55</v>
      </c>
      <c r="C139" s="267" t="s">
        <v>254</v>
      </c>
    </row>
    <row r="140" spans="1:3" x14ac:dyDescent="0.2">
      <c r="A140" s="262" t="s">
        <v>381</v>
      </c>
      <c r="B140" s="283">
        <v>55</v>
      </c>
      <c r="C140" s="267" t="s">
        <v>254</v>
      </c>
    </row>
    <row r="141" spans="1:3" x14ac:dyDescent="0.2">
      <c r="A141" s="262" t="s">
        <v>382</v>
      </c>
      <c r="B141" s="283">
        <v>55</v>
      </c>
      <c r="C141" s="267" t="s">
        <v>254</v>
      </c>
    </row>
    <row r="142" spans="1:3" x14ac:dyDescent="0.2">
      <c r="A142" s="262" t="s">
        <v>383</v>
      </c>
      <c r="B142" s="283">
        <v>55</v>
      </c>
      <c r="C142" s="267" t="s">
        <v>254</v>
      </c>
    </row>
    <row r="143" spans="1:3" x14ac:dyDescent="0.2">
      <c r="A143" s="262" t="s">
        <v>479</v>
      </c>
      <c r="B143" s="283">
        <v>55</v>
      </c>
      <c r="C143" s="267" t="s">
        <v>254</v>
      </c>
    </row>
    <row r="144" spans="1:3" x14ac:dyDescent="0.2">
      <c r="A144" s="262" t="s">
        <v>480</v>
      </c>
      <c r="B144" s="283">
        <v>55</v>
      </c>
      <c r="C144" s="267" t="s">
        <v>254</v>
      </c>
    </row>
    <row r="145" spans="1:3" x14ac:dyDescent="0.2">
      <c r="A145" s="262" t="s">
        <v>481</v>
      </c>
      <c r="B145" s="283">
        <v>55</v>
      </c>
      <c r="C145" s="267" t="s">
        <v>254</v>
      </c>
    </row>
    <row r="146" spans="1:3" x14ac:dyDescent="0.2">
      <c r="A146" s="262" t="s">
        <v>482</v>
      </c>
      <c r="B146" s="283">
        <v>55</v>
      </c>
      <c r="C146" s="267" t="s">
        <v>254</v>
      </c>
    </row>
    <row r="147" spans="1:3" x14ac:dyDescent="0.2">
      <c r="A147" s="262" t="s">
        <v>326</v>
      </c>
      <c r="B147" s="283">
        <v>55</v>
      </c>
      <c r="C147" s="262" t="s">
        <v>254</v>
      </c>
    </row>
    <row r="148" spans="1:3" x14ac:dyDescent="0.2">
      <c r="A148" s="262" t="s">
        <v>327</v>
      </c>
      <c r="B148" s="283">
        <v>55</v>
      </c>
      <c r="C148" s="262" t="s">
        <v>254</v>
      </c>
    </row>
    <row r="149" spans="1:3" x14ac:dyDescent="0.2">
      <c r="A149" s="262" t="s">
        <v>483</v>
      </c>
      <c r="B149" s="283">
        <v>55</v>
      </c>
      <c r="C149" s="267" t="s">
        <v>254</v>
      </c>
    </row>
    <row r="150" spans="1:3" x14ac:dyDescent="0.2">
      <c r="A150" s="262" t="s">
        <v>484</v>
      </c>
      <c r="B150" s="283">
        <v>55</v>
      </c>
      <c r="C150" s="267" t="s">
        <v>254</v>
      </c>
    </row>
    <row r="151" spans="1:3" x14ac:dyDescent="0.2">
      <c r="A151" s="262" t="s">
        <v>324</v>
      </c>
      <c r="B151" s="283">
        <v>55</v>
      </c>
      <c r="C151" s="262" t="s">
        <v>254</v>
      </c>
    </row>
    <row r="152" spans="1:3" x14ac:dyDescent="0.2">
      <c r="A152" s="262" t="s">
        <v>325</v>
      </c>
      <c r="B152" s="283">
        <v>55</v>
      </c>
      <c r="C152" s="262" t="s">
        <v>254</v>
      </c>
    </row>
    <row r="153" spans="1:3" x14ac:dyDescent="0.2">
      <c r="A153" s="262" t="s">
        <v>328</v>
      </c>
      <c r="B153" s="283">
        <v>55</v>
      </c>
      <c r="C153" s="262" t="s">
        <v>254</v>
      </c>
    </row>
    <row r="154" spans="1:3" x14ac:dyDescent="0.2">
      <c r="A154" s="262" t="s">
        <v>329</v>
      </c>
      <c r="B154" s="283">
        <v>55</v>
      </c>
      <c r="C154" s="262" t="s">
        <v>254</v>
      </c>
    </row>
    <row r="155" spans="1:3" x14ac:dyDescent="0.2">
      <c r="A155" s="262" t="s">
        <v>384</v>
      </c>
      <c r="B155" s="284">
        <v>10</v>
      </c>
      <c r="C155" s="93" t="s">
        <v>69</v>
      </c>
    </row>
    <row r="156" spans="1:3" x14ac:dyDescent="0.2">
      <c r="A156" s="262" t="s">
        <v>385</v>
      </c>
      <c r="B156" s="284">
        <v>20</v>
      </c>
      <c r="C156" s="93" t="s">
        <v>69</v>
      </c>
    </row>
    <row r="157" spans="1:3" x14ac:dyDescent="0.2">
      <c r="A157" s="262" t="s">
        <v>386</v>
      </c>
      <c r="B157" s="284">
        <v>30</v>
      </c>
      <c r="C157" s="93" t="s">
        <v>69</v>
      </c>
    </row>
    <row r="158" spans="1:3" x14ac:dyDescent="0.2">
      <c r="A158" s="262" t="s">
        <v>387</v>
      </c>
      <c r="B158" s="284">
        <v>55</v>
      </c>
      <c r="C158" s="262" t="s">
        <v>26</v>
      </c>
    </row>
    <row r="159" spans="1:3" x14ac:dyDescent="0.2">
      <c r="A159" s="262" t="s">
        <v>388</v>
      </c>
      <c r="B159" s="284">
        <v>55</v>
      </c>
      <c r="C159" s="262" t="s">
        <v>26</v>
      </c>
    </row>
    <row r="160" spans="1:3" x14ac:dyDescent="0.2">
      <c r="A160" s="262" t="s">
        <v>389</v>
      </c>
      <c r="B160" s="283">
        <v>15</v>
      </c>
      <c r="C160" s="263" t="s">
        <v>224</v>
      </c>
    </row>
    <row r="161" spans="1:3" x14ac:dyDescent="0.2">
      <c r="A161" s="262" t="s">
        <v>390</v>
      </c>
      <c r="B161" s="283">
        <v>15</v>
      </c>
      <c r="C161" s="263" t="s">
        <v>224</v>
      </c>
    </row>
    <row r="162" spans="1:3" x14ac:dyDescent="0.2">
      <c r="A162" s="262" t="s">
        <v>396</v>
      </c>
      <c r="B162" s="283">
        <v>15</v>
      </c>
      <c r="C162" s="263" t="s">
        <v>224</v>
      </c>
    </row>
    <row r="163" spans="1:3" x14ac:dyDescent="0.2">
      <c r="A163" s="249" t="s">
        <v>393</v>
      </c>
      <c r="B163" s="283">
        <v>2</v>
      </c>
      <c r="C163" s="267" t="s">
        <v>395</v>
      </c>
    </row>
    <row r="164" spans="1:3" x14ac:dyDescent="0.2">
      <c r="A164" s="249" t="s">
        <v>394</v>
      </c>
      <c r="B164" s="283">
        <v>2</v>
      </c>
      <c r="C164" s="267" t="s">
        <v>395</v>
      </c>
    </row>
    <row r="165" spans="1:3" x14ac:dyDescent="0.2">
      <c r="A165" s="262" t="s">
        <v>391</v>
      </c>
      <c r="B165" s="283">
        <v>12.167999999999999</v>
      </c>
      <c r="C165" s="263" t="s">
        <v>224</v>
      </c>
    </row>
    <row r="166" spans="1:3" x14ac:dyDescent="0.2">
      <c r="A166" s="262" t="s">
        <v>392</v>
      </c>
      <c r="B166" s="283">
        <v>10.007999999999999</v>
      </c>
      <c r="C166" s="263" t="s">
        <v>224</v>
      </c>
    </row>
    <row r="167" spans="1:3" x14ac:dyDescent="0.2">
      <c r="A167" s="262" t="s">
        <v>397</v>
      </c>
      <c r="B167" s="283">
        <v>2</v>
      </c>
      <c r="C167" s="267" t="s">
        <v>166</v>
      </c>
    </row>
    <row r="168" spans="1:3" x14ac:dyDescent="0.2">
      <c r="A168" s="262" t="s">
        <v>398</v>
      </c>
      <c r="B168" s="283">
        <v>2</v>
      </c>
      <c r="C168" s="267" t="s">
        <v>166</v>
      </c>
    </row>
    <row r="169" spans="1:3" x14ac:dyDescent="0.2">
      <c r="A169" s="262" t="s">
        <v>103</v>
      </c>
      <c r="B169" s="283">
        <v>0.4</v>
      </c>
      <c r="C169" s="247"/>
    </row>
    <row r="170" spans="1:3" x14ac:dyDescent="0.2">
      <c r="A170" s="262" t="s">
        <v>158</v>
      </c>
      <c r="B170" s="283">
        <v>0.4</v>
      </c>
      <c r="C170" s="247"/>
    </row>
    <row r="171" spans="1:3" x14ac:dyDescent="0.2">
      <c r="A171" s="262" t="s">
        <v>159</v>
      </c>
      <c r="B171" s="282">
        <f>B3</f>
        <v>6.8000000000000005E-2</v>
      </c>
      <c r="C171" s="247"/>
    </row>
    <row r="172" spans="1:3" x14ac:dyDescent="0.2">
      <c r="A172" s="262" t="s">
        <v>62</v>
      </c>
      <c r="B172" s="282">
        <f>B4</f>
        <v>0.75600000000000001</v>
      </c>
      <c r="C172" s="247"/>
    </row>
    <row r="173" spans="1:3" x14ac:dyDescent="0.2">
      <c r="A173" s="262" t="s">
        <v>255</v>
      </c>
      <c r="B173" s="284">
        <v>2</v>
      </c>
      <c r="C173" s="247"/>
    </row>
    <row r="174" spans="1:3" x14ac:dyDescent="0.2">
      <c r="A174" s="267" t="s">
        <v>399</v>
      </c>
      <c r="B174" s="283">
        <v>2</v>
      </c>
      <c r="C174" s="247"/>
    </row>
    <row r="175" spans="1:3" x14ac:dyDescent="0.2">
      <c r="A175" s="267" t="s">
        <v>400</v>
      </c>
      <c r="B175" s="283">
        <v>2</v>
      </c>
      <c r="C175" s="247"/>
    </row>
    <row r="176" spans="1:3" x14ac:dyDescent="0.2">
      <c r="A176" s="267" t="s">
        <v>401</v>
      </c>
      <c r="B176" s="283">
        <v>2</v>
      </c>
      <c r="C176" s="247"/>
    </row>
    <row r="177" spans="1:3" x14ac:dyDescent="0.2">
      <c r="A177" s="267" t="s">
        <v>402</v>
      </c>
      <c r="B177" s="283">
        <v>2</v>
      </c>
      <c r="C177" s="247"/>
    </row>
    <row r="178" spans="1:3" x14ac:dyDescent="0.2">
      <c r="A178" s="267" t="s">
        <v>403</v>
      </c>
      <c r="B178" s="283">
        <v>2</v>
      </c>
      <c r="C178" s="247"/>
    </row>
    <row r="179" spans="1:3" x14ac:dyDescent="0.2">
      <c r="A179" s="267" t="s">
        <v>404</v>
      </c>
      <c r="B179" s="283">
        <v>2</v>
      </c>
      <c r="C179" s="247"/>
    </row>
    <row r="180" spans="1:3" x14ac:dyDescent="0.2">
      <c r="A180" s="267" t="s">
        <v>405</v>
      </c>
      <c r="B180" s="284">
        <v>2</v>
      </c>
      <c r="C180" s="247"/>
    </row>
    <row r="181" spans="1:3" x14ac:dyDescent="0.2">
      <c r="A181" s="262" t="s">
        <v>41</v>
      </c>
      <c r="B181" s="284">
        <v>3.62</v>
      </c>
      <c r="C181" s="249" t="s">
        <v>42</v>
      </c>
    </row>
    <row r="182" spans="1:3" x14ac:dyDescent="0.2">
      <c r="A182" s="262" t="s">
        <v>46</v>
      </c>
      <c r="B182" s="284">
        <v>0.25</v>
      </c>
      <c r="C182" s="249" t="s">
        <v>47</v>
      </c>
    </row>
    <row r="183" spans="1:3" x14ac:dyDescent="0.2">
      <c r="A183" s="267" t="s">
        <v>60</v>
      </c>
      <c r="B183" s="284">
        <v>10950</v>
      </c>
      <c r="C183" s="249" t="s">
        <v>61</v>
      </c>
    </row>
    <row r="184" spans="1:3" x14ac:dyDescent="0.2">
      <c r="A184" s="267" t="s">
        <v>65</v>
      </c>
      <c r="B184" s="284">
        <v>240</v>
      </c>
      <c r="C184" s="249" t="s">
        <v>66</v>
      </c>
    </row>
    <row r="185" spans="1:3" x14ac:dyDescent="0.2">
      <c r="A185" s="267" t="s">
        <v>76</v>
      </c>
      <c r="B185" s="284">
        <v>0.42</v>
      </c>
      <c r="C185" s="249" t="s">
        <v>47</v>
      </c>
    </row>
    <row r="186" spans="1:3" x14ac:dyDescent="0.2">
      <c r="A186" s="267" t="s">
        <v>85</v>
      </c>
      <c r="B186" s="284">
        <v>60</v>
      </c>
      <c r="C186" s="262" t="s">
        <v>61</v>
      </c>
    </row>
    <row r="187" spans="1:3" x14ac:dyDescent="0.2">
      <c r="A187" s="267" t="s">
        <v>87</v>
      </c>
      <c r="B187" s="284">
        <v>2</v>
      </c>
      <c r="C187" s="262" t="s">
        <v>66</v>
      </c>
    </row>
    <row r="188" spans="1:3" x14ac:dyDescent="0.2">
      <c r="A188" s="267" t="s">
        <v>89</v>
      </c>
      <c r="B188" s="284">
        <v>2.6999999999999999E-5</v>
      </c>
      <c r="C188" s="249" t="s">
        <v>82</v>
      </c>
    </row>
    <row r="189" spans="1:3" x14ac:dyDescent="0.2">
      <c r="A189" s="267" t="s">
        <v>91</v>
      </c>
      <c r="B189" s="284">
        <v>1</v>
      </c>
      <c r="C189" s="249" t="s">
        <v>47</v>
      </c>
    </row>
    <row r="190" spans="1:3" x14ac:dyDescent="0.2">
      <c r="A190" s="267" t="s">
        <v>92</v>
      </c>
      <c r="B190" s="284">
        <v>14</v>
      </c>
      <c r="C190" s="249" t="s">
        <v>93</v>
      </c>
    </row>
    <row r="191" spans="1:3" x14ac:dyDescent="0.2">
      <c r="A191" s="262" t="s">
        <v>29</v>
      </c>
      <c r="B191" s="284">
        <v>92</v>
      </c>
      <c r="C191" s="262" t="s">
        <v>30</v>
      </c>
    </row>
    <row r="192" spans="1:3" x14ac:dyDescent="0.2">
      <c r="A192" s="249" t="s">
        <v>287</v>
      </c>
      <c r="B192" s="283">
        <v>1.03</v>
      </c>
      <c r="C192" s="249" t="s">
        <v>288</v>
      </c>
    </row>
    <row r="193" spans="1:3" x14ac:dyDescent="0.2">
      <c r="A193" s="262" t="s">
        <v>406</v>
      </c>
      <c r="B193" s="284">
        <v>20.3</v>
      </c>
      <c r="C193" s="249" t="s">
        <v>283</v>
      </c>
    </row>
    <row r="194" spans="1:3" x14ac:dyDescent="0.2">
      <c r="A194" s="262" t="s">
        <v>407</v>
      </c>
      <c r="B194" s="284">
        <v>0.4</v>
      </c>
      <c r="C194" s="249" t="s">
        <v>283</v>
      </c>
    </row>
    <row r="195" spans="1:3" x14ac:dyDescent="0.2">
      <c r="A195" s="262" t="s">
        <v>408</v>
      </c>
      <c r="B195" s="284">
        <v>1</v>
      </c>
      <c r="C195" s="247"/>
    </row>
    <row r="196" spans="1:3" x14ac:dyDescent="0.2">
      <c r="A196" s="262" t="s">
        <v>409</v>
      </c>
      <c r="B196" s="284">
        <v>1</v>
      </c>
      <c r="C196" s="247"/>
    </row>
    <row r="197" spans="1:3" x14ac:dyDescent="0.2">
      <c r="A197" s="262" t="s">
        <v>31</v>
      </c>
      <c r="B197" s="284">
        <v>53</v>
      </c>
      <c r="C197" s="262" t="s">
        <v>30</v>
      </c>
    </row>
    <row r="198" spans="1:3" x14ac:dyDescent="0.2">
      <c r="A198" s="262" t="s">
        <v>410</v>
      </c>
      <c r="B198" s="284">
        <v>11.77</v>
      </c>
      <c r="C198" s="249" t="s">
        <v>283</v>
      </c>
    </row>
    <row r="199" spans="1:3" x14ac:dyDescent="0.2">
      <c r="A199" s="262" t="s">
        <v>411</v>
      </c>
      <c r="B199" s="284">
        <v>0.5</v>
      </c>
      <c r="C199" s="249" t="s">
        <v>283</v>
      </c>
    </row>
    <row r="200" spans="1:3" x14ac:dyDescent="0.2">
      <c r="A200" s="262" t="s">
        <v>412</v>
      </c>
      <c r="B200" s="284">
        <v>1</v>
      </c>
      <c r="C200" s="247"/>
    </row>
    <row r="201" spans="1:3" x14ac:dyDescent="0.2">
      <c r="A201" s="262" t="s">
        <v>413</v>
      </c>
      <c r="B201" s="284">
        <v>1</v>
      </c>
      <c r="C201" s="247"/>
    </row>
    <row r="202" spans="1:3" x14ac:dyDescent="0.2">
      <c r="A202" s="262" t="s">
        <v>173</v>
      </c>
      <c r="B202" s="283">
        <v>0.4</v>
      </c>
      <c r="C202" s="262" t="s">
        <v>30</v>
      </c>
    </row>
    <row r="203" spans="1:3" x14ac:dyDescent="0.2">
      <c r="A203" s="262" t="s">
        <v>177</v>
      </c>
      <c r="B203" s="284">
        <v>0.2</v>
      </c>
      <c r="C203" s="249" t="s">
        <v>283</v>
      </c>
    </row>
    <row r="204" spans="1:3" x14ac:dyDescent="0.2">
      <c r="A204" s="262" t="s">
        <v>176</v>
      </c>
      <c r="B204" s="284">
        <v>2.1999999999999999E-2</v>
      </c>
      <c r="C204" s="249" t="s">
        <v>283</v>
      </c>
    </row>
    <row r="205" spans="1:3" x14ac:dyDescent="0.2">
      <c r="A205" s="262" t="s">
        <v>178</v>
      </c>
      <c r="B205" s="283">
        <v>1</v>
      </c>
      <c r="C205" s="247"/>
    </row>
    <row r="206" spans="1:3" x14ac:dyDescent="0.2">
      <c r="A206" s="262" t="s">
        <v>179</v>
      </c>
      <c r="B206" s="283">
        <v>1</v>
      </c>
      <c r="C206" s="247"/>
    </row>
    <row r="207" spans="1:3" x14ac:dyDescent="0.2">
      <c r="A207" s="262" t="s">
        <v>414</v>
      </c>
      <c r="B207" s="283">
        <v>0.4</v>
      </c>
      <c r="C207" s="262" t="s">
        <v>30</v>
      </c>
    </row>
    <row r="208" spans="1:3" x14ac:dyDescent="0.2">
      <c r="A208" s="262" t="s">
        <v>415</v>
      </c>
      <c r="B208" s="284">
        <v>0.2</v>
      </c>
      <c r="C208" s="249" t="s">
        <v>283</v>
      </c>
    </row>
    <row r="209" spans="1:3" x14ac:dyDescent="0.2">
      <c r="A209" s="262" t="s">
        <v>416</v>
      </c>
      <c r="B209" s="284">
        <v>2.1999999999999999E-2</v>
      </c>
      <c r="C209" s="249" t="s">
        <v>283</v>
      </c>
    </row>
    <row r="210" spans="1:3" x14ac:dyDescent="0.2">
      <c r="A210" s="262" t="s">
        <v>417</v>
      </c>
      <c r="B210" s="284">
        <v>1</v>
      </c>
      <c r="C210" s="247"/>
    </row>
    <row r="211" spans="1:3" x14ac:dyDescent="0.2">
      <c r="A211" s="262" t="s">
        <v>418</v>
      </c>
      <c r="B211" s="284">
        <v>1</v>
      </c>
      <c r="C211" s="247"/>
    </row>
    <row r="212" spans="1:3" x14ac:dyDescent="0.2">
      <c r="A212" s="262" t="s">
        <v>174</v>
      </c>
      <c r="B212" s="284">
        <v>11.4</v>
      </c>
      <c r="C212" s="262" t="s">
        <v>30</v>
      </c>
    </row>
    <row r="213" spans="1:3" x14ac:dyDescent="0.2">
      <c r="A213" s="262" t="s">
        <v>419</v>
      </c>
      <c r="B213" s="284">
        <v>4.7</v>
      </c>
      <c r="C213" s="249" t="s">
        <v>283</v>
      </c>
    </row>
    <row r="214" spans="1:3" x14ac:dyDescent="0.2">
      <c r="A214" s="262" t="s">
        <v>420</v>
      </c>
      <c r="B214" s="284">
        <v>0.37</v>
      </c>
      <c r="C214" s="249" t="s">
        <v>283</v>
      </c>
    </row>
    <row r="215" spans="1:3" x14ac:dyDescent="0.2">
      <c r="A215" s="262" t="s">
        <v>421</v>
      </c>
      <c r="B215" s="284">
        <v>1</v>
      </c>
      <c r="C215" s="247"/>
    </row>
    <row r="216" spans="1:3" x14ac:dyDescent="0.2">
      <c r="A216" s="262" t="s">
        <v>422</v>
      </c>
      <c r="B216" s="284">
        <v>1</v>
      </c>
      <c r="C216" s="247"/>
    </row>
    <row r="217" spans="1:3" x14ac:dyDescent="0.2">
      <c r="A217" s="249" t="s">
        <v>83</v>
      </c>
      <c r="B217" s="284">
        <v>0.5</v>
      </c>
    </row>
    <row r="218" spans="1:3" x14ac:dyDescent="0.2">
      <c r="A218" s="558" t="s">
        <v>423</v>
      </c>
      <c r="B218" s="558"/>
      <c r="C218" s="558"/>
    </row>
    <row r="219" spans="1:3" x14ac:dyDescent="0.2">
      <c r="A219" s="249" t="s">
        <v>424</v>
      </c>
      <c r="B219" s="283">
        <v>55</v>
      </c>
      <c r="C219" s="263" t="s">
        <v>359</v>
      </c>
    </row>
    <row r="220" spans="1:3" x14ac:dyDescent="0.2">
      <c r="A220" s="262" t="s">
        <v>425</v>
      </c>
      <c r="B220" s="283">
        <v>55</v>
      </c>
      <c r="C220" s="249" t="s">
        <v>26</v>
      </c>
    </row>
    <row r="221" spans="1:3" x14ac:dyDescent="0.2">
      <c r="A221" s="262" t="s">
        <v>75</v>
      </c>
      <c r="B221" s="284">
        <v>5</v>
      </c>
      <c r="C221" s="249" t="s">
        <v>69</v>
      </c>
    </row>
    <row r="222" spans="1:3" x14ac:dyDescent="0.2">
      <c r="A222" s="262" t="s">
        <v>426</v>
      </c>
      <c r="B222" s="283">
        <v>55</v>
      </c>
      <c r="C222" s="263" t="s">
        <v>54</v>
      </c>
    </row>
    <row r="223" spans="1:3" x14ac:dyDescent="0.2">
      <c r="A223" s="249" t="s">
        <v>353</v>
      </c>
      <c r="B223" s="284">
        <v>1</v>
      </c>
      <c r="C223" s="247"/>
    </row>
    <row r="224" spans="1:3" x14ac:dyDescent="0.2">
      <c r="A224" s="262" t="s">
        <v>56</v>
      </c>
      <c r="B224" s="284">
        <v>1</v>
      </c>
      <c r="C224" s="247"/>
    </row>
    <row r="225" spans="1:3" x14ac:dyDescent="0.2">
      <c r="A225" s="262" t="s">
        <v>52</v>
      </c>
      <c r="B225" s="284">
        <v>0.4</v>
      </c>
      <c r="C225" s="247"/>
    </row>
    <row r="226" spans="1:3" x14ac:dyDescent="0.2">
      <c r="A226" s="262" t="s">
        <v>62</v>
      </c>
      <c r="B226" s="284">
        <v>1</v>
      </c>
      <c r="C226" s="247"/>
    </row>
    <row r="227" spans="1:3" x14ac:dyDescent="0.2">
      <c r="A227" s="262" t="s">
        <v>467</v>
      </c>
      <c r="B227" s="283">
        <v>2</v>
      </c>
      <c r="C227" s="249" t="s">
        <v>224</v>
      </c>
    </row>
    <row r="228" spans="1:3" x14ac:dyDescent="0.2">
      <c r="A228" s="262" t="s">
        <v>468</v>
      </c>
      <c r="B228" s="283">
        <v>3</v>
      </c>
      <c r="C228" s="249" t="s">
        <v>224</v>
      </c>
    </row>
    <row r="229" spans="1:3" x14ac:dyDescent="0.2">
      <c r="A229" s="262" t="s">
        <v>103</v>
      </c>
      <c r="B229" s="283">
        <v>0.4</v>
      </c>
      <c r="C229" s="247"/>
    </row>
    <row r="230" spans="1:3" x14ac:dyDescent="0.2">
      <c r="A230" s="558" t="s">
        <v>427</v>
      </c>
      <c r="B230" s="558"/>
      <c r="C230" s="558"/>
    </row>
    <row r="231" spans="1:3" x14ac:dyDescent="0.2">
      <c r="A231" s="249" t="s">
        <v>428</v>
      </c>
      <c r="B231" s="283">
        <v>55</v>
      </c>
      <c r="C231" s="263" t="s">
        <v>359</v>
      </c>
    </row>
    <row r="232" spans="1:3" x14ac:dyDescent="0.2">
      <c r="A232" s="262" t="s">
        <v>40</v>
      </c>
      <c r="B232" s="283">
        <v>55</v>
      </c>
      <c r="C232" s="249" t="s">
        <v>26</v>
      </c>
    </row>
    <row r="233" spans="1:3" x14ac:dyDescent="0.2">
      <c r="A233" s="262" t="s">
        <v>429</v>
      </c>
      <c r="B233" s="284">
        <v>5</v>
      </c>
      <c r="C233" s="249" t="s">
        <v>69</v>
      </c>
    </row>
    <row r="234" spans="1:3" x14ac:dyDescent="0.2">
      <c r="A234" s="262" t="s">
        <v>79</v>
      </c>
      <c r="B234" s="283">
        <v>55</v>
      </c>
      <c r="C234" s="263" t="s">
        <v>54</v>
      </c>
    </row>
    <row r="235" spans="1:3" x14ac:dyDescent="0.2">
      <c r="A235" s="249" t="s">
        <v>353</v>
      </c>
      <c r="B235" s="284">
        <v>1</v>
      </c>
      <c r="C235" s="247"/>
    </row>
    <row r="236" spans="1:3" x14ac:dyDescent="0.2">
      <c r="A236" s="262" t="s">
        <v>56</v>
      </c>
      <c r="B236" s="284">
        <v>1</v>
      </c>
      <c r="C236" s="247"/>
    </row>
    <row r="237" spans="1:3" x14ac:dyDescent="0.2">
      <c r="A237" s="262" t="s">
        <v>52</v>
      </c>
      <c r="B237" s="284">
        <v>0.4</v>
      </c>
      <c r="C237" s="247"/>
    </row>
    <row r="238" spans="1:3" x14ac:dyDescent="0.2">
      <c r="A238" s="262" t="s">
        <v>62</v>
      </c>
      <c r="B238" s="284">
        <v>1</v>
      </c>
      <c r="C238" s="247"/>
    </row>
    <row r="239" spans="1:3" x14ac:dyDescent="0.2">
      <c r="A239" s="262" t="s">
        <v>469</v>
      </c>
      <c r="B239" s="283">
        <v>0</v>
      </c>
      <c r="C239" s="249" t="s">
        <v>224</v>
      </c>
    </row>
    <row r="240" spans="1:3" x14ac:dyDescent="0.2">
      <c r="A240" s="262" t="s">
        <v>470</v>
      </c>
      <c r="B240" s="283">
        <v>5</v>
      </c>
      <c r="C240" s="249" t="s">
        <v>224</v>
      </c>
    </row>
    <row r="241" spans="1:3" x14ac:dyDescent="0.2">
      <c r="A241" s="262" t="s">
        <v>103</v>
      </c>
      <c r="B241" s="283">
        <v>0.4</v>
      </c>
      <c r="C241" s="247"/>
    </row>
    <row r="242" spans="1:3" x14ac:dyDescent="0.2">
      <c r="A242" s="558" t="s">
        <v>430</v>
      </c>
      <c r="B242" s="558"/>
      <c r="C242" s="558"/>
    </row>
    <row r="243" spans="1:3" x14ac:dyDescent="0.2">
      <c r="A243" s="249" t="s">
        <v>58</v>
      </c>
      <c r="B243" s="283">
        <v>55</v>
      </c>
      <c r="C243" s="263" t="s">
        <v>359</v>
      </c>
    </row>
    <row r="244" spans="1:3" x14ac:dyDescent="0.2">
      <c r="A244" s="262" t="s">
        <v>431</v>
      </c>
      <c r="B244" s="283">
        <v>55</v>
      </c>
      <c r="C244" s="249" t="s">
        <v>26</v>
      </c>
    </row>
    <row r="245" spans="1:3" x14ac:dyDescent="0.2">
      <c r="A245" s="262" t="s">
        <v>432</v>
      </c>
      <c r="B245" s="284">
        <v>5</v>
      </c>
      <c r="C245" s="249" t="s">
        <v>69</v>
      </c>
    </row>
    <row r="246" spans="1:3" x14ac:dyDescent="0.2">
      <c r="A246" s="262" t="s">
        <v>433</v>
      </c>
      <c r="B246" s="283">
        <v>55</v>
      </c>
      <c r="C246" s="263" t="s">
        <v>54</v>
      </c>
    </row>
    <row r="247" spans="1:3" x14ac:dyDescent="0.2">
      <c r="A247" s="249" t="s">
        <v>353</v>
      </c>
      <c r="B247" s="284">
        <v>1</v>
      </c>
      <c r="C247" s="247"/>
    </row>
    <row r="248" spans="1:3" x14ac:dyDescent="0.2">
      <c r="A248" s="262" t="s">
        <v>56</v>
      </c>
      <c r="B248" s="284">
        <v>1</v>
      </c>
      <c r="C248" s="247"/>
    </row>
    <row r="249" spans="1:3" x14ac:dyDescent="0.2">
      <c r="A249" s="262" t="s">
        <v>52</v>
      </c>
      <c r="B249" s="284">
        <v>0.4</v>
      </c>
      <c r="C249" s="247"/>
    </row>
    <row r="250" spans="1:3" x14ac:dyDescent="0.2">
      <c r="A250" s="262" t="s">
        <v>62</v>
      </c>
      <c r="B250" s="284">
        <v>1</v>
      </c>
      <c r="C250" s="247"/>
    </row>
    <row r="251" spans="1:3" x14ac:dyDescent="0.2">
      <c r="A251" s="262" t="s">
        <v>466</v>
      </c>
      <c r="B251" s="283">
        <v>5</v>
      </c>
      <c r="C251" s="249" t="s">
        <v>224</v>
      </c>
    </row>
    <row r="252" spans="1:3" x14ac:dyDescent="0.2">
      <c r="A252" s="262" t="s">
        <v>465</v>
      </c>
      <c r="B252" s="283">
        <v>0</v>
      </c>
      <c r="C252" s="249" t="s">
        <v>224</v>
      </c>
    </row>
    <row r="253" spans="1:3" x14ac:dyDescent="0.2">
      <c r="A253" s="262" t="s">
        <v>103</v>
      </c>
      <c r="B253" s="283">
        <v>0.4</v>
      </c>
      <c r="C253" s="247"/>
    </row>
    <row r="254" spans="1:3" x14ac:dyDescent="0.2">
      <c r="A254" s="558" t="s">
        <v>434</v>
      </c>
      <c r="B254" s="558"/>
      <c r="C254" s="558"/>
    </row>
    <row r="255" spans="1:3" x14ac:dyDescent="0.2">
      <c r="A255" s="249" t="s">
        <v>435</v>
      </c>
      <c r="B255" s="283">
        <v>55</v>
      </c>
      <c r="C255" s="263" t="s">
        <v>359</v>
      </c>
    </row>
    <row r="256" spans="1:3" x14ac:dyDescent="0.2">
      <c r="A256" s="262" t="s">
        <v>221</v>
      </c>
      <c r="B256" s="283">
        <v>55</v>
      </c>
      <c r="C256" s="249" t="s">
        <v>26</v>
      </c>
    </row>
    <row r="257" spans="1:3" x14ac:dyDescent="0.2">
      <c r="A257" s="262" t="s">
        <v>186</v>
      </c>
      <c r="B257" s="284">
        <v>5</v>
      </c>
      <c r="C257" s="249" t="s">
        <v>69</v>
      </c>
    </row>
    <row r="258" spans="1:3" x14ac:dyDescent="0.2">
      <c r="A258" s="262" t="s">
        <v>436</v>
      </c>
      <c r="B258" s="283">
        <v>55</v>
      </c>
      <c r="C258" s="263" t="s">
        <v>54</v>
      </c>
    </row>
    <row r="259" spans="1:3" x14ac:dyDescent="0.2">
      <c r="A259" s="249" t="s">
        <v>353</v>
      </c>
      <c r="B259" s="284">
        <v>1</v>
      </c>
      <c r="C259" s="247"/>
    </row>
    <row r="260" spans="1:3" x14ac:dyDescent="0.2">
      <c r="A260" s="262" t="s">
        <v>56</v>
      </c>
      <c r="B260" s="284">
        <v>1</v>
      </c>
      <c r="C260" s="247"/>
    </row>
    <row r="261" spans="1:3" x14ac:dyDescent="0.2">
      <c r="A261" s="262" t="s">
        <v>52</v>
      </c>
      <c r="B261" s="284">
        <v>0.4</v>
      </c>
      <c r="C261" s="247"/>
    </row>
    <row r="262" spans="1:3" x14ac:dyDescent="0.2">
      <c r="A262" s="262" t="s">
        <v>62</v>
      </c>
      <c r="B262" s="284">
        <v>1</v>
      </c>
      <c r="C262" s="247"/>
    </row>
    <row r="263" spans="1:3" x14ac:dyDescent="0.2">
      <c r="A263" s="262" t="s">
        <v>471</v>
      </c>
      <c r="B263" s="283">
        <v>5</v>
      </c>
      <c r="C263" s="249" t="s">
        <v>224</v>
      </c>
    </row>
    <row r="264" spans="1:3" x14ac:dyDescent="0.2">
      <c r="A264" s="262" t="s">
        <v>472</v>
      </c>
      <c r="B264" s="283">
        <v>0</v>
      </c>
      <c r="C264" s="249" t="s">
        <v>224</v>
      </c>
    </row>
    <row r="265" spans="1:3" x14ac:dyDescent="0.2">
      <c r="A265" s="262" t="s">
        <v>103</v>
      </c>
      <c r="B265" s="283">
        <v>0.4</v>
      </c>
      <c r="C265" s="247"/>
    </row>
    <row r="266" spans="1:3" x14ac:dyDescent="0.2">
      <c r="A266" s="262" t="s">
        <v>220</v>
      </c>
      <c r="B266" s="283">
        <v>5</v>
      </c>
      <c r="C266" s="249" t="s">
        <v>129</v>
      </c>
    </row>
    <row r="267" spans="1:3" x14ac:dyDescent="0.2">
      <c r="A267" s="262" t="s">
        <v>219</v>
      </c>
      <c r="B267" s="283">
        <v>11</v>
      </c>
      <c r="C267" s="249" t="s">
        <v>130</v>
      </c>
    </row>
    <row r="268" spans="1:3" x14ac:dyDescent="0.2">
      <c r="A268" s="558" t="s">
        <v>437</v>
      </c>
      <c r="B268" s="558"/>
      <c r="C268" s="558"/>
    </row>
    <row r="269" spans="1:3" x14ac:dyDescent="0.2">
      <c r="A269" s="249" t="s">
        <v>435</v>
      </c>
      <c r="B269" s="283">
        <v>55</v>
      </c>
      <c r="C269" s="263" t="s">
        <v>359</v>
      </c>
    </row>
    <row r="270" spans="1:3" x14ac:dyDescent="0.2">
      <c r="A270" s="262" t="s">
        <v>221</v>
      </c>
      <c r="B270" s="283">
        <v>55</v>
      </c>
      <c r="C270" s="249" t="s">
        <v>26</v>
      </c>
    </row>
    <row r="271" spans="1:3" x14ac:dyDescent="0.2">
      <c r="A271" s="262" t="s">
        <v>186</v>
      </c>
      <c r="B271" s="284">
        <v>5</v>
      </c>
      <c r="C271" s="249" t="s">
        <v>69</v>
      </c>
    </row>
    <row r="272" spans="1:3" x14ac:dyDescent="0.2">
      <c r="A272" s="262" t="s">
        <v>436</v>
      </c>
      <c r="B272" s="283">
        <v>55</v>
      </c>
      <c r="C272" s="263" t="s">
        <v>54</v>
      </c>
    </row>
    <row r="273" spans="1:3" x14ac:dyDescent="0.2">
      <c r="A273" s="262" t="s">
        <v>56</v>
      </c>
      <c r="B273" s="284">
        <v>1</v>
      </c>
      <c r="C273" s="247"/>
    </row>
    <row r="274" spans="1:3" x14ac:dyDescent="0.2">
      <c r="A274" s="262" t="s">
        <v>52</v>
      </c>
      <c r="B274" s="284">
        <v>0.4</v>
      </c>
      <c r="C274" s="247"/>
    </row>
    <row r="275" spans="1:3" x14ac:dyDescent="0.2">
      <c r="A275" s="262" t="s">
        <v>62</v>
      </c>
      <c r="B275" s="284">
        <v>1</v>
      </c>
      <c r="C275" s="247"/>
    </row>
    <row r="276" spans="1:3" x14ac:dyDescent="0.2">
      <c r="A276" s="262" t="s">
        <v>471</v>
      </c>
      <c r="B276" s="283">
        <v>5</v>
      </c>
      <c r="C276" s="249" t="s">
        <v>224</v>
      </c>
    </row>
    <row r="277" spans="1:3" x14ac:dyDescent="0.2">
      <c r="A277" s="262" t="s">
        <v>472</v>
      </c>
      <c r="B277" s="283">
        <v>0</v>
      </c>
      <c r="C277" s="249" t="s">
        <v>224</v>
      </c>
    </row>
    <row r="278" spans="1:3" x14ac:dyDescent="0.2">
      <c r="A278" s="262" t="s">
        <v>103</v>
      </c>
      <c r="B278" s="283">
        <v>0.4</v>
      </c>
      <c r="C278" s="247"/>
    </row>
    <row r="279" spans="1:3" x14ac:dyDescent="0.2">
      <c r="A279" s="262" t="s">
        <v>220</v>
      </c>
      <c r="B279" s="283">
        <v>5</v>
      </c>
      <c r="C279" s="249" t="s">
        <v>129</v>
      </c>
    </row>
    <row r="280" spans="1:3" x14ac:dyDescent="0.2">
      <c r="A280" s="262" t="s">
        <v>219</v>
      </c>
      <c r="B280" s="283">
        <v>11</v>
      </c>
      <c r="C280" s="249" t="s">
        <v>130</v>
      </c>
    </row>
    <row r="281" spans="1:3" x14ac:dyDescent="0.2">
      <c r="A281" s="663" t="s">
        <v>576</v>
      </c>
      <c r="B281" s="663"/>
      <c r="C281" s="663"/>
    </row>
    <row r="282" spans="1:3" x14ac:dyDescent="0.2">
      <c r="A282" s="263" t="s">
        <v>577</v>
      </c>
      <c r="B282" s="283">
        <v>2</v>
      </c>
    </row>
    <row r="283" spans="1:3" x14ac:dyDescent="0.2">
      <c r="A283" s="249" t="s">
        <v>100</v>
      </c>
      <c r="B283" s="283">
        <v>0.6</v>
      </c>
    </row>
    <row r="284" spans="1:3" x14ac:dyDescent="0.2">
      <c r="A284" s="249" t="s">
        <v>107</v>
      </c>
      <c r="B284" s="283">
        <v>20</v>
      </c>
      <c r="C284" s="249" t="s">
        <v>69</v>
      </c>
    </row>
    <row r="285" spans="1:3" x14ac:dyDescent="0.2">
      <c r="A285" s="263" t="s">
        <v>39</v>
      </c>
      <c r="B285" s="283">
        <v>50</v>
      </c>
      <c r="C285" s="249" t="s">
        <v>69</v>
      </c>
    </row>
    <row r="286" spans="1:3" x14ac:dyDescent="0.2">
      <c r="A286" s="263" t="s">
        <v>83</v>
      </c>
      <c r="B286" s="283">
        <v>2</v>
      </c>
      <c r="C286" s="249" t="s">
        <v>582</v>
      </c>
    </row>
    <row r="287" spans="1:3" x14ac:dyDescent="0.2">
      <c r="A287" s="249" t="s">
        <v>109</v>
      </c>
      <c r="B287" s="283">
        <v>2</v>
      </c>
      <c r="C287" s="249" t="s">
        <v>110</v>
      </c>
    </row>
    <row r="288" spans="1:3" x14ac:dyDescent="0.2">
      <c r="A288" s="249" t="s">
        <v>114</v>
      </c>
      <c r="B288" s="283">
        <v>0.36</v>
      </c>
      <c r="C288" s="249" t="s">
        <v>582</v>
      </c>
    </row>
    <row r="289" spans="1:3" x14ac:dyDescent="0.2">
      <c r="A289" s="249" t="s">
        <v>116</v>
      </c>
      <c r="B289" s="283">
        <v>2</v>
      </c>
      <c r="C289" s="249" t="s">
        <v>113</v>
      </c>
    </row>
    <row r="290" spans="1:3" x14ac:dyDescent="0.2">
      <c r="A290" s="249" t="s">
        <v>118</v>
      </c>
      <c r="B290" s="283">
        <v>2</v>
      </c>
      <c r="C290" s="249" t="s">
        <v>113</v>
      </c>
    </row>
    <row r="291" spans="1:3" x14ac:dyDescent="0.2">
      <c r="A291" s="249" t="s">
        <v>119</v>
      </c>
      <c r="B291" s="283">
        <v>2</v>
      </c>
      <c r="C291" s="249" t="s">
        <v>113</v>
      </c>
    </row>
    <row r="293" spans="1:3" x14ac:dyDescent="0.2">
      <c r="A293" s="263" t="s">
        <v>315</v>
      </c>
      <c r="B293" s="284">
        <v>241</v>
      </c>
    </row>
    <row r="294" spans="1:3" x14ac:dyDescent="0.2">
      <c r="A294" s="266" t="s">
        <v>310</v>
      </c>
      <c r="B294" s="284">
        <v>2.8000000000000002E-12</v>
      </c>
    </row>
    <row r="295" spans="1:3" x14ac:dyDescent="0.2">
      <c r="A295" s="266" t="s">
        <v>310</v>
      </c>
      <c r="B295" s="284">
        <v>2.8000000000000001E-15</v>
      </c>
    </row>
  </sheetData>
  <mergeCells count="335">
    <mergeCell ref="A268:C268"/>
    <mergeCell ref="A281:C281"/>
    <mergeCell ref="A132:C132"/>
    <mergeCell ref="A218:C218"/>
    <mergeCell ref="A230:C230"/>
    <mergeCell ref="A242:C242"/>
    <mergeCell ref="A254:C254"/>
    <mergeCell ref="BK40:BO43"/>
    <mergeCell ref="D41:F41"/>
    <mergeCell ref="AF42:AH44"/>
    <mergeCell ref="A50:C50"/>
    <mergeCell ref="A98:C98"/>
    <mergeCell ref="HD21:HF21"/>
    <mergeCell ref="V23:X23"/>
    <mergeCell ref="Y23:AA23"/>
    <mergeCell ref="D29:F29"/>
    <mergeCell ref="CC35:CG38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AR21:AR23"/>
    <mergeCell ref="AS21:AS23"/>
    <mergeCell ref="M20:O20"/>
    <mergeCell ref="P20:R20"/>
    <mergeCell ref="AI20:AK20"/>
    <mergeCell ref="AL20:AN20"/>
    <mergeCell ref="AR20:AT20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AU20:AW20"/>
    <mergeCell ref="BA20:BC20"/>
    <mergeCell ref="BD20:BF20"/>
    <mergeCell ref="BJ20:BL20"/>
    <mergeCell ref="BM20:BO20"/>
    <mergeCell ref="CB19:CB21"/>
    <mergeCell ref="CC19:CC21"/>
    <mergeCell ref="CD19:CD21"/>
    <mergeCell ref="CE19:CE21"/>
    <mergeCell ref="CF19:CF21"/>
    <mergeCell ref="CB18:CD18"/>
    <mergeCell ref="CE18:CG18"/>
    <mergeCell ref="CK18:CM18"/>
    <mergeCell ref="CN18:CP18"/>
    <mergeCell ref="CO19:CO21"/>
    <mergeCell ref="CP19:CP21"/>
    <mergeCell ref="CQ18:CS18"/>
    <mergeCell ref="GY2:GY4"/>
    <mergeCell ref="GZ2:GZ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C2:BC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T2:T4"/>
    <mergeCell ref="U2:U4"/>
    <mergeCell ref="AC2:AC4"/>
    <mergeCell ref="AN2:AN4"/>
    <mergeCell ref="AO2:AO4"/>
    <mergeCell ref="AP2:AP4"/>
    <mergeCell ref="AQ2:AQ4"/>
    <mergeCell ref="AR2:AR4"/>
    <mergeCell ref="AI2:AI4"/>
    <mergeCell ref="AJ2:AJ4"/>
    <mergeCell ref="AK2:AK4"/>
    <mergeCell ref="AL2:AL4"/>
    <mergeCell ref="AM2:AM4"/>
    <mergeCell ref="GU1:GW1"/>
    <mergeCell ref="GX1:GZ1"/>
    <mergeCell ref="HA1:HC1"/>
    <mergeCell ref="HD1:HF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1:C1"/>
    <mergeCell ref="A14:C17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D2:AD4"/>
    <mergeCell ref="AE2:AE4"/>
    <mergeCell ref="AF2:AF4"/>
    <mergeCell ref="AG2:AG4"/>
    <mergeCell ref="AH2:AH4"/>
    <mergeCell ref="R2:R4"/>
    <mergeCell ref="S2:S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workbookViewId="0">
      <selection activeCell="J41" sqref="J41"/>
    </sheetView>
  </sheetViews>
  <sheetFormatPr defaultRowHeight="12.75" x14ac:dyDescent="0.2"/>
  <cols>
    <col min="1" max="1" width="10" bestFit="1" customWidth="1"/>
    <col min="2" max="2" width="12" bestFit="1" customWidth="1"/>
    <col min="3" max="3" width="10" bestFit="1" customWidth="1"/>
    <col min="4" max="4" width="12" bestFit="1" customWidth="1"/>
    <col min="5" max="5" width="12.5703125" bestFit="1" customWidth="1"/>
    <col min="6" max="6" width="12.42578125" bestFit="1" customWidth="1"/>
    <col min="7" max="7" width="12" bestFit="1" customWidth="1"/>
    <col min="8" max="8" width="10.28515625" bestFit="1" customWidth="1"/>
    <col min="9" max="9" width="11.42578125" bestFit="1" customWidth="1"/>
    <col min="10" max="10" width="12" bestFit="1" customWidth="1"/>
    <col min="11" max="12" width="10.28515625" bestFit="1" customWidth="1"/>
  </cols>
  <sheetData>
    <row r="1" spans="1:11" ht="41.45" customHeight="1" thickBot="1" x14ac:dyDescent="0.25">
      <c r="A1" s="710" t="s">
        <v>247</v>
      </c>
      <c r="B1" s="711"/>
      <c r="C1" s="10"/>
    </row>
    <row r="2" spans="1:11" ht="13.5" thickTop="1" x14ac:dyDescent="0.2">
      <c r="C2" s="17" t="s">
        <v>204</v>
      </c>
      <c r="D2" s="18"/>
      <c r="E2" s="19"/>
      <c r="F2" s="11" t="s">
        <v>204</v>
      </c>
      <c r="G2" s="12"/>
      <c r="H2" s="13"/>
      <c r="I2" s="5" t="s">
        <v>204</v>
      </c>
      <c r="J2" s="23"/>
      <c r="K2" s="24"/>
    </row>
    <row r="3" spans="1:11" ht="13.5" thickBot="1" x14ac:dyDescent="0.25">
      <c r="C3" s="20" t="s">
        <v>202</v>
      </c>
      <c r="D3" s="21">
        <f>D8*((D13)/(D14*(1-D7)*((D4/D5)^3)*D6))</f>
        <v>1359344473.5814338</v>
      </c>
      <c r="E3" s="22" t="s">
        <v>203</v>
      </c>
      <c r="F3" s="14" t="s">
        <v>259</v>
      </c>
      <c r="G3" s="15">
        <f>G4*(1/G9)*((G5*G6)/((((2.6*(G23/12)^0.8)*((G7/3)^0.4))/((G21/0.2)^0.3))*((365-G22)/365)*281.9*G8))</f>
        <v>773681.6396651821</v>
      </c>
      <c r="H3" s="16"/>
      <c r="I3" s="25" t="s">
        <v>260</v>
      </c>
      <c r="J3" s="40">
        <f>J4*(1/J7)*(1/J8)</f>
        <v>36055860.959050171</v>
      </c>
      <c r="K3" s="26"/>
    </row>
    <row r="4" spans="1:11" ht="13.5" thickTop="1" x14ac:dyDescent="0.2">
      <c r="A4" s="709" t="s">
        <v>246</v>
      </c>
      <c r="B4" s="709"/>
      <c r="C4" s="27" t="s">
        <v>154</v>
      </c>
      <c r="D4" s="6">
        <v>4.6900000000000004</v>
      </c>
      <c r="E4" s="6" t="s">
        <v>155</v>
      </c>
      <c r="F4" s="34" t="s">
        <v>206</v>
      </c>
      <c r="G4" s="6">
        <f>G24*EXP((((LN(G17))-G25)^2)/G26)</f>
        <v>16.403103329458006</v>
      </c>
      <c r="H4" s="6"/>
      <c r="I4" s="34" t="s">
        <v>206</v>
      </c>
      <c r="J4" s="6">
        <f>J43*EXP((((LN(J38))-J44)^2)/J45)</f>
        <v>9.4355742285493491</v>
      </c>
      <c r="K4" s="7"/>
    </row>
    <row r="5" spans="1:11" x14ac:dyDescent="0.2">
      <c r="C5" s="35" t="s">
        <v>156</v>
      </c>
      <c r="D5" s="28">
        <v>11.32</v>
      </c>
      <c r="E5" s="28" t="s">
        <v>155</v>
      </c>
      <c r="F5" s="45" t="s">
        <v>91</v>
      </c>
      <c r="G5" s="37">
        <f>G20*G13*G27*G32</f>
        <v>3744000</v>
      </c>
      <c r="H5" s="28" t="s">
        <v>217</v>
      </c>
      <c r="I5" s="45" t="s">
        <v>91</v>
      </c>
      <c r="J5" s="136">
        <f>J39*J17*J40*J48</f>
        <v>3744000</v>
      </c>
      <c r="K5" s="29" t="s">
        <v>217</v>
      </c>
    </row>
    <row r="6" spans="1:11" x14ac:dyDescent="0.2">
      <c r="C6" s="35" t="s">
        <v>153</v>
      </c>
      <c r="D6" s="28">
        <v>0.19400000000000001</v>
      </c>
      <c r="E6" s="28" t="s">
        <v>47</v>
      </c>
      <c r="F6" s="45" t="s">
        <v>207</v>
      </c>
      <c r="G6" s="28">
        <f>G11*G14*G30</f>
        <v>867.14059713578104</v>
      </c>
      <c r="H6" s="28" t="s">
        <v>208</v>
      </c>
      <c r="I6" s="45" t="s">
        <v>211</v>
      </c>
      <c r="J6" s="28">
        <f>J39*J42*J46*J47</f>
        <v>4368</v>
      </c>
      <c r="K6" s="29" t="s">
        <v>218</v>
      </c>
    </row>
    <row r="7" spans="1:11" x14ac:dyDescent="0.2">
      <c r="A7" s="36"/>
      <c r="B7" s="38"/>
      <c r="C7" s="35" t="s">
        <v>146</v>
      </c>
      <c r="D7" s="28">
        <v>0.5</v>
      </c>
      <c r="E7" s="28"/>
      <c r="F7" s="45" t="s">
        <v>141</v>
      </c>
      <c r="G7" s="28">
        <f>((G15*G33)+(G16*G34))/(G15+G16)</f>
        <v>8</v>
      </c>
      <c r="H7" s="28" t="s">
        <v>142</v>
      </c>
      <c r="I7" s="45" t="s">
        <v>210</v>
      </c>
      <c r="J7" s="28">
        <f>0.1852+(5.3537/J6)+(-9.6318/(J6)^2)</f>
        <v>0.18642515909285312</v>
      </c>
      <c r="K7" s="29" t="s">
        <v>47</v>
      </c>
    </row>
    <row r="8" spans="1:11" x14ac:dyDescent="0.2">
      <c r="C8" s="41" t="s">
        <v>206</v>
      </c>
      <c r="D8" s="28">
        <f>D10*EXP((((LN(D9))-D11)^2)/D12)</f>
        <v>93.773582452087695</v>
      </c>
      <c r="E8" s="28"/>
      <c r="F8" s="45" t="s">
        <v>209</v>
      </c>
      <c r="G8" s="28">
        <f>(G15+G16)*G12*G18*G19</f>
        <v>554.76538466316788</v>
      </c>
      <c r="H8" s="28" t="s">
        <v>139</v>
      </c>
      <c r="I8" s="45" t="s">
        <v>147</v>
      </c>
      <c r="J8" s="37">
        <f>(J9+J10+J11+J12+J13)/(J14*J5)</f>
        <v>1.4037440964901645E-6</v>
      </c>
      <c r="K8" s="29"/>
    </row>
    <row r="9" spans="1:11" x14ac:dyDescent="0.2">
      <c r="C9" s="39" t="s">
        <v>131</v>
      </c>
      <c r="D9" s="28">
        <v>0.5</v>
      </c>
      <c r="E9" s="28" t="s">
        <v>126</v>
      </c>
      <c r="F9" s="45" t="s">
        <v>210</v>
      </c>
      <c r="G9" s="32">
        <f>0.1852+(5.3537/G10)+(-9.6318/(G10)^2)</f>
        <v>0.18642515909285312</v>
      </c>
      <c r="H9" s="28" t="s">
        <v>47</v>
      </c>
      <c r="I9" s="45" t="s">
        <v>226</v>
      </c>
      <c r="J9" s="28">
        <f>0.036*(1-J21)*((J18/J19)^3)*J20*J39*J14*8760</f>
        <v>88039.135458504272</v>
      </c>
      <c r="K9" s="29" t="s">
        <v>149</v>
      </c>
    </row>
    <row r="10" spans="1:11" x14ac:dyDescent="0.2">
      <c r="C10" s="43" t="s">
        <v>134</v>
      </c>
      <c r="D10" s="44">
        <v>16.2302</v>
      </c>
      <c r="E10" s="28"/>
      <c r="F10" s="45" t="s">
        <v>211</v>
      </c>
      <c r="G10" s="28">
        <f>G20*G18*G28*G29</f>
        <v>4368</v>
      </c>
      <c r="H10" s="28" t="s">
        <v>218</v>
      </c>
      <c r="I10" s="45" t="s">
        <v>150</v>
      </c>
      <c r="J10" s="28">
        <f>(0.35*0.0016*((J18/2.2)^1.3)/((J26/2)^1.4))*J22*J23*J24*J25*1000</f>
        <v>1658.1505859098856</v>
      </c>
      <c r="K10" s="29" t="s">
        <v>149</v>
      </c>
    </row>
    <row r="11" spans="1:11" x14ac:dyDescent="0.2">
      <c r="C11" s="43" t="s">
        <v>136</v>
      </c>
      <c r="D11" s="44">
        <v>18.776199999999999</v>
      </c>
      <c r="E11" s="28"/>
      <c r="F11" s="45" t="s">
        <v>212</v>
      </c>
      <c r="G11" s="33">
        <f>SQRT(G17*43560.17)</f>
        <v>466.69138625005706</v>
      </c>
      <c r="H11" s="28" t="s">
        <v>123</v>
      </c>
      <c r="I11" s="45" t="s">
        <v>148</v>
      </c>
      <c r="J11" s="28">
        <f>0.75*((0.45*(J27^1.5))/(J28^1.4))*(J15/J29)*1000</f>
        <v>739.26351214461999</v>
      </c>
      <c r="K11" s="29" t="s">
        <v>149</v>
      </c>
    </row>
    <row r="12" spans="1:11" x14ac:dyDescent="0.2">
      <c r="C12" s="43" t="s">
        <v>138</v>
      </c>
      <c r="D12" s="44">
        <v>216.108</v>
      </c>
      <c r="E12" s="28"/>
      <c r="F12" s="45" t="s">
        <v>144</v>
      </c>
      <c r="G12" s="28">
        <f>G11*0.0003048</f>
        <v>0.14224753452901739</v>
      </c>
      <c r="H12" s="28" t="s">
        <v>145</v>
      </c>
      <c r="I12" s="45" t="s">
        <v>152</v>
      </c>
      <c r="J12" s="28">
        <f>0.6*0.0056*(J30^2)*J16*1000</f>
        <v>10863.846413114754</v>
      </c>
      <c r="K12" s="29" t="s">
        <v>149</v>
      </c>
    </row>
    <row r="13" spans="1:11" x14ac:dyDescent="0.2">
      <c r="A13" s="2"/>
      <c r="C13" s="31"/>
      <c r="D13" s="28">
        <v>3600</v>
      </c>
      <c r="E13" s="28" t="s">
        <v>205</v>
      </c>
      <c r="F13" s="45" t="s">
        <v>221</v>
      </c>
      <c r="G13" s="28">
        <f>G18*G19</f>
        <v>130</v>
      </c>
      <c r="H13" s="28" t="s">
        <v>26</v>
      </c>
      <c r="I13" s="45" t="s">
        <v>151</v>
      </c>
      <c r="J13" s="28">
        <f>1.1*(J31^0.6)*J32*4047*(1/10000)*1000*J33</f>
        <v>5043.3532488378178</v>
      </c>
      <c r="K13" s="29" t="s">
        <v>149</v>
      </c>
    </row>
    <row r="14" spans="1:11" ht="13.5" thickBot="1" x14ac:dyDescent="0.25">
      <c r="A14" s="2"/>
      <c r="C14" s="8"/>
      <c r="D14" s="10">
        <v>3.5999999999999997E-2</v>
      </c>
      <c r="E14" s="10"/>
      <c r="F14" s="30" t="s">
        <v>213</v>
      </c>
      <c r="G14" s="28">
        <v>20</v>
      </c>
      <c r="H14" s="28" t="s">
        <v>123</v>
      </c>
      <c r="I14" s="45" t="s">
        <v>137</v>
      </c>
      <c r="J14" s="28">
        <f>J38*4046.86</f>
        <v>20234.3</v>
      </c>
      <c r="K14" s="29" t="s">
        <v>208</v>
      </c>
    </row>
    <row r="15" spans="1:11" ht="13.5" thickTop="1" x14ac:dyDescent="0.2">
      <c r="A15" s="2"/>
      <c r="F15" s="30" t="s">
        <v>215</v>
      </c>
      <c r="G15" s="28">
        <v>20</v>
      </c>
      <c r="H15" s="28"/>
      <c r="I15" s="45" t="s">
        <v>234</v>
      </c>
      <c r="J15" s="28">
        <f>J35*J23*(1/J36)*(1/1000)*J37</f>
        <v>24.879098360655735</v>
      </c>
      <c r="K15" s="29" t="s">
        <v>139</v>
      </c>
    </row>
    <row r="16" spans="1:11" x14ac:dyDescent="0.2">
      <c r="A16" s="2"/>
      <c r="D16" s="4"/>
      <c r="F16" s="30" t="s">
        <v>216</v>
      </c>
      <c r="G16" s="28">
        <v>10</v>
      </c>
      <c r="H16" s="28"/>
      <c r="I16" s="45" t="s">
        <v>239</v>
      </c>
      <c r="J16" s="28">
        <f>J34*J23*(1/J36)*(1/1000)*J37</f>
        <v>24.879098360655735</v>
      </c>
      <c r="K16" s="29" t="s">
        <v>139</v>
      </c>
    </row>
    <row r="17" spans="1:14" x14ac:dyDescent="0.2">
      <c r="A17" s="2"/>
      <c r="F17" s="30" t="s">
        <v>131</v>
      </c>
      <c r="G17" s="3">
        <v>5</v>
      </c>
      <c r="H17" s="3" t="s">
        <v>126</v>
      </c>
      <c r="I17" s="45" t="s">
        <v>221</v>
      </c>
      <c r="J17" s="28">
        <f>J41*J42</f>
        <v>130</v>
      </c>
      <c r="K17" s="29" t="s">
        <v>26</v>
      </c>
    </row>
    <row r="18" spans="1:14" x14ac:dyDescent="0.2">
      <c r="A18" s="2"/>
      <c r="F18" s="31" t="s">
        <v>219</v>
      </c>
      <c r="G18" s="28">
        <v>26</v>
      </c>
      <c r="H18" s="28" t="s">
        <v>130</v>
      </c>
      <c r="I18" s="35" t="s">
        <v>154</v>
      </c>
      <c r="J18" s="28">
        <v>4.6900000000000004</v>
      </c>
      <c r="K18" s="29" t="s">
        <v>155</v>
      </c>
    </row>
    <row r="19" spans="1:14" x14ac:dyDescent="0.2">
      <c r="A19" s="2"/>
      <c r="F19" s="31" t="s">
        <v>220</v>
      </c>
      <c r="G19" s="28">
        <v>5</v>
      </c>
      <c r="H19" s="28" t="s">
        <v>129</v>
      </c>
      <c r="I19" s="35" t="s">
        <v>156</v>
      </c>
      <c r="J19" s="28">
        <v>11.32</v>
      </c>
      <c r="K19" s="29" t="s">
        <v>155</v>
      </c>
    </row>
    <row r="20" spans="1:14" x14ac:dyDescent="0.2">
      <c r="A20" s="2"/>
      <c r="D20" s="1"/>
      <c r="F20" s="31" t="s">
        <v>186</v>
      </c>
      <c r="G20" s="28">
        <v>1</v>
      </c>
      <c r="H20" s="28" t="s">
        <v>169</v>
      </c>
      <c r="I20" s="35" t="s">
        <v>153</v>
      </c>
      <c r="J20" s="28">
        <v>0.19400000000000001</v>
      </c>
      <c r="K20" s="29" t="s">
        <v>47</v>
      </c>
    </row>
    <row r="21" spans="1:14" x14ac:dyDescent="0.2">
      <c r="A21" s="2"/>
      <c r="F21" s="31" t="s">
        <v>225</v>
      </c>
      <c r="G21" s="33">
        <v>0.2</v>
      </c>
      <c r="H21" s="28" t="s">
        <v>233</v>
      </c>
      <c r="I21" s="35" t="s">
        <v>146</v>
      </c>
      <c r="J21" s="28">
        <v>0</v>
      </c>
      <c r="K21" s="29"/>
    </row>
    <row r="22" spans="1:14" x14ac:dyDescent="0.2">
      <c r="A22" s="2"/>
      <c r="F22" s="31" t="s">
        <v>132</v>
      </c>
      <c r="G22" s="33">
        <v>70</v>
      </c>
      <c r="H22" s="28" t="s">
        <v>26</v>
      </c>
      <c r="I22" s="39" t="s">
        <v>227</v>
      </c>
      <c r="J22" s="28">
        <v>1.68</v>
      </c>
      <c r="K22" s="29" t="s">
        <v>228</v>
      </c>
    </row>
    <row r="23" spans="1:14" x14ac:dyDescent="0.2">
      <c r="A23" s="2"/>
      <c r="F23" s="30" t="s">
        <v>133</v>
      </c>
      <c r="G23" s="3">
        <v>8.5</v>
      </c>
      <c r="H23" s="3" t="s">
        <v>233</v>
      </c>
      <c r="I23" s="39" t="s">
        <v>229</v>
      </c>
      <c r="J23" s="28">
        <v>4047</v>
      </c>
      <c r="K23" s="29" t="s">
        <v>208</v>
      </c>
    </row>
    <row r="24" spans="1:14" x14ac:dyDescent="0.2">
      <c r="A24" s="2"/>
      <c r="F24" s="43" t="s">
        <v>134</v>
      </c>
      <c r="G24" s="44">
        <v>12.9351</v>
      </c>
      <c r="H24" s="28"/>
      <c r="I24" s="39" t="s">
        <v>230</v>
      </c>
      <c r="J24" s="33">
        <v>1</v>
      </c>
      <c r="K24" s="29" t="s">
        <v>113</v>
      </c>
    </row>
    <row r="25" spans="1:14" x14ac:dyDescent="0.2">
      <c r="A25" s="2"/>
      <c r="F25" s="43" t="s">
        <v>136</v>
      </c>
      <c r="G25" s="44">
        <v>5.7382999999999997</v>
      </c>
      <c r="H25" s="28"/>
      <c r="I25" s="39" t="s">
        <v>231</v>
      </c>
      <c r="J25" s="28">
        <v>2</v>
      </c>
      <c r="K25" s="29"/>
    </row>
    <row r="26" spans="1:14" x14ac:dyDescent="0.2">
      <c r="A26" s="2"/>
      <c r="F26" s="43" t="s">
        <v>138</v>
      </c>
      <c r="G26" s="44">
        <v>71.771100000000004</v>
      </c>
      <c r="H26" s="28"/>
      <c r="I26" s="39" t="s">
        <v>232</v>
      </c>
      <c r="J26" s="28">
        <v>12</v>
      </c>
      <c r="K26" s="29" t="s">
        <v>233</v>
      </c>
    </row>
    <row r="27" spans="1:14" x14ac:dyDescent="0.2">
      <c r="A27" s="2"/>
      <c r="F27" s="31" t="s">
        <v>68</v>
      </c>
      <c r="G27" s="28">
        <v>8</v>
      </c>
      <c r="H27" s="28" t="s">
        <v>162</v>
      </c>
      <c r="I27" s="39" t="s">
        <v>140</v>
      </c>
      <c r="J27" s="28">
        <v>6.9</v>
      </c>
      <c r="K27" s="29" t="s">
        <v>233</v>
      </c>
    </row>
    <row r="28" spans="1:14" x14ac:dyDescent="0.2">
      <c r="A28" s="2"/>
      <c r="F28" s="31"/>
      <c r="G28" s="28">
        <v>7</v>
      </c>
      <c r="H28" s="28" t="s">
        <v>129</v>
      </c>
      <c r="I28" s="39" t="s">
        <v>235</v>
      </c>
      <c r="J28" s="28">
        <v>7.9</v>
      </c>
      <c r="K28" s="29" t="s">
        <v>233</v>
      </c>
    </row>
    <row r="29" spans="1:14" x14ac:dyDescent="0.2">
      <c r="A29" s="2"/>
      <c r="F29" s="31"/>
      <c r="G29" s="28">
        <v>24</v>
      </c>
      <c r="H29" s="28" t="s">
        <v>224</v>
      </c>
      <c r="I29" s="39" t="s">
        <v>236</v>
      </c>
      <c r="J29" s="28">
        <v>11.4</v>
      </c>
      <c r="K29" s="29" t="s">
        <v>237</v>
      </c>
    </row>
    <row r="30" spans="1:14" x14ac:dyDescent="0.2">
      <c r="A30" s="2"/>
      <c r="F30" s="31"/>
      <c r="G30" s="28">
        <v>9.2902999999999999E-2</v>
      </c>
      <c r="H30" s="28" t="s">
        <v>214</v>
      </c>
      <c r="I30" s="39" t="s">
        <v>238</v>
      </c>
      <c r="J30" s="28">
        <v>11.4</v>
      </c>
      <c r="K30" s="29" t="s">
        <v>237</v>
      </c>
      <c r="N30" s="1"/>
    </row>
    <row r="31" spans="1:14" x14ac:dyDescent="0.2">
      <c r="A31" s="2"/>
      <c r="F31" s="31"/>
      <c r="G31" s="28">
        <v>365</v>
      </c>
      <c r="H31" s="28" t="s">
        <v>26</v>
      </c>
      <c r="I31" s="39" t="s">
        <v>143</v>
      </c>
      <c r="J31" s="28">
        <v>18</v>
      </c>
      <c r="K31" s="29" t="s">
        <v>233</v>
      </c>
      <c r="N31" s="28"/>
    </row>
    <row r="32" spans="1:14" x14ac:dyDescent="0.2">
      <c r="F32" s="31"/>
      <c r="G32" s="28">
        <v>3600</v>
      </c>
      <c r="H32" s="28" t="s">
        <v>223</v>
      </c>
      <c r="I32" s="39" t="s">
        <v>240</v>
      </c>
      <c r="J32" s="33">
        <v>1</v>
      </c>
      <c r="K32" s="29" t="s">
        <v>126</v>
      </c>
      <c r="N32" s="28"/>
    </row>
    <row r="33" spans="6:14" x14ac:dyDescent="0.2">
      <c r="F33" s="31"/>
      <c r="G33" s="28">
        <v>2</v>
      </c>
      <c r="H33" s="28" t="s">
        <v>127</v>
      </c>
      <c r="I33" s="39" t="s">
        <v>241</v>
      </c>
      <c r="J33" s="3">
        <v>2</v>
      </c>
      <c r="K33" s="29"/>
      <c r="N33" s="28"/>
    </row>
    <row r="34" spans="6:14" ht="13.5" thickBot="1" x14ac:dyDescent="0.25">
      <c r="F34" s="8"/>
      <c r="G34" s="10">
        <v>20</v>
      </c>
      <c r="H34" s="10" t="s">
        <v>128</v>
      </c>
      <c r="I34" s="39" t="s">
        <v>242</v>
      </c>
      <c r="J34" s="33">
        <v>5</v>
      </c>
      <c r="K34" s="29" t="s">
        <v>126</v>
      </c>
    </row>
    <row r="35" spans="6:14" ht="13.5" thickTop="1" x14ac:dyDescent="0.2">
      <c r="I35" s="39" t="s">
        <v>245</v>
      </c>
      <c r="J35" s="33">
        <v>5</v>
      </c>
      <c r="K35" s="29" t="s">
        <v>126</v>
      </c>
    </row>
    <row r="36" spans="6:14" x14ac:dyDescent="0.2">
      <c r="I36" s="39" t="s">
        <v>243</v>
      </c>
      <c r="J36" s="33">
        <v>2.44</v>
      </c>
      <c r="K36" s="29" t="s">
        <v>113</v>
      </c>
    </row>
    <row r="37" spans="6:14" x14ac:dyDescent="0.2">
      <c r="I37" s="39" t="s">
        <v>244</v>
      </c>
      <c r="J37" s="33">
        <v>3</v>
      </c>
      <c r="K37" s="29"/>
    </row>
    <row r="38" spans="6:14" x14ac:dyDescent="0.2">
      <c r="H38" s="28"/>
      <c r="I38" s="39" t="s">
        <v>135</v>
      </c>
      <c r="J38" s="33">
        <v>5</v>
      </c>
      <c r="K38" s="29" t="s">
        <v>126</v>
      </c>
    </row>
    <row r="39" spans="6:14" x14ac:dyDescent="0.2">
      <c r="H39" s="28"/>
      <c r="I39" s="31" t="s">
        <v>186</v>
      </c>
      <c r="J39" s="28">
        <v>1</v>
      </c>
      <c r="K39" s="29" t="s">
        <v>169</v>
      </c>
    </row>
    <row r="40" spans="6:14" x14ac:dyDescent="0.2">
      <c r="F40" s="28"/>
      <c r="G40" s="28"/>
      <c r="H40" s="28"/>
      <c r="I40" s="31" t="s">
        <v>222</v>
      </c>
      <c r="J40" s="28">
        <v>8</v>
      </c>
      <c r="K40" s="29" t="s">
        <v>162</v>
      </c>
    </row>
    <row r="41" spans="6:14" x14ac:dyDescent="0.2">
      <c r="F41" s="28"/>
      <c r="G41" s="28"/>
      <c r="H41" s="28"/>
      <c r="I41" s="31" t="s">
        <v>220</v>
      </c>
      <c r="J41" s="28">
        <v>5</v>
      </c>
      <c r="K41" s="29" t="s">
        <v>130</v>
      </c>
    </row>
    <row r="42" spans="6:14" x14ac:dyDescent="0.2">
      <c r="F42" s="28"/>
      <c r="G42" s="28"/>
      <c r="H42" s="28"/>
      <c r="I42" s="31" t="s">
        <v>219</v>
      </c>
      <c r="J42" s="28">
        <v>26</v>
      </c>
      <c r="K42" s="29" t="s">
        <v>129</v>
      </c>
    </row>
    <row r="43" spans="6:14" x14ac:dyDescent="0.2">
      <c r="I43" s="43" t="s">
        <v>134</v>
      </c>
      <c r="J43" s="42">
        <v>2.4538000000000002</v>
      </c>
      <c r="K43" s="29"/>
    </row>
    <row r="44" spans="6:14" x14ac:dyDescent="0.2">
      <c r="I44" s="43" t="s">
        <v>136</v>
      </c>
      <c r="J44" s="42">
        <v>17.565999999999999</v>
      </c>
      <c r="K44" s="29"/>
    </row>
    <row r="45" spans="6:14" x14ac:dyDescent="0.2">
      <c r="I45" s="43" t="s">
        <v>138</v>
      </c>
      <c r="J45" s="42">
        <v>189.04259999999999</v>
      </c>
      <c r="K45" s="29"/>
    </row>
    <row r="46" spans="6:14" x14ac:dyDescent="0.2">
      <c r="I46" s="31"/>
      <c r="J46" s="28">
        <v>7</v>
      </c>
      <c r="K46" s="29" t="s">
        <v>129</v>
      </c>
    </row>
    <row r="47" spans="6:14" x14ac:dyDescent="0.2">
      <c r="I47" s="31"/>
      <c r="J47" s="28">
        <v>24</v>
      </c>
      <c r="K47" s="29" t="s">
        <v>224</v>
      </c>
    </row>
    <row r="48" spans="6:14" ht="13.5" thickBot="1" x14ac:dyDescent="0.25">
      <c r="I48" s="8"/>
      <c r="J48" s="10">
        <v>3600</v>
      </c>
      <c r="K48" s="9" t="s">
        <v>217</v>
      </c>
    </row>
    <row r="49" ht="13.5" thickTop="1" x14ac:dyDescent="0.2"/>
  </sheetData>
  <mergeCells count="2">
    <mergeCell ref="A4:B4"/>
    <mergeCell ref="A1:B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1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53" bestFit="1" customWidth="1"/>
    <col min="2" max="2" width="9.85546875" style="53" bestFit="1" customWidth="1"/>
    <col min="3" max="3" width="20.140625" style="53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9.85546875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2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28515625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9.28515625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.28515625" style="249" bestFit="1" customWidth="1"/>
    <col min="128" max="128" width="12" style="249" bestFit="1" customWidth="1"/>
    <col min="129" max="129" width="9.28515625" style="289" bestFit="1" customWidth="1"/>
    <col min="130" max="130" width="6.285156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.28515625" style="249" bestFit="1" customWidth="1"/>
    <col min="143" max="143" width="12" style="249" bestFit="1" customWidth="1"/>
    <col min="144" max="144" width="9.28515625" style="289" bestFit="1" customWidth="1"/>
    <col min="145" max="145" width="6.28515625" style="249" bestFit="1" customWidth="1"/>
    <col min="146" max="146" width="12" style="249" bestFit="1" customWidth="1"/>
    <col min="147" max="147" width="9.2851562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6.285156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6.285156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6.285156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6.285156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customHeight="1" thickTop="1" thickBot="1" x14ac:dyDescent="0.25">
      <c r="A1" s="682" t="s">
        <v>8</v>
      </c>
      <c r="B1" s="683"/>
      <c r="C1" s="684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1/((1/H10)+(1/H12)+(1/H13))</f>
        <v>1.1926725977251162</v>
      </c>
      <c r="I2" s="625" t="s">
        <v>14</v>
      </c>
      <c r="J2" s="619" t="s">
        <v>507</v>
      </c>
      <c r="K2" s="623">
        <f>1/((1/K14)+(1/K15)+(1/K16+(1/K17)))</f>
        <v>4.6639865446492741E-2</v>
      </c>
      <c r="L2" s="621" t="s">
        <v>13</v>
      </c>
      <c r="M2" s="617" t="s">
        <v>516</v>
      </c>
      <c r="N2" s="647">
        <f>(N5*N6*N7)/((1-EXP(-N7*N6))*N10*N15*(N9/365)*N13*(((N14/24)*N12)+((N16/24)*N11)))</f>
        <v>6.0662102192664678E-2</v>
      </c>
      <c r="O2" s="615" t="s">
        <v>13</v>
      </c>
      <c r="P2" s="639" t="s">
        <v>516</v>
      </c>
      <c r="Q2" s="647">
        <f>(Q5*Q6*Q7)/((1-EXP(-Q7*Q6))*Q10*Q15*(Q9/365)*Q13*(((Q14/24)*Q12)+((Q16/24)*Q11)))</f>
        <v>0.29701435414729777</v>
      </c>
      <c r="R2" s="637" t="s">
        <v>13</v>
      </c>
      <c r="S2" s="641" t="s">
        <v>516</v>
      </c>
      <c r="T2" s="647">
        <f>(T5*T6*T7)/((1-EXP(-T7*T6))*T10*T15*(T9/365)*T13*(((T14/24)*T12)+((T16/24)*T11)))</f>
        <v>6.7854000906228035E-2</v>
      </c>
      <c r="U2" s="643" t="s">
        <v>13</v>
      </c>
      <c r="V2" s="55"/>
      <c r="W2" s="357"/>
      <c r="X2" s="56"/>
      <c r="Y2" s="57"/>
      <c r="Z2" s="357"/>
      <c r="AA2" s="58"/>
      <c r="AB2" s="650"/>
      <c r="AC2" s="660">
        <f>1/((1/AC32)+(1/AC33)+(1/AC34))</f>
        <v>9.0767036199925419E-2</v>
      </c>
      <c r="AD2" s="657">
        <f>1/((1/AD32)+(1/AD33)+(1/AD34))</f>
        <v>0.22683956067168728</v>
      </c>
      <c r="AE2" s="657">
        <f>1/((1/AE32)+(1/AE33)+(1/AE34))</f>
        <v>0.10085226244436153</v>
      </c>
      <c r="AF2" s="657">
        <f>1/((1/AF32)+(1/AF33)+(1/AF34))</f>
        <v>48.781352893734358</v>
      </c>
      <c r="AG2" s="654">
        <f>1/((1/AG32)+(1/AG33)+(1/AG34))</f>
        <v>49.667307745166916</v>
      </c>
      <c r="AH2" s="652" t="s">
        <v>13</v>
      </c>
      <c r="AI2" s="381" t="s">
        <v>516</v>
      </c>
      <c r="AJ2" s="387">
        <f>(AJ5*AJ6*AJ7)/((1-EXP(-AJ7*AJ6))*AJ15*(AJ9/365)*AJ10*(AJ16/24)*AJ11*AJ13)</f>
        <v>0.2272294348070017</v>
      </c>
      <c r="AK2" s="629" t="s">
        <v>13</v>
      </c>
      <c r="AL2" s="383" t="s">
        <v>516</v>
      </c>
      <c r="AM2" s="387">
        <f>(AM5*AM6*AM7)/((1-EXP(-AM7*AM6))*AM15*(AM9/365)*AM10*(AM16/24)*AM11*AM13)</f>
        <v>1.1125628915415022</v>
      </c>
      <c r="AN2" s="629" t="s">
        <v>13</v>
      </c>
      <c r="AO2" s="383" t="s">
        <v>516</v>
      </c>
      <c r="AP2" s="387">
        <f>(AP5*AP6*AP7)/((1-EXP(-AP7*AP6))*AP15*(AP9/365)*AP10*(AP16/24)*AP11*AP13)</f>
        <v>0.25416900697484218</v>
      </c>
      <c r="AQ2" s="635" t="s">
        <v>13</v>
      </c>
      <c r="AR2" s="381" t="s">
        <v>516</v>
      </c>
      <c r="AS2" s="387">
        <f>(AS5*AS6*AS7)/((1-EXP(-AS7*AS6))*AS15*(AS9/365)*AS10*(AS14/24)*AS12*AS13)</f>
        <v>0.10099085991422298</v>
      </c>
      <c r="AT2" s="391" t="s">
        <v>13</v>
      </c>
      <c r="AU2" s="383" t="s">
        <v>516</v>
      </c>
      <c r="AV2" s="387">
        <f>(AV5*AV6*AV7)/((1-EXP(-AV7*AV6))*AV15*(AV9/365)*AV10*(AV14/24)*AV12*AV13)</f>
        <v>0.49447239624066758</v>
      </c>
      <c r="AW2" s="391" t="s">
        <v>13</v>
      </c>
      <c r="AX2" s="383" t="s">
        <v>516</v>
      </c>
      <c r="AY2" s="387">
        <f>(AY5*AY6*AY7)/((1-EXP(-AY7*AY6))*AY15*(AY9/365)*AY10*(AY14/24)*AY12*AY13)</f>
        <v>0.11296400309992982</v>
      </c>
      <c r="AZ2" s="385" t="s">
        <v>13</v>
      </c>
      <c r="BA2" s="381" t="s">
        <v>516</v>
      </c>
      <c r="BB2" s="387">
        <f>(BB5*BB6*BB7)/((1-EXP(-BB7*BB6))*BB15*(BB9/365)*BB10*((BB14+BB16)/24)*BB12*BB13)</f>
        <v>9.0891773922800692E-2</v>
      </c>
      <c r="BC2" s="391" t="s">
        <v>13</v>
      </c>
      <c r="BD2" s="383" t="s">
        <v>516</v>
      </c>
      <c r="BE2" s="387">
        <f>(BE5*BE6*BE7)/((1-EXP(-BE7*BE6))*BE15*(BE9/365)*BE10*((BE14+BE16)/24)*BE12*BE13)</f>
        <v>0.44502515661660091</v>
      </c>
      <c r="BF2" s="391" t="s">
        <v>13</v>
      </c>
      <c r="BG2" s="383" t="s">
        <v>516</v>
      </c>
      <c r="BH2" s="387">
        <f>(BH5*BH6*BH7)/((1-EXP(-BH7*BH6))*BH15*(BH9/365)*BH10*((BH14+BH16)/24)*BH12*BH13)</f>
        <v>0.10166760278993688</v>
      </c>
      <c r="BI2" s="385" t="s">
        <v>13</v>
      </c>
      <c r="BJ2" s="381" t="s">
        <v>558</v>
      </c>
      <c r="BK2" s="389">
        <f>(BK5*BK6*BK7)/((1-EXP(-BK7*BK6))*BK12*BK16*(BK9/365)*BK14*(BK15/24)*BK13)</f>
        <v>53.25380498577632</v>
      </c>
      <c r="BL2" s="391" t="s">
        <v>13</v>
      </c>
      <c r="BM2" s="383" t="s">
        <v>559</v>
      </c>
      <c r="BN2" s="389">
        <f>(BN5*BN6*BN7)/((1-EXP(-BN7*BN6))*BN12*BN16*(BN9/365)*BN14*(BN15/24)*BN13)</f>
        <v>582.29493627651129</v>
      </c>
      <c r="BO2" s="391" t="s">
        <v>13</v>
      </c>
      <c r="BP2" s="383" t="s">
        <v>560</v>
      </c>
      <c r="BQ2" s="389">
        <f>(BQ5*BQ6*BQ7)/((1-EXP(-BQ7*BQ6))*BQ12*BQ16*(BQ9/365)*BQ14*(BQ15/24)*BQ13)</f>
        <v>70.587163811810328</v>
      </c>
      <c r="BR2" s="385" t="s">
        <v>13</v>
      </c>
      <c r="BS2" s="59"/>
      <c r="BT2" s="110"/>
      <c r="BU2" s="250"/>
      <c r="BV2" s="402" t="s">
        <v>563</v>
      </c>
      <c r="BW2" s="400">
        <f>1/((1/BW10)+(1/BW11))</f>
        <v>336.27813925463539</v>
      </c>
      <c r="BX2" s="404" t="s">
        <v>14</v>
      </c>
      <c r="BY2" s="402" t="s">
        <v>563</v>
      </c>
      <c r="BZ2" s="400">
        <f>1/((1/BZ13)+(1/BZ14)+(1/BZ15))</f>
        <v>28.982788925542284</v>
      </c>
      <c r="CA2" s="398" t="s">
        <v>13</v>
      </c>
      <c r="CB2" s="410" t="s">
        <v>558</v>
      </c>
      <c r="CC2" s="400">
        <f>(CC5*CC6*CC7)/((1-EXP(-CC7*CC6))*CC10*CC14*(CC9/365)*CC12*(CC13/24)*CC11)</f>
        <v>37.293279152123056</v>
      </c>
      <c r="CD2" s="404" t="s">
        <v>13</v>
      </c>
      <c r="CE2" s="402" t="s">
        <v>559</v>
      </c>
      <c r="CF2" s="400">
        <f>(CF5*CF6*CF7)/((1-EXP(-CF7*CF6))*CF10*CF14*(CF9/365)*CF12*(CF13/24)*CF11)</f>
        <v>407.7772022717952</v>
      </c>
      <c r="CG2" s="404" t="s">
        <v>13</v>
      </c>
      <c r="CH2" s="402" t="s">
        <v>560</v>
      </c>
      <c r="CI2" s="400">
        <f>(CI5*CI6*CI7)/((1-EXP(-CI7*CI6))*CI10*CI14*(CI9/365)*CI12*(CI13/24)*CI11)</f>
        <v>49.431713007053339</v>
      </c>
      <c r="CJ2" s="398" t="s">
        <v>13</v>
      </c>
      <c r="CK2" s="410" t="s">
        <v>510</v>
      </c>
      <c r="CL2" s="400">
        <f>CL5/(CL6*CL7*CL8*CL9)</f>
        <v>13.722786000013722</v>
      </c>
      <c r="CM2" s="404" t="s">
        <v>13</v>
      </c>
      <c r="CN2" s="402" t="s">
        <v>7</v>
      </c>
      <c r="CO2" s="400">
        <f>(CL2/(CO5*((CO10*CO12*CO13*(CO6+CO7))+(CO11*CO12))))*CL12</f>
        <v>5.2779825463661361</v>
      </c>
      <c r="CP2" s="412" t="s">
        <v>13</v>
      </c>
      <c r="CQ2" s="402" t="s">
        <v>6</v>
      </c>
      <c r="CR2" s="400">
        <f>CL2/(CR5*CR6*(1/CR7))</f>
        <v>5082.5133333384156</v>
      </c>
      <c r="CS2" s="415" t="s">
        <v>14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(DD5)/(DD6*(DD7+DD10)*DD20)</f>
        <v>6.9861951059116967E-3</v>
      </c>
      <c r="DE2" s="672" t="s">
        <v>13</v>
      </c>
      <c r="DF2" s="670" t="s">
        <v>510</v>
      </c>
      <c r="DG2" s="668">
        <f>(DD2/((1/DG24)*(DG5+DG6+DG7)))</f>
        <v>0.62777248773721772</v>
      </c>
      <c r="DH2" s="666" t="s">
        <v>14</v>
      </c>
      <c r="DI2" s="680" t="s">
        <v>510</v>
      </c>
      <c r="DJ2" s="668">
        <f>(DD2/(DJ5+DJ6))*CU11</f>
        <v>3.7445991833205905E-2</v>
      </c>
      <c r="DK2" s="666" t="s">
        <v>14</v>
      </c>
      <c r="DL2" s="680" t="s">
        <v>554</v>
      </c>
      <c r="DM2" s="668">
        <f>(DD2/(DM5+DM6))*((DM9*DD21)/(1-EXP(-DD21*DM9)))</f>
        <v>3.7445991833205905E-2</v>
      </c>
      <c r="DN2" s="666" t="s">
        <v>14</v>
      </c>
      <c r="DO2" s="680" t="s">
        <v>553</v>
      </c>
      <c r="DP2" s="668">
        <f>-(DP5+DP6+DP7)/(DP23+DP24)</f>
        <v>-39.016043743831744</v>
      </c>
      <c r="DQ2" s="678" t="s">
        <v>14</v>
      </c>
      <c r="DR2" s="556" t="s">
        <v>510</v>
      </c>
      <c r="DS2" s="460">
        <f>DS5/(DS6*DS7*DS16)</f>
        <v>4.4328723169913412E-3</v>
      </c>
      <c r="DT2" s="466" t="s">
        <v>13</v>
      </c>
      <c r="DU2" s="464" t="s">
        <v>510</v>
      </c>
      <c r="DV2" s="462">
        <f>DS2/(DV5*(1/DV8)*DV6*(1/DV7))</f>
        <v>10.788890563565882</v>
      </c>
      <c r="DW2" s="480" t="s">
        <v>14</v>
      </c>
      <c r="DX2" s="478" t="s">
        <v>510</v>
      </c>
      <c r="DY2" s="462">
        <f>(DS2/(DY9*(1/DY14)*((DY10*DY12*DY13*(DY5+DY6))+(DY11*DY12))))*CU11</f>
        <v>0.25025729077555597</v>
      </c>
      <c r="DZ2" s="480" t="s">
        <v>14</v>
      </c>
      <c r="EA2" s="478" t="s">
        <v>554</v>
      </c>
      <c r="EB2" s="462">
        <f>(DS2/(EB9*(1/EB14)*((EB10*EB12*EB13*(EB5+EB6))+(EB11*EB12))))*((EB15*DS18)/(1-EXP(-DS18*EB15)))</f>
        <v>0.25025729077555597</v>
      </c>
      <c r="EC2" s="480" t="s">
        <v>14</v>
      </c>
      <c r="ED2" s="478" t="s">
        <v>553</v>
      </c>
      <c r="EE2" s="462">
        <f>-EE15/((EE10*EE12*EE13*(EE5+EE6))+(EE11*EE12))</f>
        <v>-15.172254564045053</v>
      </c>
      <c r="EF2" s="476" t="s">
        <v>14</v>
      </c>
      <c r="EG2" s="474" t="s">
        <v>510</v>
      </c>
      <c r="EH2" s="472">
        <f>EH5/(EH6*EH7*EH16)</f>
        <v>1.2150068652079656E-2</v>
      </c>
      <c r="EI2" s="470" t="s">
        <v>13</v>
      </c>
      <c r="EJ2" s="468" t="s">
        <v>510</v>
      </c>
      <c r="EK2" s="502">
        <f>EH2/(EK5*EK6*(1/EK7))</f>
        <v>10.420299015505709</v>
      </c>
      <c r="EL2" s="500" t="s">
        <v>14</v>
      </c>
      <c r="EM2" s="504" t="s">
        <v>510</v>
      </c>
      <c r="EN2" s="502">
        <f>(EH2/(EN9*((EN10*EN12*EN13*(EN5+EN6))+(EN11*EN12))))*CU11</f>
        <v>0.22314351242029551</v>
      </c>
      <c r="EO2" s="500" t="s">
        <v>13</v>
      </c>
      <c r="EP2" s="504" t="s">
        <v>554</v>
      </c>
      <c r="EQ2" s="502">
        <f>(EH2/(EQ9*((EQ10*EQ12*EQ13*(EQ5+EQ6))+(EQ11*EQ12))))*((EQ14*EH18)/(1-EXP(-EH18*EQ14)))</f>
        <v>0.22314351242029551</v>
      </c>
      <c r="ER2" s="500" t="s">
        <v>14</v>
      </c>
      <c r="ES2" s="504" t="s">
        <v>553</v>
      </c>
      <c r="ET2" s="502">
        <f>-ET15/((ET10*ET12*ET13*(ET5+ET6))+(ET11*ET12))</f>
        <v>-14.006971771987642</v>
      </c>
      <c r="EU2" s="514" t="s">
        <v>19</v>
      </c>
      <c r="EV2" s="512" t="s">
        <v>510</v>
      </c>
      <c r="EW2" s="510">
        <f>EW5/(EW6*EW7*EW16)</f>
        <v>4.0639728910900147E-2</v>
      </c>
      <c r="EX2" s="508" t="s">
        <v>13</v>
      </c>
      <c r="EY2" s="506" t="s">
        <v>510</v>
      </c>
      <c r="EZ2" s="494">
        <f>EW2/(EZ5*EZ6*(1/EZ7))</f>
        <v>253.99830569312584</v>
      </c>
      <c r="FA2" s="498" t="s">
        <v>14</v>
      </c>
      <c r="FB2" s="496" t="s">
        <v>510</v>
      </c>
      <c r="FC2" s="494">
        <f>(EW2/(FC9*((FC10*FC12*FC13*(FC5+FC6))+(FC11*FC12))))*CU11</f>
        <v>1.9965079505672529</v>
      </c>
      <c r="FD2" s="498" t="s">
        <v>13</v>
      </c>
      <c r="FE2" s="496" t="s">
        <v>554</v>
      </c>
      <c r="FF2" s="494">
        <f>(EW2/(FF9*((FF10*FF12*FF13*(FF5+FF6))+(FF11*FF12))))*((FF14*EW18)/(1-EXP(-EW18*FF14)))</f>
        <v>1.9965079505672529</v>
      </c>
      <c r="FG2" s="498" t="s">
        <v>14</v>
      </c>
      <c r="FH2" s="496" t="s">
        <v>553</v>
      </c>
      <c r="FI2" s="494">
        <f>-FI15/((FI10*FI12*FI13*(FI5+FI6))+(FI11*FI12))</f>
        <v>-5.1413881748071981</v>
      </c>
      <c r="FJ2" s="492" t="s">
        <v>19</v>
      </c>
      <c r="FK2" s="490" t="s">
        <v>510</v>
      </c>
      <c r="FL2" s="488">
        <f>FL5/(FL6*FL7*FL16)</f>
        <v>1.3950719290576681E-2</v>
      </c>
      <c r="FM2" s="486" t="s">
        <v>13</v>
      </c>
      <c r="FN2" s="484" t="s">
        <v>510</v>
      </c>
      <c r="FO2" s="430">
        <f>FL2/(FO5*(1/FO6))</f>
        <v>5.5802877162306726E-3</v>
      </c>
      <c r="FP2" s="428" t="s">
        <v>14</v>
      </c>
      <c r="FQ2" s="482" t="s">
        <v>510</v>
      </c>
      <c r="FR2" s="430">
        <f>((FL2*FR6)/FR5)*CU11</f>
        <v>8.5313237193165189E-5</v>
      </c>
      <c r="FS2" s="428" t="s">
        <v>13</v>
      </c>
      <c r="FT2" s="426" t="s">
        <v>554</v>
      </c>
      <c r="FU2" s="430">
        <f>((FL2*FU6)/FU5)*((FU7*FL18)/(1-EXP(-FL18*FU7)))</f>
        <v>8.5313237193165189E-5</v>
      </c>
      <c r="FV2" s="428" t="s">
        <v>14</v>
      </c>
      <c r="FW2" s="426" t="s">
        <v>553</v>
      </c>
      <c r="FX2" s="430">
        <f>-FX5/FX6</f>
        <v>-0.01</v>
      </c>
      <c r="FY2" s="438" t="s">
        <v>19</v>
      </c>
      <c r="FZ2" s="436" t="s">
        <v>510</v>
      </c>
      <c r="GA2" s="434">
        <f>GA5/(GA6*GA7*GA16)</f>
        <v>2.0301519383982065E-2</v>
      </c>
      <c r="GB2" s="432" t="s">
        <v>13</v>
      </c>
      <c r="GC2" s="458" t="s">
        <v>510</v>
      </c>
      <c r="GD2" s="417">
        <f>(GA2/(GD5*GD6*(1/GD7)))</f>
        <v>18.797703133316727</v>
      </c>
      <c r="GE2" s="421" t="s">
        <v>14</v>
      </c>
      <c r="GF2" s="419" t="s">
        <v>510</v>
      </c>
      <c r="GG2" s="417">
        <f>(GA2/((GG9)*((GG10*GG12*GG13*(GG5+GG6))+(GG11*GG12))))*CU11</f>
        <v>0.14775596103153651</v>
      </c>
      <c r="GH2" s="421" t="s">
        <v>13</v>
      </c>
      <c r="GI2" s="419" t="s">
        <v>554</v>
      </c>
      <c r="GJ2" s="417">
        <f>(GA2/((GJ9)*((GJ10*GJ12*GJ13*(GJ5+GJ6))+(GJ11*GJ12))))*((GJ14*GA18)/(1-EXP(-GA18*GJ14)))</f>
        <v>0.14775596103153651</v>
      </c>
      <c r="GK2" s="421" t="s">
        <v>14</v>
      </c>
      <c r="GL2" s="419" t="s">
        <v>553</v>
      </c>
      <c r="GM2" s="417">
        <f>-GM15/((GM10*GM12*GM13*(GM5+GM6))+(GM11*GM12))</f>
        <v>-5.1413881748071981</v>
      </c>
      <c r="GN2" s="456" t="s">
        <v>19</v>
      </c>
      <c r="GO2" s="454" t="s">
        <v>510</v>
      </c>
      <c r="GP2" s="452">
        <f>GP5/(GP6*GP7*GP15)</f>
        <v>2.2228027096196194E-2</v>
      </c>
      <c r="GQ2" s="450" t="s">
        <v>13</v>
      </c>
      <c r="GR2" s="448" t="s">
        <v>510</v>
      </c>
      <c r="GS2" s="442">
        <f>GP2/(GS5*GS6*(1/GS7))</f>
        <v>9.7491346913141186</v>
      </c>
      <c r="GT2" s="446" t="s">
        <v>14</v>
      </c>
      <c r="GU2" s="444" t="s">
        <v>510</v>
      </c>
      <c r="GV2" s="442">
        <f>(GP2/((GV9)*((GV10*GV12*GV13*(GV5+GV6))+(GV11*GV12))))*CU11</f>
        <v>0.10106145321524013</v>
      </c>
      <c r="GW2" s="446" t="s">
        <v>13</v>
      </c>
      <c r="GX2" s="444" t="s">
        <v>554</v>
      </c>
      <c r="GY2" s="442">
        <f>(GP2/((GY9)*((GY10*GY12*GY13*(GY5+GY6))+(GY11*GY12))))*((GY14*GP17)/(1-EXP(-GP17*GY14)))</f>
        <v>0.10106145321524013</v>
      </c>
      <c r="GZ2" s="446" t="s">
        <v>14</v>
      </c>
      <c r="HA2" s="444" t="s">
        <v>553</v>
      </c>
      <c r="HB2" s="442">
        <f>-HB15/((HB10*HB12*HB13*(HB5+HB6))+(HB11*HB12))</f>
        <v>-6.7804674953904707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54">
        <v>8.5099999999999995E-2</v>
      </c>
      <c r="C3" s="240"/>
      <c r="D3" s="317" t="s">
        <v>15</v>
      </c>
      <c r="E3" s="285">
        <f>1/((1/E20)+(1/E21))</f>
        <v>5.503981402091359E-2</v>
      </c>
      <c r="F3" s="253" t="s">
        <v>10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0.1037787230209492</v>
      </c>
      <c r="X3" s="254" t="s">
        <v>10</v>
      </c>
      <c r="Y3" s="321" t="s">
        <v>16</v>
      </c>
      <c r="Z3" s="358">
        <f>1/((1/Z18)+(1/Z19))</f>
        <v>9.3400850718854275E-2</v>
      </c>
      <c r="AA3" s="255" t="s">
        <v>10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42" t="s">
        <v>15</v>
      </c>
      <c r="BT3" s="340">
        <f>1/((1/BT21)+(1/BT22))</f>
        <v>6.1644591703423215</v>
      </c>
      <c r="BU3" s="250" t="s">
        <v>10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8.4625753409962683E-5</v>
      </c>
      <c r="CV3" s="71" t="s">
        <v>13</v>
      </c>
      <c r="CW3" s="326" t="s">
        <v>15</v>
      </c>
      <c r="CX3" s="117">
        <f>1/((1/CX20)+(1/CX21))</f>
        <v>3.4218821601583883E-2</v>
      </c>
      <c r="CY3" s="256" t="s">
        <v>10</v>
      </c>
      <c r="CZ3" s="338" t="s">
        <v>285</v>
      </c>
      <c r="DA3" s="336">
        <f>1/((1/DA13)+(1/DA15)+(1/DA16)+(1/DA17)+(1/DA18)+(1/DA19)+(1/DA20)+(1/DA21)+(1/DA22))</f>
        <v>5.4914734478126847E-3</v>
      </c>
      <c r="DB3" s="72" t="s">
        <v>13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2.7095061119360038</v>
      </c>
      <c r="HF3" s="252" t="s">
        <v>13</v>
      </c>
    </row>
    <row r="4" spans="1:214" ht="13.5" customHeight="1" thickBot="1" x14ac:dyDescent="0.25">
      <c r="A4" s="279" t="s">
        <v>457</v>
      </c>
      <c r="B4" s="82">
        <v>0.74199999999999999</v>
      </c>
      <c r="C4" s="242"/>
      <c r="D4" s="318" t="s">
        <v>16</v>
      </c>
      <c r="E4" s="286">
        <f>1/((1/E22)+(1/E23))</f>
        <v>7.3103290436022692E-2</v>
      </c>
      <c r="F4" s="257" t="s">
        <v>10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7.8950051880265257E-2</v>
      </c>
      <c r="X4" s="258" t="s">
        <v>10</v>
      </c>
      <c r="Y4" s="322" t="s">
        <v>15</v>
      </c>
      <c r="Z4" s="359">
        <f>1/((1/Z16)+(1/Z17))</f>
        <v>7.1055046692238735E-2</v>
      </c>
      <c r="AA4" s="259" t="s">
        <v>10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43" t="s">
        <v>16</v>
      </c>
      <c r="BT4" s="341">
        <f>1/((1/BT23)+(1/BT24))</f>
        <v>8.1875685288345412</v>
      </c>
      <c r="BU4" s="260" t="s">
        <v>10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1.4371473359150917E-2</v>
      </c>
      <c r="CV4" s="73" t="s">
        <v>13</v>
      </c>
      <c r="CW4" s="327" t="s">
        <v>16</v>
      </c>
      <c r="CX4" s="106">
        <f>1/((1/CX22)+(1/CX23))</f>
        <v>5.2314837374343282E-2</v>
      </c>
      <c r="CY4" s="261" t="s">
        <v>10</v>
      </c>
      <c r="CZ4" s="339" t="s">
        <v>11</v>
      </c>
      <c r="DA4" s="337">
        <f>1/((1/DA15)+(1/DA16)+(1/DA13))</f>
        <v>0.39217273930982038</v>
      </c>
      <c r="DB4" s="74" t="s">
        <v>13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1.6157768465373964E-2</v>
      </c>
      <c r="HF4" s="75" t="s">
        <v>13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2.7</v>
      </c>
      <c r="CQ5" s="262" t="s">
        <v>264</v>
      </c>
      <c r="CR5" s="287">
        <f>CO5</f>
        <v>2.7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0.66252863179360322</v>
      </c>
      <c r="DH5" s="249" t="s">
        <v>19</v>
      </c>
      <c r="DI5" s="262" t="s">
        <v>20</v>
      </c>
      <c r="DJ5" s="305">
        <f>DJ7</f>
        <v>2.5229999999999999E-2</v>
      </c>
      <c r="DK5" s="262"/>
      <c r="DL5" s="262" t="s">
        <v>20</v>
      </c>
      <c r="DM5" s="305">
        <f>DM7</f>
        <v>2.5229999999999999E-2</v>
      </c>
      <c r="DO5" s="249" t="s">
        <v>18</v>
      </c>
      <c r="DP5" s="118">
        <f>(DP8*DP9*DP10*((1-EXP(-DP11*DP12))))/(DP13*DP11)</f>
        <v>0.66252863179360322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4.5999999999999999E-3</v>
      </c>
      <c r="DW5" s="262"/>
      <c r="DX5" s="262" t="s">
        <v>21</v>
      </c>
      <c r="DY5" s="305">
        <f>DY7</f>
        <v>2.9000000000000001E-2</v>
      </c>
      <c r="DZ5" s="262"/>
      <c r="EA5" s="262" t="s">
        <v>21</v>
      </c>
      <c r="EB5" s="305">
        <f>EB7</f>
        <v>2.9000000000000001E-2</v>
      </c>
      <c r="EC5" s="263"/>
      <c r="ED5" s="262" t="s">
        <v>21</v>
      </c>
      <c r="EE5" s="305">
        <f>EE7</f>
        <v>2.9000000000000001E-2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2.1999999999999999E-2</v>
      </c>
      <c r="EL5" s="262"/>
      <c r="EM5" s="262" t="s">
        <v>21</v>
      </c>
      <c r="EN5" s="305">
        <f>EN7</f>
        <v>2.9000000000000001E-2</v>
      </c>
      <c r="EO5" s="262"/>
      <c r="EP5" s="262" t="s">
        <v>21</v>
      </c>
      <c r="EQ5" s="305">
        <f>EQ7</f>
        <v>2.9000000000000001E-2</v>
      </c>
      <c r="ER5" s="263"/>
      <c r="ES5" s="262" t="s">
        <v>21</v>
      </c>
      <c r="ET5" s="305">
        <f>ET7</f>
        <v>2.9000000000000001E-2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0.4</v>
      </c>
      <c r="FA5" s="262"/>
      <c r="FB5" s="262" t="s">
        <v>21</v>
      </c>
      <c r="FC5" s="305">
        <f>FC7</f>
        <v>2.9000000000000001E-2</v>
      </c>
      <c r="FD5" s="262"/>
      <c r="FE5" s="262" t="s">
        <v>21</v>
      </c>
      <c r="FF5" s="305">
        <f>FF7</f>
        <v>2.9000000000000001E-2</v>
      </c>
      <c r="FG5" s="263"/>
      <c r="FH5" s="263" t="s">
        <v>21</v>
      </c>
      <c r="FI5" s="290">
        <f>FI7</f>
        <v>2.9000000000000001E-2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2500</v>
      </c>
      <c r="FP5" s="263"/>
      <c r="FQ5" s="263" t="s">
        <v>122</v>
      </c>
      <c r="FR5" s="298">
        <f>B36</f>
        <v>2500</v>
      </c>
      <c r="FS5" s="263"/>
      <c r="FT5" s="263" t="s">
        <v>122</v>
      </c>
      <c r="FU5" s="298">
        <f>B36</f>
        <v>2500</v>
      </c>
      <c r="FV5" s="263"/>
      <c r="FW5" s="262" t="s">
        <v>181</v>
      </c>
      <c r="FX5" s="305">
        <f>B46</f>
        <v>10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2.7</v>
      </c>
      <c r="GE5" s="262"/>
      <c r="GF5" s="262" t="s">
        <v>21</v>
      </c>
      <c r="GG5" s="305">
        <f>GG7</f>
        <v>2.9000000000000001E-2</v>
      </c>
      <c r="GH5" s="262"/>
      <c r="GI5" s="262" t="s">
        <v>21</v>
      </c>
      <c r="GJ5" s="305">
        <f>GJ7</f>
        <v>2.9000000000000001E-2</v>
      </c>
      <c r="GK5" s="262"/>
      <c r="GL5" s="262" t="s">
        <v>21</v>
      </c>
      <c r="GM5" s="305">
        <f>GM7</f>
        <v>2.9000000000000001E-2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0.2</v>
      </c>
      <c r="GT5" s="262"/>
      <c r="GU5" s="262" t="s">
        <v>21</v>
      </c>
      <c r="GV5" s="305">
        <f>GV7</f>
        <v>2.9000000000000001E-2</v>
      </c>
      <c r="GW5" s="262"/>
      <c r="GX5" s="262" t="s">
        <v>21</v>
      </c>
      <c r="GY5" s="305">
        <f>GY7</f>
        <v>2.9000000000000001E-2</v>
      </c>
      <c r="GZ5" s="262"/>
      <c r="HA5" s="262" t="s">
        <v>21</v>
      </c>
      <c r="HB5" s="305">
        <f>HB7</f>
        <v>2.9000000000000001E-2</v>
      </c>
      <c r="HC5" s="263"/>
      <c r="HD5" s="265" t="s">
        <v>22</v>
      </c>
      <c r="HE5" s="293">
        <f>B47</f>
        <v>200</v>
      </c>
      <c r="HF5" s="262" t="s">
        <v>14</v>
      </c>
    </row>
    <row r="6" spans="1:214" ht="13.5" thickTop="1" x14ac:dyDescent="0.2">
      <c r="A6" s="278" t="s">
        <v>454</v>
      </c>
      <c r="B6" s="54">
        <v>4.3299999999999998E-2</v>
      </c>
      <c r="C6" s="240"/>
      <c r="D6" s="262" t="s">
        <v>23</v>
      </c>
      <c r="E6" s="288">
        <f>0.693/E7</f>
        <v>2.2972045705420805E-2</v>
      </c>
      <c r="G6" s="262" t="s">
        <v>439</v>
      </c>
      <c r="H6" s="287">
        <f>B20</f>
        <v>3.0487999999999999E-11</v>
      </c>
      <c r="I6" s="262" t="s">
        <v>35</v>
      </c>
      <c r="J6" s="262" t="s">
        <v>316</v>
      </c>
      <c r="K6" s="287">
        <f>B21</f>
        <v>4.2549999999999998E-11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2.2972045705420805E-2</v>
      </c>
      <c r="Y6" s="262" t="s">
        <v>23</v>
      </c>
      <c r="Z6" s="288">
        <f>0.693/Z7</f>
        <v>2.2972045705420805E-2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BK12</f>
        <v>1</v>
      </c>
      <c r="BR6" s="249" t="s">
        <v>69</v>
      </c>
      <c r="BS6" s="262" t="s">
        <v>23</v>
      </c>
      <c r="BT6" s="288">
        <f>0.693/BT7</f>
        <v>2.2972045705420805E-2</v>
      </c>
      <c r="BV6" s="262" t="s">
        <v>163</v>
      </c>
      <c r="BW6" s="287">
        <f>B20</f>
        <v>3.0487999999999999E-11</v>
      </c>
      <c r="BX6" s="262" t="s">
        <v>35</v>
      </c>
      <c r="BY6" s="262" t="s">
        <v>45</v>
      </c>
      <c r="BZ6" s="287">
        <f>B21</f>
        <v>4.2549999999999998E-11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3.7370000000000003E-11</v>
      </c>
      <c r="CM6" s="266" t="s">
        <v>13</v>
      </c>
      <c r="CN6" s="263" t="s">
        <v>21</v>
      </c>
      <c r="CO6" s="290">
        <f>CO8</f>
        <v>2.9000000000000001E-2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4.2549999999999998E-11</v>
      </c>
      <c r="CV6" s="262" t="s">
        <v>35</v>
      </c>
      <c r="CW6" s="262" t="s">
        <v>23</v>
      </c>
      <c r="CX6" s="288">
        <f>0.693/CX7</f>
        <v>2.2972045705420805E-2</v>
      </c>
      <c r="CZ6" s="262" t="s">
        <v>163</v>
      </c>
      <c r="DA6" s="287">
        <f>B20</f>
        <v>3.0487999999999999E-11</v>
      </c>
      <c r="DB6" s="262" t="s">
        <v>35</v>
      </c>
      <c r="DC6" s="262" t="s">
        <v>438</v>
      </c>
      <c r="DD6" s="287">
        <f>B30</f>
        <v>3.7370000000000003E-11</v>
      </c>
      <c r="DE6" s="267" t="s">
        <v>35</v>
      </c>
      <c r="DF6" s="249" t="s">
        <v>27</v>
      </c>
      <c r="DG6" s="118">
        <f>(DG8*DG9*DG14*((1-EXP(-DG11*DG12))))/(DG13*DG11)</f>
        <v>6.8274849094862002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6.8274849094862002</v>
      </c>
      <c r="DQ6" s="249" t="s">
        <v>19</v>
      </c>
      <c r="DR6" s="262" t="s">
        <v>438</v>
      </c>
      <c r="DS6" s="287">
        <f>B30</f>
        <v>3.7370000000000003E-11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3.7370000000000003E-11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3.7370000000000003E-11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3.7370000000000003E-11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10</v>
      </c>
      <c r="FS6" s="249" t="s">
        <v>19</v>
      </c>
      <c r="FT6" s="262" t="s">
        <v>181</v>
      </c>
      <c r="FU6" s="305">
        <f>B46</f>
        <v>10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3.7370000000000003E-11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3.7370000000000003E-11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1.1926725977251162</v>
      </c>
      <c r="HF6" s="262" t="s">
        <v>14</v>
      </c>
    </row>
    <row r="7" spans="1:214" x14ac:dyDescent="0.2">
      <c r="A7" s="279" t="s">
        <v>455</v>
      </c>
      <c r="B7" s="70">
        <v>0.65300000000000002</v>
      </c>
      <c r="C7" s="241"/>
      <c r="D7" s="266" t="s">
        <v>270</v>
      </c>
      <c r="E7" s="287">
        <f>B31</f>
        <v>30.167100000000001</v>
      </c>
      <c r="F7" s="249" t="s">
        <v>69</v>
      </c>
      <c r="G7" s="262" t="s">
        <v>43</v>
      </c>
      <c r="H7" s="290">
        <f>B19</f>
        <v>1.1248E-10</v>
      </c>
      <c r="I7" s="263" t="s">
        <v>35</v>
      </c>
      <c r="J7" s="262" t="s">
        <v>43</v>
      </c>
      <c r="K7" s="290">
        <f>B19</f>
        <v>1.1248E-10</v>
      </c>
      <c r="L7" s="263" t="s">
        <v>35</v>
      </c>
      <c r="M7" s="262" t="s">
        <v>23</v>
      </c>
      <c r="N7" s="288">
        <f>0.693/N8</f>
        <v>2.2972045705420805E-2</v>
      </c>
      <c r="P7" s="262" t="s">
        <v>23</v>
      </c>
      <c r="Q7" s="288">
        <f>0.693/Q8</f>
        <v>2.2972045705420805E-2</v>
      </c>
      <c r="S7" s="262" t="s">
        <v>23</v>
      </c>
      <c r="T7" s="288">
        <f>0.693/T8</f>
        <v>2.2972045705420805E-2</v>
      </c>
      <c r="V7" s="266" t="s">
        <v>270</v>
      </c>
      <c r="W7" s="287">
        <f>B31</f>
        <v>30.167100000000001</v>
      </c>
      <c r="X7" s="249" t="s">
        <v>69</v>
      </c>
      <c r="Y7" s="266" t="s">
        <v>270</v>
      </c>
      <c r="Z7" s="287">
        <f>B31</f>
        <v>30.167100000000001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2.2972045705420805E-2</v>
      </c>
      <c r="AL7" s="262" t="s">
        <v>23</v>
      </c>
      <c r="AM7" s="288">
        <f>0.693/AM8</f>
        <v>2.2972045705420805E-2</v>
      </c>
      <c r="AO7" s="262" t="s">
        <v>23</v>
      </c>
      <c r="AP7" s="288">
        <f>0.693/AP8</f>
        <v>2.2972045705420805E-2</v>
      </c>
      <c r="AR7" s="262" t="s">
        <v>23</v>
      </c>
      <c r="AS7" s="288">
        <f>0.693/AS8</f>
        <v>2.2972045705420805E-2</v>
      </c>
      <c r="AU7" s="262" t="s">
        <v>23</v>
      </c>
      <c r="AV7" s="288">
        <f>0.693/AV8</f>
        <v>2.2972045705420805E-2</v>
      </c>
      <c r="AX7" s="262" t="s">
        <v>23</v>
      </c>
      <c r="AY7" s="288">
        <f>0.693/AY8</f>
        <v>2.2972045705420805E-2</v>
      </c>
      <c r="BA7" s="262" t="s">
        <v>23</v>
      </c>
      <c r="BB7" s="288">
        <f>0.693/BB8</f>
        <v>2.2972045705420805E-2</v>
      </c>
      <c r="BD7" s="262" t="s">
        <v>23</v>
      </c>
      <c r="BE7" s="288">
        <f>0.693/BE8</f>
        <v>2.2972045705420805E-2</v>
      </c>
      <c r="BG7" s="262" t="s">
        <v>23</v>
      </c>
      <c r="BH7" s="288">
        <f>0.693/BH8</f>
        <v>2.2972045705420805E-2</v>
      </c>
      <c r="BJ7" s="262" t="s">
        <v>23</v>
      </c>
      <c r="BK7" s="288">
        <f>0.693/BK8</f>
        <v>2.2972045705420805E-2</v>
      </c>
      <c r="BM7" s="262" t="s">
        <v>23</v>
      </c>
      <c r="BN7" s="288">
        <f>0.693/BN8</f>
        <v>2.2972045705420805E-2</v>
      </c>
      <c r="BP7" s="262" t="s">
        <v>23</v>
      </c>
      <c r="BQ7" s="288">
        <f>0.693/BQ8</f>
        <v>2.2972045705420805E-2</v>
      </c>
      <c r="BS7" s="266" t="s">
        <v>270</v>
      </c>
      <c r="BT7" s="287">
        <f>B31</f>
        <v>30.167100000000001</v>
      </c>
      <c r="BU7" s="249" t="s">
        <v>69</v>
      </c>
      <c r="BV7" s="262" t="s">
        <v>43</v>
      </c>
      <c r="BW7" s="290">
        <f>E10</f>
        <v>1.1248E-10</v>
      </c>
      <c r="BX7" s="263" t="s">
        <v>35</v>
      </c>
      <c r="BY7" s="262" t="s">
        <v>43</v>
      </c>
      <c r="BZ7" s="290">
        <f>B19</f>
        <v>1.1248E-10</v>
      </c>
      <c r="CA7" s="263" t="s">
        <v>35</v>
      </c>
      <c r="CB7" s="262" t="s">
        <v>23</v>
      </c>
      <c r="CC7" s="288">
        <f>0.693/CC8</f>
        <v>2.2972045705420805E-2</v>
      </c>
      <c r="CE7" s="262" t="s">
        <v>23</v>
      </c>
      <c r="CF7" s="288">
        <f>0.693/CF8</f>
        <v>2.2972045705420805E-2</v>
      </c>
      <c r="CH7" s="262" t="s">
        <v>23</v>
      </c>
      <c r="CI7" s="288">
        <f>0.693/CI8</f>
        <v>2.2972045705420805E-2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1.1248E-10</v>
      </c>
      <c r="CV7" s="263" t="s">
        <v>35</v>
      </c>
      <c r="CW7" s="266" t="s">
        <v>270</v>
      </c>
      <c r="CX7" s="287">
        <f>B31</f>
        <v>30.167100000000001</v>
      </c>
      <c r="CY7" s="249" t="s">
        <v>69</v>
      </c>
      <c r="CZ7" s="263" t="s">
        <v>43</v>
      </c>
      <c r="DA7" s="290">
        <f>B19</f>
        <v>1.1248E-10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3.6385326157733249</v>
      </c>
      <c r="DH7" s="249" t="s">
        <v>19</v>
      </c>
      <c r="DI7" s="262" t="s">
        <v>37</v>
      </c>
      <c r="DJ7" s="287">
        <f>B44</f>
        <v>2.5229999999999999E-2</v>
      </c>
      <c r="DL7" s="262" t="s">
        <v>37</v>
      </c>
      <c r="DM7" s="287">
        <f>B44</f>
        <v>2.5229999999999999E-2</v>
      </c>
      <c r="DO7" s="249" t="s">
        <v>36</v>
      </c>
      <c r="DP7" s="118">
        <f>(DP8*DP9*DP15*DP21*((1-EXP(-DP16*DP17))))/(DP18*DP16)</f>
        <v>3.6385326157733249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2.9000000000000001E-2</v>
      </c>
      <c r="EA7" s="262" t="s">
        <v>38</v>
      </c>
      <c r="EB7" s="287">
        <f>B45</f>
        <v>2.9000000000000001E-2</v>
      </c>
      <c r="EC7" s="263"/>
      <c r="ED7" s="262" t="s">
        <v>38</v>
      </c>
      <c r="EE7" s="287">
        <f>B45</f>
        <v>2.9000000000000001E-2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2.9000000000000001E-2</v>
      </c>
      <c r="EP7" s="262" t="s">
        <v>38</v>
      </c>
      <c r="EQ7" s="287">
        <f>B45</f>
        <v>2.9000000000000001E-2</v>
      </c>
      <c r="ER7" s="263"/>
      <c r="ES7" s="262" t="s">
        <v>38</v>
      </c>
      <c r="ET7" s="287">
        <f>B45</f>
        <v>2.9000000000000001E-2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2.9000000000000001E-2</v>
      </c>
      <c r="FD7" s="262"/>
      <c r="FE7" s="262" t="s">
        <v>38</v>
      </c>
      <c r="FF7" s="305">
        <f>B45</f>
        <v>2.9000000000000001E-2</v>
      </c>
      <c r="FG7" s="263"/>
      <c r="FH7" s="263" t="s">
        <v>38</v>
      </c>
      <c r="FI7" s="290">
        <f>B45</f>
        <v>2.9000000000000001E-2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2.9000000000000001E-2</v>
      </c>
      <c r="GH7" s="262"/>
      <c r="GI7" s="262" t="s">
        <v>38</v>
      </c>
      <c r="GJ7" s="305">
        <f>B45</f>
        <v>2.9000000000000001E-2</v>
      </c>
      <c r="GK7" s="262"/>
      <c r="GL7" s="262" t="s">
        <v>38</v>
      </c>
      <c r="GM7" s="305">
        <f>B45</f>
        <v>2.9000000000000001E-2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2.9000000000000001E-2</v>
      </c>
      <c r="GW7" s="262"/>
      <c r="GX7" s="262" t="s">
        <v>38</v>
      </c>
      <c r="GY7" s="305">
        <f>B45</f>
        <v>2.9000000000000001E-2</v>
      </c>
      <c r="GZ7" s="262"/>
      <c r="HA7" s="262" t="s">
        <v>38</v>
      </c>
      <c r="HB7" s="305">
        <f>B45</f>
        <v>2.9000000000000001E-2</v>
      </c>
      <c r="HC7" s="263"/>
      <c r="HD7" s="262" t="s">
        <v>23</v>
      </c>
      <c r="HE7" s="288">
        <f>0.693/HE8</f>
        <v>2.2972045705420805E-2</v>
      </c>
    </row>
    <row r="8" spans="1:214" x14ac:dyDescent="0.2">
      <c r="A8" s="279" t="s">
        <v>458</v>
      </c>
      <c r="B8" s="70">
        <v>5.0099999999999999E-2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5.1609299040000001E-12</v>
      </c>
      <c r="I8" s="263" t="s">
        <v>35</v>
      </c>
      <c r="J8" s="262" t="s">
        <v>71</v>
      </c>
      <c r="K8" s="287">
        <f>B23</f>
        <v>2.5337597040000001E-6</v>
      </c>
      <c r="L8" s="262" t="s">
        <v>445</v>
      </c>
      <c r="M8" s="266" t="s">
        <v>270</v>
      </c>
      <c r="N8" s="287">
        <f>B31</f>
        <v>30.167100000000001</v>
      </c>
      <c r="O8" s="249" t="s">
        <v>69</v>
      </c>
      <c r="P8" s="266" t="s">
        <v>270</v>
      </c>
      <c r="Q8" s="287">
        <f>B31</f>
        <v>30.167100000000001</v>
      </c>
      <c r="R8" s="249" t="s">
        <v>69</v>
      </c>
      <c r="S8" s="266" t="s">
        <v>270</v>
      </c>
      <c r="T8" s="287">
        <f>B31</f>
        <v>30.167100000000001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30.167100000000001</v>
      </c>
      <c r="AK8" s="249" t="s">
        <v>69</v>
      </c>
      <c r="AL8" s="266" t="s">
        <v>270</v>
      </c>
      <c r="AM8" s="287">
        <f>B31</f>
        <v>30.167100000000001</v>
      </c>
      <c r="AN8" s="249" t="s">
        <v>69</v>
      </c>
      <c r="AO8" s="266" t="s">
        <v>270</v>
      </c>
      <c r="AP8" s="287">
        <f>B31</f>
        <v>30.167100000000001</v>
      </c>
      <c r="AQ8" s="249" t="s">
        <v>69</v>
      </c>
      <c r="AR8" s="266" t="s">
        <v>270</v>
      </c>
      <c r="AS8" s="287">
        <f>B31</f>
        <v>30.167100000000001</v>
      </c>
      <c r="AT8" s="249" t="s">
        <v>69</v>
      </c>
      <c r="AU8" s="266" t="s">
        <v>270</v>
      </c>
      <c r="AV8" s="287">
        <f>B31</f>
        <v>30.167100000000001</v>
      </c>
      <c r="AW8" s="249" t="s">
        <v>69</v>
      </c>
      <c r="AX8" s="266" t="s">
        <v>270</v>
      </c>
      <c r="AY8" s="287">
        <f>B31</f>
        <v>30.167100000000001</v>
      </c>
      <c r="AZ8" s="249" t="s">
        <v>69</v>
      </c>
      <c r="BA8" s="266" t="s">
        <v>270</v>
      </c>
      <c r="BB8" s="287">
        <f>B31</f>
        <v>30.167100000000001</v>
      </c>
      <c r="BC8" s="249" t="s">
        <v>69</v>
      </c>
      <c r="BD8" s="266" t="s">
        <v>270</v>
      </c>
      <c r="BE8" s="287">
        <f>B31</f>
        <v>30.167100000000001</v>
      </c>
      <c r="BF8" s="249" t="s">
        <v>69</v>
      </c>
      <c r="BG8" s="266" t="s">
        <v>270</v>
      </c>
      <c r="BH8" s="287">
        <f>B31</f>
        <v>30.167100000000001</v>
      </c>
      <c r="BI8" s="249" t="s">
        <v>69</v>
      </c>
      <c r="BJ8" s="266" t="s">
        <v>270</v>
      </c>
      <c r="BK8" s="287">
        <f>B31</f>
        <v>30.167100000000001</v>
      </c>
      <c r="BL8" s="249" t="s">
        <v>69</v>
      </c>
      <c r="BM8" s="266" t="s">
        <v>270</v>
      </c>
      <c r="BN8" s="287">
        <f>B31</f>
        <v>30.167100000000001</v>
      </c>
      <c r="BO8" s="249" t="s">
        <v>69</v>
      </c>
      <c r="BP8" s="266" t="s">
        <v>270</v>
      </c>
      <c r="BQ8" s="287">
        <f>B31</f>
        <v>30.167100000000001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5.1609299040000001E-12</v>
      </c>
      <c r="BX8" s="263" t="s">
        <v>35</v>
      </c>
      <c r="BY8" s="262" t="s">
        <v>71</v>
      </c>
      <c r="BZ8" s="287">
        <f>B23</f>
        <v>2.5337597040000001E-6</v>
      </c>
      <c r="CA8" s="262" t="s">
        <v>95</v>
      </c>
      <c r="CB8" s="266" t="s">
        <v>270</v>
      </c>
      <c r="CC8" s="287">
        <f>B31</f>
        <v>30.167100000000001</v>
      </c>
      <c r="CD8" s="249" t="s">
        <v>69</v>
      </c>
      <c r="CE8" s="266" t="s">
        <v>270</v>
      </c>
      <c r="CF8" s="287">
        <f>B31</f>
        <v>30.167100000000001</v>
      </c>
      <c r="CG8" s="249" t="s">
        <v>69</v>
      </c>
      <c r="CH8" s="266" t="s">
        <v>270</v>
      </c>
      <c r="CI8" s="287">
        <f>B31</f>
        <v>30.167100000000001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2.9000000000000001E-2</v>
      </c>
      <c r="CT8" s="262" t="s">
        <v>71</v>
      </c>
      <c r="CU8" s="287">
        <f>B23</f>
        <v>2.5337597040000001E-6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5.1609299040000001E-12</v>
      </c>
      <c r="DB8" s="262" t="s">
        <v>35</v>
      </c>
      <c r="DC8" s="262" t="s">
        <v>380</v>
      </c>
      <c r="DD8" s="297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30.167100000000001</v>
      </c>
      <c r="HF8" s="249" t="s">
        <v>69</v>
      </c>
    </row>
    <row r="9" spans="1:214" x14ac:dyDescent="0.2">
      <c r="A9" s="279" t="s">
        <v>459</v>
      </c>
      <c r="B9" s="70">
        <v>0.72599999999999998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3.7370000000000003E-11</v>
      </c>
      <c r="I9" s="267" t="s">
        <v>35</v>
      </c>
      <c r="J9" s="262" t="s">
        <v>438</v>
      </c>
      <c r="K9" s="287">
        <f>B30</f>
        <v>3.7370000000000003E-11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3.1782999999999999E-11</v>
      </c>
      <c r="AD9" s="287">
        <f>B22</f>
        <v>3.1782999999999999E-11</v>
      </c>
      <c r="AE9" s="287">
        <f>B22</f>
        <v>3.1782999999999999E-11</v>
      </c>
      <c r="AF9" s="287">
        <f>B22</f>
        <v>3.1782999999999999E-11</v>
      </c>
      <c r="AG9" s="287">
        <f>B22</f>
        <v>3.1782999999999999E-11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3.7370000000000003E-11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331</v>
      </c>
      <c r="CO9" s="306">
        <f>B49</f>
        <v>0.25</v>
      </c>
      <c r="CT9" s="262" t="s">
        <v>256</v>
      </c>
      <c r="CU9" s="287">
        <f>B30</f>
        <v>3.7370000000000003E-11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3.7370000000000003E-11</v>
      </c>
      <c r="DB9" s="263" t="s">
        <v>35</v>
      </c>
      <c r="DC9" s="262" t="s">
        <v>381</v>
      </c>
      <c r="DD9" s="297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4.5999999999999999E-3</v>
      </c>
      <c r="EA9" s="262" t="s">
        <v>278</v>
      </c>
      <c r="EB9" s="287">
        <f>B37</f>
        <v>4.5999999999999999E-3</v>
      </c>
      <c r="EC9" s="263"/>
      <c r="ED9" s="262" t="s">
        <v>278</v>
      </c>
      <c r="EE9" s="287">
        <f>B37</f>
        <v>4.5999999999999999E-3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2.1999999999999999E-2</v>
      </c>
      <c r="EP9" s="262" t="s">
        <v>275</v>
      </c>
      <c r="EQ9" s="310">
        <f>B38</f>
        <v>2.1999999999999999E-2</v>
      </c>
      <c r="ER9" s="263"/>
      <c r="ES9" s="262" t="s">
        <v>275</v>
      </c>
      <c r="ET9" s="310">
        <f>B38</f>
        <v>2.1999999999999999E-2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0.4</v>
      </c>
      <c r="FD9" s="262"/>
      <c r="FE9" s="262" t="s">
        <v>201</v>
      </c>
      <c r="FF9" s="310">
        <f>B40</f>
        <v>0.4</v>
      </c>
      <c r="FG9" s="263"/>
      <c r="FH9" s="262" t="s">
        <v>201</v>
      </c>
      <c r="FI9" s="310">
        <f>B40</f>
        <v>0.4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2.7</v>
      </c>
      <c r="GH9" s="262"/>
      <c r="GI9" s="262" t="s">
        <v>276</v>
      </c>
      <c r="GJ9" s="310">
        <f>B39</f>
        <v>2.7</v>
      </c>
      <c r="GK9" s="262"/>
      <c r="GL9" s="262" t="s">
        <v>276</v>
      </c>
      <c r="GM9" s="310">
        <f>B39</f>
        <v>2.7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0.2</v>
      </c>
      <c r="GW9" s="262"/>
      <c r="GX9" s="262" t="s">
        <v>277</v>
      </c>
      <c r="GY9" s="310">
        <f>B41</f>
        <v>0.2</v>
      </c>
      <c r="GZ9" s="262"/>
      <c r="HA9" s="262" t="s">
        <v>277</v>
      </c>
      <c r="HB9" s="310">
        <f>B41</f>
        <v>0.2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7.2400000000000006E-2</v>
      </c>
      <c r="C10" s="241"/>
      <c r="D10" s="88" t="s">
        <v>43</v>
      </c>
      <c r="E10" s="187">
        <f>B19</f>
        <v>1.1248E-10</v>
      </c>
      <c r="F10" s="188" t="s">
        <v>35</v>
      </c>
      <c r="G10" s="266" t="s">
        <v>80</v>
      </c>
      <c r="H10" s="294">
        <f>H5/(H6*H15)</f>
        <v>1.7138567290909961</v>
      </c>
      <c r="I10" s="271" t="s">
        <v>14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1.1248E-10</v>
      </c>
      <c r="X10" s="263" t="s">
        <v>44</v>
      </c>
      <c r="Y10" s="249" t="s">
        <v>43</v>
      </c>
      <c r="Z10" s="290">
        <f>B19</f>
        <v>1.1248E-10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1.1248E-10</v>
      </c>
      <c r="BU10" s="263" t="s">
        <v>35</v>
      </c>
      <c r="BV10" s="266" t="s">
        <v>80</v>
      </c>
      <c r="BW10" s="294">
        <f>BW5/(BW6*BW12)</f>
        <v>336.4081033983947</v>
      </c>
      <c r="BX10" s="271" t="s">
        <v>12</v>
      </c>
      <c r="BY10" s="188" t="s">
        <v>16</v>
      </c>
      <c r="BZ10" s="191">
        <f>(BZ33*BZ11)/(1-EXP(-BZ11*BZ33))</f>
        <v>1.3281892705568645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266" t="s">
        <v>270</v>
      </c>
      <c r="CL10" s="287">
        <f>B31</f>
        <v>30.167100000000001</v>
      </c>
      <c r="CM10" s="249" t="s">
        <v>69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1.1248E-10</v>
      </c>
      <c r="CY10" s="263" t="s">
        <v>35</v>
      </c>
      <c r="CZ10" s="263" t="s">
        <v>16</v>
      </c>
      <c r="DA10" s="288">
        <f>(DA38*DA11)/(1-EXP(-DA11*DA38))</f>
        <v>1.5288322310877529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2.5229999999999999E-2</v>
      </c>
      <c r="DL10" s="267"/>
      <c r="DO10" s="267" t="s">
        <v>37</v>
      </c>
      <c r="DP10" s="287">
        <f>B44</f>
        <v>2.5229999999999999E-2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0.73599999999999999</v>
      </c>
      <c r="C11" s="241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H5/(H7*H16*H28)</f>
        <v>0.11044061387310816</v>
      </c>
      <c r="I11" s="271" t="s">
        <v>14</v>
      </c>
      <c r="J11" s="188" t="s">
        <v>16</v>
      </c>
      <c r="K11" s="109">
        <f>(K46*K12)/(1-EXP(-K12*K46))</f>
        <v>1.3281892705568645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BW5/(BW8*(1/BW31)*BW15)</f>
        <v>870445.39954435546</v>
      </c>
      <c r="BX11" s="271" t="s">
        <v>12</v>
      </c>
      <c r="BY11" s="266" t="s">
        <v>23</v>
      </c>
      <c r="BZ11" s="109">
        <f>0.693/BZ12</f>
        <v>2.2972045705420805E-2</v>
      </c>
      <c r="CA11" s="88"/>
      <c r="CB11" s="249" t="s">
        <v>456</v>
      </c>
      <c r="CC11" s="287">
        <f>B3</f>
        <v>8.5099999999999995E-2</v>
      </c>
      <c r="CE11" s="249" t="s">
        <v>454</v>
      </c>
      <c r="CF11" s="287">
        <f>B6</f>
        <v>4.3299999999999998E-2</v>
      </c>
      <c r="CH11" s="249" t="s">
        <v>460</v>
      </c>
      <c r="CI11" s="287">
        <f>B10</f>
        <v>7.2400000000000006E-2</v>
      </c>
      <c r="CK11" s="249" t="s">
        <v>23</v>
      </c>
      <c r="CL11" s="288">
        <f>0.693/CL10</f>
        <v>2.2972045705420805E-2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1.5288322310877529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2.2972045705420805E-2</v>
      </c>
      <c r="DC11" s="262" t="s">
        <v>382</v>
      </c>
      <c r="DD11" s="297">
        <f>B141</f>
        <v>41.7</v>
      </c>
      <c r="DE11" s="267" t="s">
        <v>254</v>
      </c>
      <c r="DF11" s="267" t="s">
        <v>55</v>
      </c>
      <c r="DG11" s="288">
        <f>DG19+DG20</f>
        <v>8.9999999999999992E-5</v>
      </c>
      <c r="DL11" s="267"/>
      <c r="DO11" s="267" t="s">
        <v>55</v>
      </c>
      <c r="DP11" s="288">
        <f>DP19+DP20</f>
        <v>8.9999999999999992E-5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2.6599999999999999E-2</v>
      </c>
      <c r="C12" s="241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H5/(H8*(1/H45)*H21)</f>
        <v>278074.79179415025</v>
      </c>
      <c r="I12" s="271" t="s">
        <v>14</v>
      </c>
      <c r="J12" s="266" t="s">
        <v>23</v>
      </c>
      <c r="K12" s="109">
        <f>0.693/K13</f>
        <v>2.2972045705420805E-2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30.167100000000001</v>
      </c>
      <c r="CA12" s="88" t="s">
        <v>69</v>
      </c>
      <c r="CB12" s="249" t="s">
        <v>457</v>
      </c>
      <c r="CC12" s="287">
        <f>B4</f>
        <v>0.74199999999999999</v>
      </c>
      <c r="CE12" s="249" t="s">
        <v>455</v>
      </c>
      <c r="CF12" s="287">
        <f>B7</f>
        <v>0.65300000000000002</v>
      </c>
      <c r="CH12" s="249" t="s">
        <v>461</v>
      </c>
      <c r="CI12" s="287">
        <f>B11</f>
        <v>0.73599999999999999</v>
      </c>
      <c r="CK12" s="249" t="s">
        <v>16</v>
      </c>
      <c r="CL12" s="288">
        <f>(CL13*CL11)/(1-EXP(-CL11*CL13))</f>
        <v>1.3281892705568645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2.2972045705420805E-2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30.167100000000001</v>
      </c>
      <c r="DB12" s="249" t="s">
        <v>69</v>
      </c>
      <c r="DC12" s="262" t="s">
        <v>383</v>
      </c>
      <c r="DD12" s="297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0.46500000000000002</v>
      </c>
      <c r="C13" s="242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>
        <f>H14/((1/H42)*(H50+H51+H52))</f>
        <v>3.9220280591988157</v>
      </c>
      <c r="I13" s="271" t="s">
        <v>14</v>
      </c>
      <c r="J13" s="266" t="s">
        <v>270</v>
      </c>
      <c r="K13" s="189">
        <f>B31</f>
        <v>30.167100000000001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8.5099999999999995E-2</v>
      </c>
      <c r="BM13" s="249" t="s">
        <v>454</v>
      </c>
      <c r="BN13" s="287">
        <f>B6</f>
        <v>4.3299999999999998E-2</v>
      </c>
      <c r="BP13" s="249" t="s">
        <v>460</v>
      </c>
      <c r="BQ13" s="287">
        <f>B10</f>
        <v>7.2400000000000006E-2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>
        <f>(BZ5/(BZ6*BZ16*(1/BZ36)))*BZ10</f>
        <v>130.06162069691192</v>
      </c>
      <c r="CA13" s="271" t="s">
        <v>13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111</v>
      </c>
      <c r="CL13" s="289">
        <f>B109</f>
        <v>26</v>
      </c>
      <c r="CM13" s="249" t="s">
        <v>69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30.167100000000001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>
        <f>DA5/(DA6*DA23)</f>
        <v>1.0449786568543227</v>
      </c>
      <c r="DB13" s="266" t="s">
        <v>14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thickTop="1" x14ac:dyDescent="0.2">
      <c r="A14" s="583" t="s">
        <v>272</v>
      </c>
      <c r="B14" s="584"/>
      <c r="C14" s="685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>
        <f>H5/(H9*(H22+H25)*H43)</f>
        <v>4.3646470286051522E-2</v>
      </c>
      <c r="I14" s="271" t="s">
        <v>13</v>
      </c>
      <c r="J14" s="266" t="s">
        <v>80</v>
      </c>
      <c r="K14" s="294">
        <f>(K5/(K6*K19*(1/K49)))*K11</f>
        <v>27.870347292195412</v>
      </c>
      <c r="L14" s="271" t="s">
        <v>13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2.381967648E-9</v>
      </c>
      <c r="X14" s="262" t="s">
        <v>64</v>
      </c>
      <c r="Y14" s="262" t="s">
        <v>63</v>
      </c>
      <c r="Z14" s="287">
        <f>B28</f>
        <v>2.381967648E-9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0.74199999999999999</v>
      </c>
      <c r="BM14" s="249" t="s">
        <v>455</v>
      </c>
      <c r="BN14" s="287">
        <f>B7</f>
        <v>0.65300000000000002</v>
      </c>
      <c r="BP14" s="249" t="s">
        <v>461</v>
      </c>
      <c r="BQ14" s="287">
        <f>B11</f>
        <v>0.73599999999999999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(BZ5/(BZ7*BZ17*(1/BZ9)*BZ35))*BZ10</f>
        <v>11166223.914908959</v>
      </c>
      <c r="CA14" s="271" t="s">
        <v>13</v>
      </c>
      <c r="CB14" s="249" t="s">
        <v>71</v>
      </c>
      <c r="CC14" s="290">
        <f>B23</f>
        <v>2.5337597040000001E-6</v>
      </c>
      <c r="CD14" s="263" t="s">
        <v>72</v>
      </c>
      <c r="CE14" s="249" t="s">
        <v>71</v>
      </c>
      <c r="CF14" s="290">
        <f>B25</f>
        <v>5.1749414784E-7</v>
      </c>
      <c r="CG14" s="263" t="s">
        <v>72</v>
      </c>
      <c r="CH14" s="249" t="s">
        <v>71</v>
      </c>
      <c r="CI14" s="290">
        <f>B27</f>
        <v>2.2652045279999998E-6</v>
      </c>
      <c r="CJ14" s="263" t="s">
        <v>72</v>
      </c>
      <c r="CK14" s="263"/>
      <c r="CL14" s="307"/>
      <c r="CM14" s="263"/>
      <c r="CO14" s="308"/>
      <c r="CQ14" s="263"/>
      <c r="CR14" s="307"/>
      <c r="CS14" s="263"/>
      <c r="CT14" s="266" t="s">
        <v>80</v>
      </c>
      <c r="CU14" s="294">
        <f>(CU5/(CU6*CU24*(1/CU47)))*CU11</f>
        <v>22.31692683197339</v>
      </c>
      <c r="CV14" s="271" t="s">
        <v>13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DA5/(DA7*DA24*DA46)</f>
        <v>6.8652273488688853E-2</v>
      </c>
      <c r="DB14" s="266" t="s">
        <v>14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(K5/(K7*K20*(1/K10)*K48))*K11</f>
        <v>99698.427811687143</v>
      </c>
      <c r="L15" s="271" t="s">
        <v>13</v>
      </c>
      <c r="M15" s="249" t="s">
        <v>448</v>
      </c>
      <c r="N15" s="290">
        <f>B23</f>
        <v>2.5337597040000001E-6</v>
      </c>
      <c r="O15" s="263" t="s">
        <v>446</v>
      </c>
      <c r="P15" s="249" t="s">
        <v>449</v>
      </c>
      <c r="Q15" s="290">
        <f>B25</f>
        <v>5.1749414784E-7</v>
      </c>
      <c r="R15" s="263" t="s">
        <v>446</v>
      </c>
      <c r="S15" s="249" t="s">
        <v>453</v>
      </c>
      <c r="T15" s="290">
        <f>B27</f>
        <v>2.2652045279999998E-6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2.5337597040000001E-6</v>
      </c>
      <c r="AK15" s="263" t="s">
        <v>72</v>
      </c>
      <c r="AL15" s="262" t="s">
        <v>449</v>
      </c>
      <c r="AM15" s="290">
        <f>B25</f>
        <v>5.1749414784E-7</v>
      </c>
      <c r="AN15" s="263" t="s">
        <v>72</v>
      </c>
      <c r="AO15" s="262" t="s">
        <v>452</v>
      </c>
      <c r="AP15" s="290">
        <f>B27</f>
        <v>2.2652045279999998E-6</v>
      </c>
      <c r="AQ15" s="263" t="s">
        <v>72</v>
      </c>
      <c r="AR15" s="249" t="s">
        <v>448</v>
      </c>
      <c r="AS15" s="290">
        <f>B23</f>
        <v>2.5337597040000001E-6</v>
      </c>
      <c r="AT15" s="263" t="s">
        <v>72</v>
      </c>
      <c r="AU15" s="262" t="s">
        <v>449</v>
      </c>
      <c r="AV15" s="290">
        <f>B25</f>
        <v>5.1749414784E-7</v>
      </c>
      <c r="AW15" s="263" t="s">
        <v>72</v>
      </c>
      <c r="AX15" s="262" t="s">
        <v>452</v>
      </c>
      <c r="AY15" s="290">
        <f>B27</f>
        <v>2.2652045279999998E-6</v>
      </c>
      <c r="AZ15" s="263" t="s">
        <v>72</v>
      </c>
      <c r="BA15" s="249" t="s">
        <v>448</v>
      </c>
      <c r="BB15" s="290">
        <f>B23</f>
        <v>2.5337597040000001E-6</v>
      </c>
      <c r="BC15" s="263" t="s">
        <v>72</v>
      </c>
      <c r="BD15" s="262" t="s">
        <v>449</v>
      </c>
      <c r="BE15" s="290">
        <f>B25</f>
        <v>5.1749414784E-7</v>
      </c>
      <c r="BF15" s="263" t="s">
        <v>72</v>
      </c>
      <c r="BG15" s="262" t="s">
        <v>452</v>
      </c>
      <c r="BH15" s="290">
        <f>B27</f>
        <v>2.2652045279999998E-6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((BZ5)/(BZ8*BZ22*(1/BZ34)*BZ25*BZ28*(1/24)*BZ31*BZ32))*BZ10</f>
        <v>37.293279152123056</v>
      </c>
      <c r="CA15" s="271" t="s">
        <v>13</v>
      </c>
      <c r="CT15" s="266" t="s">
        <v>74</v>
      </c>
      <c r="CU15" s="295">
        <f>(CU5/(CU7*CU25*(1/CU10)*CU46))*CU11</f>
        <v>71336.908435796067</v>
      </c>
      <c r="CV15" s="271" t="s">
        <v>13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DA5/(DA8*DA25*(DA47/DA48))</f>
        <v>177122.87687691674</v>
      </c>
      <c r="DB15" s="266" t="s">
        <v>14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s="51" customFormat="1" x14ac:dyDescent="0.2">
      <c r="A16" s="585"/>
      <c r="B16" s="586"/>
      <c r="C16" s="6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(K5/(K8*K45*((K40*K44*(1/24))+(K41*K43*(1/24)))*K32*(1/K47)*K34))*K11</f>
        <v>6.0662102192664678E-2</v>
      </c>
      <c r="L16" s="271" t="s">
        <v>13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(W5)/((W11/W12)*W8*W9*W10*W13)</f>
        <v>7.9026394815868498E-2</v>
      </c>
      <c r="X16" s="88" t="s">
        <v>15</v>
      </c>
      <c r="Y16" s="88" t="s">
        <v>74</v>
      </c>
      <c r="Z16" s="294">
        <f>(Z5)/((Z11/Z12)*Z8*Z9*Z10*Z13)</f>
        <v>7.1123755334281655E-2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8.5099999999999995E-2</v>
      </c>
      <c r="AG16" s="305">
        <f>B3</f>
        <v>8.5099999999999995E-2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2.5337597040000001E-6</v>
      </c>
      <c r="BL16" s="263" t="s">
        <v>72</v>
      </c>
      <c r="BM16" s="262" t="s">
        <v>449</v>
      </c>
      <c r="BN16" s="290">
        <f>B25</f>
        <v>5.1749414784E-7</v>
      </c>
      <c r="BO16" s="263" t="s">
        <v>72</v>
      </c>
      <c r="BP16" s="262" t="s">
        <v>452</v>
      </c>
      <c r="BQ16" s="290">
        <f>B27</f>
        <v>2.2652045279999998E-6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2"/>
      <c r="CC16" s="293"/>
      <c r="CD16" s="262"/>
      <c r="CE16" s="262"/>
      <c r="CF16" s="293"/>
      <c r="CG16" s="262"/>
      <c r="CH16" s="249"/>
      <c r="CI16" s="289"/>
      <c r="CJ16" s="249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(CU5*CU44*CU12)/((1-EXP(-CU12*CU44))*CU8*CU31*(1/365)*CU32*((CU38*(1/24)*CU42)+(CU39*(1/24)*CU41))*CU43)</f>
        <v>2.3346846457277817E-2</v>
      </c>
      <c r="CV16" s="271" t="s">
        <v>13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>
        <f>DG2</f>
        <v>0.62777248773721772</v>
      </c>
      <c r="DB16" s="266" t="s">
        <v>14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4.9562999999999996E-2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4.9562999999999996E-2</v>
      </c>
      <c r="DQ16" s="262" t="s">
        <v>82</v>
      </c>
      <c r="DR16" s="267" t="s">
        <v>400</v>
      </c>
      <c r="DS16" s="297">
        <f>B175</f>
        <v>1</v>
      </c>
      <c r="DT16" s="249"/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4.9562999999999996E-2</v>
      </c>
      <c r="EF16" s="262" t="s">
        <v>82</v>
      </c>
      <c r="EG16" s="267" t="s">
        <v>401</v>
      </c>
      <c r="EH16" s="297">
        <f>B176</f>
        <v>1</v>
      </c>
      <c r="EI16" s="249"/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4.9562999999999996E-2</v>
      </c>
      <c r="EU16" s="262" t="s">
        <v>82</v>
      </c>
      <c r="EV16" s="267" t="s">
        <v>402</v>
      </c>
      <c r="EW16" s="297">
        <f>B177</f>
        <v>1</v>
      </c>
      <c r="EX16" s="249"/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4.9562999999999996E-2</v>
      </c>
      <c r="FJ16" s="262" t="s">
        <v>82</v>
      </c>
      <c r="FK16" s="267" t="s">
        <v>403</v>
      </c>
      <c r="FL16" s="297">
        <f>B178</f>
        <v>1</v>
      </c>
      <c r="FM16" s="249"/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B16" s="249"/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4.9562999999999996E-2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4.9562999999999996E-2</v>
      </c>
      <c r="HC16" s="262" t="s">
        <v>82</v>
      </c>
      <c r="HD16" s="262"/>
      <c r="HE16" s="293"/>
      <c r="HF16" s="262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>
        <f>(K18/(K50+K51))*K11</f>
        <v>0.2032422028945505</v>
      </c>
      <c r="L17" s="271" t="s">
        <v>13</v>
      </c>
      <c r="M17" s="262"/>
      <c r="N17" s="293"/>
      <c r="O17" s="262"/>
      <c r="P17" s="262"/>
      <c r="Q17" s="293"/>
      <c r="R17" s="262"/>
      <c r="S17" s="262"/>
      <c r="T17" s="293"/>
      <c r="U17" s="262"/>
      <c r="V17" s="88" t="s">
        <v>78</v>
      </c>
      <c r="W17" s="296">
        <f>(W5)/((W11/W12)*W8*W9*W14*(1/365))</f>
        <v>81.725151401664505</v>
      </c>
      <c r="X17" s="88" t="s">
        <v>15</v>
      </c>
      <c r="Y17" s="88" t="s">
        <v>78</v>
      </c>
      <c r="Z17" s="296">
        <f>(Z5)/((Z11/Z12)*Z8*Z9*Z14*(1/365))</f>
        <v>73.552636261498051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262"/>
      <c r="AJ17" s="293"/>
      <c r="AK17" s="262"/>
      <c r="AL17" s="262"/>
      <c r="AM17" s="293"/>
      <c r="AN17" s="262"/>
      <c r="AO17" s="262"/>
      <c r="AP17" s="293"/>
      <c r="AQ17" s="262"/>
      <c r="AR17" s="262"/>
      <c r="AS17" s="293"/>
      <c r="AT17" s="262"/>
      <c r="AU17" s="262"/>
      <c r="AV17" s="293"/>
      <c r="AW17" s="262"/>
      <c r="AX17" s="262"/>
      <c r="AY17" s="293"/>
      <c r="AZ17" s="262"/>
      <c r="BA17" s="262"/>
      <c r="BB17" s="293"/>
      <c r="BC17" s="262"/>
      <c r="BD17" s="262"/>
      <c r="BE17" s="293"/>
      <c r="BF17" s="262"/>
      <c r="BG17" s="262"/>
      <c r="BH17" s="293"/>
      <c r="BI17" s="262"/>
      <c r="BJ17" s="262"/>
      <c r="BK17" s="293"/>
      <c r="BL17" s="262"/>
      <c r="BM17" s="262"/>
      <c r="BN17" s="293"/>
      <c r="BO17" s="262"/>
      <c r="BP17" s="262"/>
      <c r="BQ17" s="293"/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3.7445991833205905E-2</v>
      </c>
      <c r="CV17" s="271" t="s">
        <v>13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>
        <f>EZ2</f>
        <v>253.99830569312584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2.2972045705420805E-2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2.381967648E-9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>
        <f>K5/(K9*(K25+K28)*K39)</f>
        <v>4.3646470286051522E-2</v>
      </c>
      <c r="L18" s="271" t="s">
        <v>13</v>
      </c>
      <c r="V18" s="88" t="s">
        <v>74</v>
      </c>
      <c r="W18" s="294">
        <f>(W5*W6*W9)/((W11/W12)*(1-EXP(-W6*W9))*W10*W13*W8*W9)</f>
        <v>0.10387907472661485</v>
      </c>
      <c r="X18" s="88" t="s">
        <v>16</v>
      </c>
      <c r="Y18" s="88" t="s">
        <v>74</v>
      </c>
      <c r="Z18" s="294">
        <f>(Z5*Z6*Z9)/((Z11/Z12)*(1-EXP(-Z6*Z9))*Z10*Z13*Z8*Z9)</f>
        <v>9.3491167253953358E-2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1.9965079505672529</v>
      </c>
      <c r="CV18" s="271" t="s">
        <v>13</v>
      </c>
      <c r="CW18" s="266" t="s">
        <v>63</v>
      </c>
      <c r="CX18" s="189">
        <f>B28</f>
        <v>2.381967648E-9</v>
      </c>
      <c r="CY18" s="266" t="s">
        <v>64</v>
      </c>
      <c r="CZ18" s="266" t="s">
        <v>258</v>
      </c>
      <c r="DA18" s="295">
        <f>GS2</f>
        <v>9.7491346913141186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2.2972045705420805E-2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2.2972045705420805E-2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2.2972045705420805E-2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2.2972045705420805E-2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2.2972045705420805E-2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30.167100000000001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1.1248E-10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(W5*W6*W9)/((W11/W12)*(1-EXP(-W6*W9))*W14*W8*W9*(1/365))</f>
        <v>107.42655196758034</v>
      </c>
      <c r="X19" s="88" t="s">
        <v>16</v>
      </c>
      <c r="Y19" s="88" t="s">
        <v>78</v>
      </c>
      <c r="Z19" s="296">
        <f>(Z5*Z6*Z9)/((Z11/Z12)*(1-EXP(-Z6*Z9))*Z14*Z8*Z9*(1/365))</f>
        <v>96.683896770822287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0.74199999999999999</v>
      </c>
      <c r="AG19" s="305">
        <f>B4</f>
        <v>0.74199999999999999</v>
      </c>
      <c r="AH19" s="267"/>
      <c r="BS19" s="262" t="s">
        <v>63</v>
      </c>
      <c r="BT19" s="287">
        <f>E18</f>
        <v>2.381967648E-9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(CC22*CC23*CC24)/((1-EXP(-CC24*CC23))*CC27*CC31*(CC26/365)*CC29*(CC30/24)*CC28)</f>
        <v>951.91780961981112</v>
      </c>
      <c r="CD19" s="404" t="s">
        <v>94</v>
      </c>
      <c r="CE19" s="402" t="s">
        <v>562</v>
      </c>
      <c r="CF19" s="400">
        <f>(CF22*CF23*CF24)/((1-EXP(-CF24*CF23))*CF27*CF31*(CF26/365)*CF29*(CF30/24)*CF28)</f>
        <v>112.57315536951086</v>
      </c>
      <c r="CG19" s="398" t="s">
        <v>13</v>
      </c>
      <c r="CK19" s="410" t="s">
        <v>510</v>
      </c>
      <c r="CL19" s="400">
        <f>CL22/(CL23*CL24*CL25*CL26)</f>
        <v>13.722786000013722</v>
      </c>
      <c r="CM19" s="404" t="s">
        <v>13</v>
      </c>
      <c r="CN19" s="402" t="s">
        <v>7</v>
      </c>
      <c r="CO19" s="400">
        <f>(CL19/(CO22*((CO27*CO29*CO30*(CO23+CO24))+(CO28*CO29))))*CL29</f>
        <v>647.75240341766221</v>
      </c>
      <c r="CP19" s="412" t="s">
        <v>13</v>
      </c>
      <c r="CQ19" s="402" t="s">
        <v>6</v>
      </c>
      <c r="CR19" s="400">
        <f>CL19/(CR22*CR23*(1/CR24))</f>
        <v>623763.00000062375</v>
      </c>
      <c r="CS19" s="415" t="s">
        <v>14</v>
      </c>
      <c r="CT19" s="266" t="s">
        <v>258</v>
      </c>
      <c r="CU19" s="295">
        <f>GV2</f>
        <v>0.10106145321524013</v>
      </c>
      <c r="CV19" s="271" t="s">
        <v>13</v>
      </c>
      <c r="CW19" s="266" t="s">
        <v>255</v>
      </c>
      <c r="CX19" s="304">
        <f>B173</f>
        <v>1</v>
      </c>
      <c r="CY19" s="88"/>
      <c r="CZ19" s="266" t="s">
        <v>184</v>
      </c>
      <c r="DA19" s="295">
        <f>EK2</f>
        <v>10.420299015505709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30.167100000000001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30.167100000000001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30.167100000000001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30.167100000000001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30.167100000000001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267"/>
      <c r="GP19" s="292"/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3.0487999999999999E-11</v>
      </c>
      <c r="C20" s="263" t="s">
        <v>35</v>
      </c>
      <c r="D20" s="88" t="s">
        <v>74</v>
      </c>
      <c r="E20" s="294">
        <f>(E5)/(E10*E11)</f>
        <v>5.5220306936554081E-2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AB20" s="262" t="s">
        <v>71</v>
      </c>
      <c r="AC20" s="287">
        <f>B23</f>
        <v>2.5337597040000001E-6</v>
      </c>
      <c r="AD20" s="287">
        <f>B23</f>
        <v>2.5337597040000001E-6</v>
      </c>
      <c r="AE20" s="287">
        <f>B23</f>
        <v>2.5337597040000001E-6</v>
      </c>
      <c r="AF20" s="287">
        <f>B23</f>
        <v>2.5337597040000001E-6</v>
      </c>
      <c r="AG20" s="287">
        <f>B23</f>
        <v>2.5337597040000001E-6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0.22314351242029551</v>
      </c>
      <c r="CV20" s="271" t="s">
        <v>13</v>
      </c>
      <c r="CW20" s="88" t="s">
        <v>74</v>
      </c>
      <c r="CX20" s="294">
        <f>(CX5)/((CX14/CX15)*CX10*CX11)</f>
        <v>3.4326136744344427E-2</v>
      </c>
      <c r="CY20" s="88" t="s">
        <v>15</v>
      </c>
      <c r="CZ20" s="266" t="s">
        <v>493</v>
      </c>
      <c r="DA20" s="295">
        <f>DV2</f>
        <v>10.788890563565882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6.3E-5</v>
      </c>
      <c r="DH20" s="249" t="s">
        <v>82</v>
      </c>
      <c r="DL20" s="267"/>
      <c r="DO20" s="267" t="s">
        <v>90</v>
      </c>
      <c r="DP20" s="288">
        <f>0.693/B35</f>
        <v>6.3E-5</v>
      </c>
      <c r="DQ20" s="249" t="s">
        <v>82</v>
      </c>
      <c r="DU20" s="267"/>
      <c r="EA20" s="267"/>
      <c r="EB20" s="307"/>
      <c r="EC20" s="263"/>
      <c r="ED20" s="267" t="s">
        <v>90</v>
      </c>
      <c r="EE20" s="299">
        <f>0.693/B35</f>
        <v>6.3E-5</v>
      </c>
      <c r="EF20" s="263" t="s">
        <v>82</v>
      </c>
      <c r="EJ20" s="267"/>
      <c r="EP20" s="267"/>
      <c r="EQ20" s="307"/>
      <c r="ER20" s="263"/>
      <c r="ES20" s="267" t="s">
        <v>90</v>
      </c>
      <c r="ET20" s="299">
        <f>0.693/B35</f>
        <v>6.3E-5</v>
      </c>
      <c r="EU20" s="263" t="s">
        <v>82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6.3E-5</v>
      </c>
      <c r="FJ20" s="263" t="s">
        <v>82</v>
      </c>
      <c r="FK20" s="267"/>
      <c r="FL20" s="292"/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267"/>
      <c r="GA20" s="292"/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6.3E-5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6.3E-5</v>
      </c>
      <c r="HC20" s="263" t="s">
        <v>82</v>
      </c>
    </row>
    <row r="21" spans="1:214" ht="15" thickTop="1" thickBot="1" x14ac:dyDescent="0.25">
      <c r="A21" s="262" t="s">
        <v>316</v>
      </c>
      <c r="B21" s="315">
        <v>4.2549999999999998E-11</v>
      </c>
      <c r="C21" s="262" t="s">
        <v>35</v>
      </c>
      <c r="D21" s="88" t="s">
        <v>78</v>
      </c>
      <c r="E21" s="295">
        <f>(E5)/((E14/E15)*E8*E9*E18*(1/365)*E19)</f>
        <v>16.838973503090209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(N24*N25*N26)/((1-EXP(-N26*N25))*N29*N34*(N28/365)*N32*(((N33/24)*N31)+((N35/24)*N30)))</f>
        <v>0.3033105109633234</v>
      </c>
      <c r="O21" s="637" t="s">
        <v>94</v>
      </c>
      <c r="P21" s="639" t="s">
        <v>516</v>
      </c>
      <c r="Q21" s="647">
        <f>(Q24*Q25*Q26)/((1-EXP(-Q26*Q25))*Q29*Q34*(Q28/365)*Q32*(((Q33/24)*Q31)+((Q35/24)*Q30)))</f>
        <v>0.10547817448564292</v>
      </c>
      <c r="R21" s="643" t="s">
        <v>13</v>
      </c>
      <c r="AB21" s="262" t="s">
        <v>43</v>
      </c>
      <c r="AC21" s="290">
        <f>B19</f>
        <v>1.1248E-10</v>
      </c>
      <c r="AD21" s="290">
        <f>B19</f>
        <v>1.1248E-10</v>
      </c>
      <c r="AE21" s="290">
        <f>B19</f>
        <v>1.1248E-10</v>
      </c>
      <c r="AF21" s="290">
        <f>B19</f>
        <v>1.1248E-10</v>
      </c>
      <c r="AG21" s="290">
        <f>B19</f>
        <v>1.1248E-10</v>
      </c>
      <c r="AH21" s="263" t="s">
        <v>35</v>
      </c>
      <c r="AI21" s="381" t="s">
        <v>516</v>
      </c>
      <c r="AJ21" s="387">
        <f>(AJ24*AJ25*AJ26)/((1-EXP(-AJ26*AJ25))*AJ34*(AJ28/365)*AJ29*(AJ35/24)*AJ30*AJ32)</f>
        <v>1.1361471740350084</v>
      </c>
      <c r="AK21" s="629" t="s">
        <v>94</v>
      </c>
      <c r="AL21" s="383" t="s">
        <v>516</v>
      </c>
      <c r="AM21" s="387">
        <f>(AM24*AM25*AM26)/((1-EXP(-AM26*AM25))*AM34*(AM28/365)*AM29*(AM35/24)*AM30*AM32)</f>
        <v>0.39510246276537958</v>
      </c>
      <c r="AN21" s="635" t="s">
        <v>13</v>
      </c>
      <c r="AR21" s="381" t="s">
        <v>516</v>
      </c>
      <c r="AS21" s="387">
        <f>(AS24*AS25*AS26)/((1-EXP(-AS26*AS25))*AS34*(AS28/365)*AS29*(AS33/24)*AS31*AS32)</f>
        <v>0.50495429957111493</v>
      </c>
      <c r="AT21" s="391" t="s">
        <v>94</v>
      </c>
      <c r="AU21" s="383" t="s">
        <v>516</v>
      </c>
      <c r="AV21" s="387">
        <f>(AV24*AV25*AV26)/((1-EXP(-AV26*AV25))*AV34*(AV28/365)*AV29*(AV33/24)*AV31*AV32)</f>
        <v>0.17560109456239092</v>
      </c>
      <c r="AW21" s="385" t="s">
        <v>13</v>
      </c>
      <c r="BA21" s="381" t="s">
        <v>516</v>
      </c>
      <c r="BB21" s="387">
        <f>(BB24*BB25*BB26)/((1-EXP(-BB26*BB25))*BB34*(BB28/365)*BB29*((BB33+BB35)/24)*BB31*BB32)</f>
        <v>0.45445886961400345</v>
      </c>
      <c r="BC21" s="391" t="s">
        <v>94</v>
      </c>
      <c r="BD21" s="383" t="s">
        <v>516</v>
      </c>
      <c r="BE21" s="387">
        <f>(BE24*BE25*BE26)/((1-EXP(-BE26*BE25))*BE34*(BE28/365)*BE29*((BE33+BE35)/24)*BE31*BE32)</f>
        <v>0.15804098510615183</v>
      </c>
      <c r="BF21" s="385" t="s">
        <v>13</v>
      </c>
      <c r="BJ21" s="381" t="s">
        <v>561</v>
      </c>
      <c r="BK21" s="389">
        <f>(BK24*BK25*BK26)/((1-EXP(-BK26*BK25))*BK31*BK35*(BK28/365)*BK33*(BK34/24)*BK32)</f>
        <v>1359.3131671043968</v>
      </c>
      <c r="BL21" s="391" t="s">
        <v>94</v>
      </c>
      <c r="BM21" s="383" t="s">
        <v>562</v>
      </c>
      <c r="BN21" s="389">
        <f>(BN24*BN25*BN26)/((1-EXP(-BN26*BN25))*BN31*BN35*(BN28/365)*BN33*(BN34/24)*BN32)</f>
        <v>160.75145439014429</v>
      </c>
      <c r="BO21" s="385" t="s">
        <v>13</v>
      </c>
      <c r="BS21" s="88" t="s">
        <v>74</v>
      </c>
      <c r="BT21" s="294">
        <f>(BT5)/(BT10*BT11)</f>
        <v>6.1846743768940566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0.25025729077555597</v>
      </c>
      <c r="CV21" s="271" t="s">
        <v>13</v>
      </c>
      <c r="CW21" s="88" t="s">
        <v>78</v>
      </c>
      <c r="CX21" s="296">
        <f>(CX5)/((CX14/CX15)*CX8*CX9*CX18*(1/365)*CX19)</f>
        <v>10.945332777008637</v>
      </c>
      <c r="CY21" s="88" t="s">
        <v>15</v>
      </c>
      <c r="CZ21" s="266" t="s">
        <v>492</v>
      </c>
      <c r="DA21" s="295">
        <f>GD2</f>
        <v>18.797703133316727</v>
      </c>
      <c r="DB21" s="88"/>
      <c r="DC21" s="249" t="s">
        <v>23</v>
      </c>
      <c r="DD21" s="287">
        <f>0.693/DD22</f>
        <v>2.2972045705420805E-2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/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3.1782999999999999E-11</v>
      </c>
      <c r="C22" s="262" t="s">
        <v>35</v>
      </c>
      <c r="D22" s="88" t="s">
        <v>74</v>
      </c>
      <c r="E22" s="295">
        <f>(E5*E9*E6)/((1-EXP(-E6*E9))*E10*E11)</f>
        <v>7.3343019189987924E-2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(BT5)/((BT14/24)*(BT8/365)*BT9*BT19*BT20)</f>
        <v>1885.9650323461035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2.1999999999999999E-2</v>
      </c>
      <c r="CQ22" s="262" t="s">
        <v>265</v>
      </c>
      <c r="CR22" s="287">
        <f>CO22</f>
        <v>2.1999999999999999E-2</v>
      </c>
      <c r="CT22" s="266" t="s">
        <v>492</v>
      </c>
      <c r="CU22" s="295">
        <f>GG2</f>
        <v>0.14775596103153651</v>
      </c>
      <c r="CV22" s="271" t="s">
        <v>13</v>
      </c>
      <c r="CW22" s="88" t="s">
        <v>74</v>
      </c>
      <c r="CX22" s="294">
        <f>(CX5*CX9*CX6)/((CX14/CX15)*(1-EXP(-CX6*CX9))*CX10*CX11)</f>
        <v>5.2478904223479381E-2</v>
      </c>
      <c r="CY22" s="88" t="s">
        <v>16</v>
      </c>
      <c r="CZ22" s="266" t="s">
        <v>183</v>
      </c>
      <c r="DA22" s="296">
        <f>FO2</f>
        <v>5.5802877162306726E-3</v>
      </c>
      <c r="DB22" s="88"/>
      <c r="DC22" s="266" t="s">
        <v>270</v>
      </c>
      <c r="DD22" s="287">
        <f>B31</f>
        <v>30.167100000000001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2.5337597040000001E-6</v>
      </c>
      <c r="C23" s="262" t="s">
        <v>95</v>
      </c>
      <c r="D23" s="88" t="s">
        <v>78</v>
      </c>
      <c r="E23" s="296">
        <f>(E5*E9*E6)/((E14/E15)*E8*E9*(1-EXP(-E6*E9))*E18*(1/365)*E19)</f>
        <v>22.365343933995756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(BT5*BT28*BT6)/((1-EXP(-BT6*BT28))*BT10*BT11)</f>
        <v>8.2144181492786466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3.7370000000000003E-11</v>
      </c>
      <c r="CM23" s="266" t="s">
        <v>13</v>
      </c>
      <c r="CN23" s="249" t="s">
        <v>21</v>
      </c>
      <c r="CO23" s="290">
        <f>CO25</f>
        <v>2.9000000000000001E-2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8.5313237193165189E-5</v>
      </c>
      <c r="CV23" s="271" t="s">
        <v>13</v>
      </c>
      <c r="CW23" s="88" t="s">
        <v>78</v>
      </c>
      <c r="CX23" s="296">
        <f>(CX5*CX9*CX6)/((CX14/CX15)*CX8*CX9*(1-EXP(-CX6*CX9))*CX18*(1/365)*CX19)</f>
        <v>16.733577529472022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F23" s="262" t="s">
        <v>17</v>
      </c>
      <c r="DG23" s="287">
        <f>B35</f>
        <v>11000</v>
      </c>
      <c r="DH23" s="249" t="s">
        <v>257</v>
      </c>
      <c r="DO23" s="262" t="s">
        <v>20</v>
      </c>
      <c r="DP23" s="305">
        <f>DP25</f>
        <v>2.5229999999999999E-2</v>
      </c>
      <c r="EA23" s="262"/>
      <c r="EB23" s="293"/>
      <c r="EC23" s="263"/>
      <c r="ED23" s="262" t="s">
        <v>20</v>
      </c>
      <c r="EE23" s="305">
        <f>EE25</f>
        <v>2.9000000000000001E-2</v>
      </c>
      <c r="EF23" s="263"/>
      <c r="EP23" s="262"/>
      <c r="EQ23" s="293"/>
      <c r="ER23" s="263"/>
      <c r="ES23" s="262" t="s">
        <v>20</v>
      </c>
      <c r="ET23" s="305">
        <f>ET25</f>
        <v>2.9000000000000001E-2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2.5229999999999999E-2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2.5229999999999999E-2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2.5229999999999999E-2</v>
      </c>
      <c r="HC23" s="263"/>
      <c r="HD23" s="219" t="s">
        <v>574</v>
      </c>
      <c r="HE23" s="348">
        <f>(HE25*HE33*HE38*HE32*10^-3*HE31*HE27)/(HE30*HE41*(1-EXP(-HE27*HE31)))</f>
        <v>5.5853349682815487</v>
      </c>
      <c r="HF23" s="252" t="s">
        <v>13</v>
      </c>
    </row>
    <row r="24" spans="1:214" ht="14.25" thickTop="1" thickBot="1" x14ac:dyDescent="0.25">
      <c r="A24" s="262" t="s">
        <v>450</v>
      </c>
      <c r="B24" s="315">
        <v>5.0675194079999996E-7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(BT5*BT28*BT6)/((BT14/24)*(BT8/365)*BT9*(1-EXP(-BT6*BT28))*BT19*BT20)</f>
        <v>2504.9185206075244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2.2972045705420805E-2</v>
      </c>
      <c r="CE24" s="262" t="s">
        <v>23</v>
      </c>
      <c r="CF24" s="288">
        <f>0.693/CF25</f>
        <v>2.2972045705420805E-2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3.3307379828926419E-2</v>
      </c>
      <c r="HF24" s="75" t="s">
        <v>13</v>
      </c>
    </row>
    <row r="25" spans="1:214" ht="13.5" thickTop="1" x14ac:dyDescent="0.2">
      <c r="A25" s="262" t="s">
        <v>449</v>
      </c>
      <c r="B25" s="315">
        <v>5.1749414784E-7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9.3400850718854275E-2</v>
      </c>
      <c r="X25" s="254" t="s">
        <v>10</v>
      </c>
      <c r="Y25" s="321" t="s">
        <v>16</v>
      </c>
      <c r="Z25" s="358">
        <f>1/((1/Z38)+(1/Z39))</f>
        <v>3.4554957350323647</v>
      </c>
      <c r="AA25" s="255" t="s">
        <v>10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30.167100000000001</v>
      </c>
      <c r="CD25" s="249" t="s">
        <v>69</v>
      </c>
      <c r="CE25" s="266" t="s">
        <v>270</v>
      </c>
      <c r="CF25" s="287">
        <f>B31</f>
        <v>30.167100000000001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2.9000000000000001E-2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2.5229999999999999E-2</v>
      </c>
      <c r="EA25" s="262"/>
      <c r="EC25" s="263"/>
      <c r="ED25" s="262" t="s">
        <v>38</v>
      </c>
      <c r="EE25" s="287">
        <f>B45</f>
        <v>2.9000000000000001E-2</v>
      </c>
      <c r="EF25" s="263"/>
      <c r="EP25" s="262"/>
      <c r="ER25" s="263"/>
      <c r="ES25" s="263" t="s">
        <v>37</v>
      </c>
      <c r="ET25" s="287">
        <f>B45</f>
        <v>2.9000000000000001E-2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2.5229999999999999E-2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2.5229999999999999E-2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2.5229999999999999E-2</v>
      </c>
      <c r="HC25" s="263"/>
      <c r="HD25" s="265" t="s">
        <v>22</v>
      </c>
      <c r="HE25" s="305">
        <f>B47</f>
        <v>200</v>
      </c>
      <c r="HF25" s="262" t="s">
        <v>14</v>
      </c>
    </row>
    <row r="26" spans="1:214" ht="13.5" thickBot="1" x14ac:dyDescent="0.25">
      <c r="A26" s="262" t="s">
        <v>451</v>
      </c>
      <c r="B26" s="315">
        <v>1.4572037375999999E-6</v>
      </c>
      <c r="C26" s="262" t="s">
        <v>95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2.2972045705420805E-2</v>
      </c>
      <c r="P26" s="262" t="s">
        <v>23</v>
      </c>
      <c r="Q26" s="288">
        <f>0.693/Q27</f>
        <v>2.2972045705420805E-2</v>
      </c>
      <c r="V26" s="320" t="s">
        <v>15</v>
      </c>
      <c r="W26" s="359">
        <f>1/((1/W38)+(1/W39))</f>
        <v>7.1055046692238735E-2</v>
      </c>
      <c r="X26" s="258" t="s">
        <v>10</v>
      </c>
      <c r="Y26" s="322" t="s">
        <v>15</v>
      </c>
      <c r="Z26" s="360">
        <f>1/((1/Z40)+(1/Z41))</f>
        <v>3.4161080140499389</v>
      </c>
      <c r="AA26" s="259" t="s">
        <v>10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2.2972045705420805E-2</v>
      </c>
      <c r="AL26" s="262" t="s">
        <v>23</v>
      </c>
      <c r="AM26" s="288">
        <f>0.693/AM27</f>
        <v>2.2972045705420805E-2</v>
      </c>
      <c r="AR26" s="262" t="s">
        <v>23</v>
      </c>
      <c r="AS26" s="288">
        <f>0.693/AS27</f>
        <v>2.2972045705420805E-2</v>
      </c>
      <c r="AU26" s="262" t="s">
        <v>23</v>
      </c>
      <c r="AV26" s="288">
        <f>0.693/AV27</f>
        <v>2.2972045705420805E-2</v>
      </c>
      <c r="BA26" s="262" t="s">
        <v>23</v>
      </c>
      <c r="BB26" s="288">
        <f>0.693/BB27</f>
        <v>2.2972045705420805E-2</v>
      </c>
      <c r="BD26" s="262" t="s">
        <v>23</v>
      </c>
      <c r="BE26" s="288">
        <f>0.693/BE27</f>
        <v>2.2972045705420805E-2</v>
      </c>
      <c r="BJ26" s="262" t="s">
        <v>23</v>
      </c>
      <c r="BK26" s="288">
        <f>0.693/BK27</f>
        <v>2.2972045705420805E-2</v>
      </c>
      <c r="BM26" s="262" t="s">
        <v>23</v>
      </c>
      <c r="BN26" s="288">
        <f>0.693/BN27</f>
        <v>2.2972045705420805E-2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63" t="s">
        <v>331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88"/>
      <c r="CX26" s="192"/>
      <c r="CY26" s="88"/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2.9000000000000001E-2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1.1926725977251162</v>
      </c>
      <c r="HF26" s="262" t="s">
        <v>14</v>
      </c>
    </row>
    <row r="27" spans="1:214" ht="15" thickTop="1" x14ac:dyDescent="0.2">
      <c r="A27" s="262" t="s">
        <v>452</v>
      </c>
      <c r="B27" s="315">
        <v>2.2652045279999998E-6</v>
      </c>
      <c r="C27" s="262" t="s">
        <v>95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30.167100000000001</v>
      </c>
      <c r="O27" s="249" t="s">
        <v>69</v>
      </c>
      <c r="P27" s="266" t="s">
        <v>270</v>
      </c>
      <c r="Q27" s="287">
        <f>B31</f>
        <v>30.167100000000001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2.2972045705420805E-2</v>
      </c>
      <c r="AD27" s="288">
        <f>0.693/AD28</f>
        <v>2.2972045705420805E-2</v>
      </c>
      <c r="AE27" s="288">
        <f>0.693/AE28</f>
        <v>2.2972045705420805E-2</v>
      </c>
      <c r="AF27" s="288">
        <f>0.693/AF28</f>
        <v>2.2972045705420805E-2</v>
      </c>
      <c r="AG27" s="288">
        <f>0.693/AG28</f>
        <v>2.2972045705420805E-2</v>
      </c>
      <c r="AI27" s="266" t="s">
        <v>270</v>
      </c>
      <c r="AJ27" s="287">
        <f>B31</f>
        <v>30.167100000000001</v>
      </c>
      <c r="AK27" s="249" t="s">
        <v>69</v>
      </c>
      <c r="AL27" s="266" t="s">
        <v>270</v>
      </c>
      <c r="AM27" s="287">
        <f>B31</f>
        <v>30.167100000000001</v>
      </c>
      <c r="AN27" s="249" t="s">
        <v>69</v>
      </c>
      <c r="AR27" s="266" t="s">
        <v>270</v>
      </c>
      <c r="AS27" s="287">
        <f>B31</f>
        <v>30.167100000000001</v>
      </c>
      <c r="AT27" s="249" t="s">
        <v>69</v>
      </c>
      <c r="AU27" s="266" t="s">
        <v>270</v>
      </c>
      <c r="AV27" s="287">
        <f>B31</f>
        <v>30.167100000000001</v>
      </c>
      <c r="AW27" s="249" t="s">
        <v>69</v>
      </c>
      <c r="BA27" s="266" t="s">
        <v>270</v>
      </c>
      <c r="BB27" s="287">
        <f>B31</f>
        <v>30.167100000000001</v>
      </c>
      <c r="BC27" s="249" t="s">
        <v>69</v>
      </c>
      <c r="BD27" s="266" t="s">
        <v>270</v>
      </c>
      <c r="BE27" s="287">
        <f>B31</f>
        <v>30.167100000000001</v>
      </c>
      <c r="BF27" s="249" t="s">
        <v>69</v>
      </c>
      <c r="BJ27" s="266" t="s">
        <v>270</v>
      </c>
      <c r="BK27" s="287">
        <f>B31</f>
        <v>30.167100000000001</v>
      </c>
      <c r="BL27" s="249" t="s">
        <v>69</v>
      </c>
      <c r="BM27" s="266" t="s">
        <v>270</v>
      </c>
      <c r="BN27" s="287">
        <f>B31</f>
        <v>30.167100000000001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266" t="s">
        <v>270</v>
      </c>
      <c r="CL27" s="287">
        <f>B31</f>
        <v>30.167100000000001</v>
      </c>
      <c r="CM27" s="249" t="s">
        <v>69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4.5999999999999999E-3</v>
      </c>
      <c r="EP27" s="262"/>
      <c r="EQ27" s="310"/>
      <c r="ES27" s="262" t="s">
        <v>275</v>
      </c>
      <c r="ET27" s="310">
        <f>B38</f>
        <v>2.1999999999999999E-2</v>
      </c>
      <c r="FH27" s="262" t="s">
        <v>201</v>
      </c>
      <c r="FI27" s="310">
        <f>B40</f>
        <v>0.4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2.7</v>
      </c>
      <c r="GS27" s="328"/>
      <c r="GT27" s="264"/>
      <c r="GU27" s="264"/>
      <c r="GV27" s="328"/>
      <c r="GW27" s="264"/>
      <c r="HA27" s="262" t="s">
        <v>277</v>
      </c>
      <c r="HB27" s="310">
        <f>B41</f>
        <v>0.2</v>
      </c>
      <c r="HD27" s="262" t="s">
        <v>23</v>
      </c>
      <c r="HE27" s="288">
        <f>0.693/HE28</f>
        <v>2.2972045705420805E-2</v>
      </c>
    </row>
    <row r="28" spans="1:214" ht="15.75" thickBot="1" x14ac:dyDescent="0.25">
      <c r="A28" s="262" t="s">
        <v>63</v>
      </c>
      <c r="B28" s="315">
        <v>2.381967648E-9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2.2972045705420805E-2</v>
      </c>
      <c r="Y28" s="262" t="s">
        <v>23</v>
      </c>
      <c r="Z28" s="288">
        <f>0.693/Z29</f>
        <v>2.2972045705420805E-2</v>
      </c>
      <c r="AB28" s="266" t="s">
        <v>270</v>
      </c>
      <c r="AC28" s="287">
        <f>B31</f>
        <v>30.167100000000001</v>
      </c>
      <c r="AD28" s="287">
        <f>B31</f>
        <v>30.167100000000001</v>
      </c>
      <c r="AE28" s="287">
        <f>B31</f>
        <v>30.167100000000001</v>
      </c>
      <c r="AF28" s="287">
        <f>B31</f>
        <v>30.167100000000001</v>
      </c>
      <c r="AG28" s="287">
        <f>B31</f>
        <v>30.167100000000001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2.6599999999999999E-2</v>
      </c>
      <c r="CE28" s="249" t="s">
        <v>458</v>
      </c>
      <c r="CF28" s="287">
        <f>B8</f>
        <v>5.0099999999999999E-2</v>
      </c>
      <c r="CK28" s="249" t="s">
        <v>23</v>
      </c>
      <c r="CL28" s="288">
        <f>0.693/CL27</f>
        <v>2.2972045705420805E-2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30.167100000000001</v>
      </c>
      <c r="HF28" s="249" t="s">
        <v>69</v>
      </c>
    </row>
    <row r="29" spans="1:214" ht="18.75" thickTop="1" x14ac:dyDescent="0.2">
      <c r="A29" s="266" t="s">
        <v>161</v>
      </c>
      <c r="B29" s="315">
        <v>5.1609299040000001E-12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30.167100000000001</v>
      </c>
      <c r="X29" s="249" t="s">
        <v>69</v>
      </c>
      <c r="Y29" s="266" t="s">
        <v>270</v>
      </c>
      <c r="Z29" s="287">
        <f>B31</f>
        <v>30.167100000000001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266"/>
      <c r="BT29" s="115"/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0.46500000000000002</v>
      </c>
      <c r="CE29" s="249" t="s">
        <v>459</v>
      </c>
      <c r="CF29" s="287">
        <f>B9</f>
        <v>0.72599999999999998</v>
      </c>
      <c r="CK29" s="249" t="s">
        <v>16</v>
      </c>
      <c r="CL29" s="288">
        <f>(CL30*CL28)/(1-EXP(-CL28*CL30))</f>
        <v>1.3281892705568645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3.7370000000000003E-11</v>
      </c>
      <c r="C30" s="267" t="s">
        <v>35</v>
      </c>
      <c r="D30" s="203" t="s">
        <v>510</v>
      </c>
      <c r="E30" s="204">
        <f>E37</f>
        <v>5.4455500000054453E-2</v>
      </c>
      <c r="F30" s="184" t="s">
        <v>13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354">
        <f>(AC26*AC27)/(1-EXP(-AC27*AC26))</f>
        <v>1.3144858115905844</v>
      </c>
      <c r="AD30" s="354">
        <f>(AD26*AD27)/(1-EXP(-AD27*AD26))</f>
        <v>1.3144858115905844</v>
      </c>
      <c r="AE30" s="354">
        <f>(AE26*AE27)/(1-EXP(-AE27*AE26))</f>
        <v>1.3144858115905844</v>
      </c>
      <c r="AF30" s="354">
        <f>(AF26*AF27)/(1-EXP(-AF27*AF26))</f>
        <v>1.0115299987062558</v>
      </c>
      <c r="AG30" s="354">
        <f>(AG26*AG27)/(1-EXP(-AG27*AG26))</f>
        <v>1.0115299987062558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111</v>
      </c>
      <c r="CL30" s="289">
        <f>B109</f>
        <v>26</v>
      </c>
      <c r="CM30" s="249" t="s">
        <v>69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207">
        <v>30.167100000000001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8.5099999999999995E-2</v>
      </c>
      <c r="CB31" s="249" t="s">
        <v>71</v>
      </c>
      <c r="CC31" s="290">
        <f>B24</f>
        <v>5.0675194079999996E-7</v>
      </c>
      <c r="CD31" s="262" t="s">
        <v>282</v>
      </c>
      <c r="CE31" s="249" t="s">
        <v>71</v>
      </c>
      <c r="CF31" s="290">
        <f>B26</f>
        <v>1.4572037375999999E-6</v>
      </c>
      <c r="CG31" s="263" t="s">
        <v>72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2.75" customHeight="1" thickTop="1" x14ac:dyDescent="0.2">
      <c r="A32" s="266" t="s">
        <v>96</v>
      </c>
      <c r="B32" s="315">
        <f>PEF!D3</f>
        <v>1359344473.5814338</v>
      </c>
      <c r="C32" s="249"/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1.1248E-10</v>
      </c>
      <c r="X32" s="263" t="s">
        <v>44</v>
      </c>
      <c r="Y32" s="249" t="s">
        <v>43</v>
      </c>
      <c r="Z32" s="290">
        <f>B19</f>
        <v>1.1248E-10</v>
      </c>
      <c r="AA32" s="263" t="s">
        <v>44</v>
      </c>
      <c r="AB32" s="266" t="s">
        <v>80</v>
      </c>
      <c r="AC32" s="294">
        <f>(AC5/(AC9*AC14*AC8*AC11*(1/AC6)))*AC30</f>
        <v>66.17302641490528</v>
      </c>
      <c r="AD32" s="294">
        <f>(AD5/(AD9*AD14*AD8*AD11*(1/AD6)))*AD30</f>
        <v>132.34605282981056</v>
      </c>
      <c r="AE32" s="294">
        <f>(AE5/(AE9*AE14*AE8*AE11*(1/AE6)))*AE30</f>
        <v>73.525584905450316</v>
      </c>
      <c r="AF32" s="294">
        <f>(AF5/(AF9*AF14*AF8*AF11*(1/AF6)))*AF30</f>
        <v>741.86791204828603</v>
      </c>
      <c r="AG32" s="294">
        <f>(AG5/(AG9*AG14*AG8*AG11*(1/AG6)))*AG30</f>
        <v>741.86791204828603</v>
      </c>
      <c r="AH32" s="266" t="s">
        <v>13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2.6599999999999999E-2</v>
      </c>
      <c r="BM32" s="249" t="s">
        <v>458</v>
      </c>
      <c r="BN32" s="287">
        <f>B8</f>
        <v>5.0099999999999999E-2</v>
      </c>
      <c r="BY32" s="262" t="s">
        <v>62</v>
      </c>
      <c r="BZ32" s="305">
        <f>B4</f>
        <v>0.74199999999999999</v>
      </c>
      <c r="CO32" s="287"/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70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C33" s="249"/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(AC5/(AC21*AC17*AC8*AC11*(1/AC35)*((8/1)/(24/1))*AC31))*AC30</f>
        <v>127086.70153533902</v>
      </c>
      <c r="AD33" s="295">
        <f>(AD5/(AD21*AD17*AD8*((8/1)/(24/1))*AD11*(1/AD35)*AD31))*AD30</f>
        <v>127086.70153533905</v>
      </c>
      <c r="AE33" s="295">
        <f>(AE5/(AE21*AE17*AE8*((8/1)/(24/1))*AE11*(1/AE35)*AE31))*AE30</f>
        <v>141207.44615037669</v>
      </c>
      <c r="AF33" s="295">
        <f>(AF5/(AF21*AF17*AF8*AF11*(1/AF36)*(AF23/24)*AF31))*AF30</f>
        <v>2676.0387760202684</v>
      </c>
      <c r="AG33" s="295">
        <f>(AG5/(AG21*AG17*AG8*AG11*(1/AG37)*(AG23/24)*AG31))*AG30</f>
        <v>124711.35035719498</v>
      </c>
      <c r="AH33" s="88" t="s">
        <v>13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0.46500000000000002</v>
      </c>
      <c r="BM33" s="249" t="s">
        <v>459</v>
      </c>
      <c r="BN33" s="287">
        <f>B9</f>
        <v>0.72599999999999998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ht="12.75" customHeight="1" x14ac:dyDescent="0.2">
      <c r="A34" s="266" t="s">
        <v>121</v>
      </c>
      <c r="B34" s="315">
        <f>PEF!J3</f>
        <v>36055860.959050171</v>
      </c>
      <c r="C34" s="249"/>
      <c r="D34" s="262" t="s">
        <v>256</v>
      </c>
      <c r="E34" s="287">
        <f>B30</f>
        <v>3.7370000000000003E-11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5.0675194079999996E-7</v>
      </c>
      <c r="O34" s="263" t="s">
        <v>447</v>
      </c>
      <c r="P34" s="249" t="s">
        <v>451</v>
      </c>
      <c r="Q34" s="290">
        <f>B26</f>
        <v>1.4572037375999999E-6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(AC5/(AC20*(AC8/365)*AC11*((AC23+AC24)/24)*AC16*AC19))*AC30</f>
        <v>9.0891773922800692E-2</v>
      </c>
      <c r="AD34" s="296">
        <f>(AD5/(AD20*(AD8/365)*AD11*(AD24/24)*AD18*AD19))*AD30</f>
        <v>0.22722943480700172</v>
      </c>
      <c r="AE34" s="296">
        <f>(AE5/(AE20*(AE8/365)*AE11*(AE23/24)*AE16*AE19))*AE30</f>
        <v>0.10099085991422296</v>
      </c>
      <c r="AF34" s="296">
        <f>(AF5/(AF20*(AF8/365)*AF11*(AF23/24)*AF16*AF19))*AF30</f>
        <v>53.25380498577632</v>
      </c>
      <c r="AG34" s="296">
        <f>(AG5/(AG20*(AG8/365)*AG11*(AG23/24)*AG16*AG19))*AG30</f>
        <v>53.25380498577632</v>
      </c>
      <c r="AH34" s="266" t="s">
        <v>13</v>
      </c>
      <c r="AI34" s="262" t="s">
        <v>450</v>
      </c>
      <c r="AJ34" s="290">
        <f>B24</f>
        <v>5.0675194079999996E-7</v>
      </c>
      <c r="AK34" s="262" t="s">
        <v>282</v>
      </c>
      <c r="AL34" s="262" t="s">
        <v>451</v>
      </c>
      <c r="AM34" s="290">
        <f>B26</f>
        <v>1.4572037375999999E-6</v>
      </c>
      <c r="AN34" s="263" t="s">
        <v>72</v>
      </c>
      <c r="AR34" s="262" t="s">
        <v>450</v>
      </c>
      <c r="AS34" s="290">
        <f>B24</f>
        <v>5.0675194079999996E-7</v>
      </c>
      <c r="AT34" s="262" t="s">
        <v>282</v>
      </c>
      <c r="AU34" s="262" t="s">
        <v>451</v>
      </c>
      <c r="AV34" s="290">
        <f>B26</f>
        <v>1.4572037375999999E-6</v>
      </c>
      <c r="AW34" s="263" t="s">
        <v>72</v>
      </c>
      <c r="BA34" s="262" t="s">
        <v>450</v>
      </c>
      <c r="BB34" s="290">
        <f>B24</f>
        <v>5.0675194079999996E-7</v>
      </c>
      <c r="BC34" s="262" t="s">
        <v>282</v>
      </c>
      <c r="BD34" s="262" t="s">
        <v>451</v>
      </c>
      <c r="BE34" s="290">
        <f>B26</f>
        <v>1.4572037375999999E-6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10</v>
      </c>
      <c r="HF34" s="249" t="s">
        <v>19</v>
      </c>
    </row>
    <row r="35" spans="1:214" ht="12.75" customHeight="1" x14ac:dyDescent="0.2">
      <c r="A35" s="266" t="s">
        <v>270</v>
      </c>
      <c r="B35" s="315">
        <v>11000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5.0675194079999996E-7</v>
      </c>
      <c r="BL35" s="262" t="s">
        <v>282</v>
      </c>
      <c r="BM35" s="262" t="s">
        <v>451</v>
      </c>
      <c r="BN35" s="290">
        <f>B26</f>
        <v>1.4572037375999999E-6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ht="13.5" customHeight="1" x14ac:dyDescent="0.2">
      <c r="A36" s="262" t="s">
        <v>122</v>
      </c>
      <c r="B36" s="315">
        <v>2500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281"/>
      <c r="N36" s="361"/>
      <c r="O36" s="281"/>
      <c r="P36" s="281"/>
      <c r="Q36" s="361"/>
      <c r="R36" s="281"/>
      <c r="V36" s="262" t="s">
        <v>63</v>
      </c>
      <c r="W36" s="287">
        <f>B28</f>
        <v>2.381967648E-9</v>
      </c>
      <c r="X36" s="262" t="s">
        <v>64</v>
      </c>
      <c r="Y36" s="262" t="s">
        <v>63</v>
      </c>
      <c r="Z36" s="287">
        <f>B28</f>
        <v>2.381967648E-9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x14ac:dyDescent="0.2">
      <c r="A37" s="262" t="s">
        <v>278</v>
      </c>
      <c r="B37" s="315">
        <v>4.5999999999999999E-3</v>
      </c>
      <c r="C37" s="263" t="s">
        <v>298</v>
      </c>
      <c r="D37" s="262" t="s">
        <v>80</v>
      </c>
      <c r="E37" s="300">
        <f>E32/(E34*E33*E35*E36)</f>
        <v>5.4455500000054453E-2</v>
      </c>
      <c r="F37" s="263" t="s">
        <v>13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2.1999999999999999E-2</v>
      </c>
      <c r="C38" s="263" t="s">
        <v>298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W27/((W33/W34)*W30*W31*W32*W35)</f>
        <v>7.1123755334281655E-2</v>
      </c>
      <c r="X38" s="88" t="s">
        <v>15</v>
      </c>
      <c r="Y38" s="88" t="s">
        <v>74</v>
      </c>
      <c r="Z38" s="294">
        <f>(Z27*Z31*Z28)/((1-EXP(-Z28))*Z31*Z32*Z30*Z44*(Z33/Z34)*Z35)</f>
        <v>3.4588371221764413</v>
      </c>
      <c r="AA38" s="88" t="s">
        <v>16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ht="13.5" customHeight="1" x14ac:dyDescent="0.2">
      <c r="A39" s="262" t="s">
        <v>276</v>
      </c>
      <c r="B39" s="315">
        <v>2.7</v>
      </c>
      <c r="C39" s="263" t="s">
        <v>298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(W27)/((W33/W34)*W30*W31*W36*(1/365))</f>
        <v>73.552636261498051</v>
      </c>
      <c r="X39" s="88" t="s">
        <v>15</v>
      </c>
      <c r="Y39" s="88" t="s">
        <v>78</v>
      </c>
      <c r="Z39" s="296">
        <f>(Z27*Z31*Z28)/((1-EXP(-Z28*Z31))*Z36*Z30*Z44*(Z33/Z34)*Z37*(Z44/Z45))</f>
        <v>3576.9566376170587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0.4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(W27*W28*W31)/((W33/W34)*(1-EXP(-W28*W31))*W32*W35*W30*W31)</f>
        <v>9.3491167253953358E-2</v>
      </c>
      <c r="X40" s="88" t="s">
        <v>16</v>
      </c>
      <c r="Y40" s="88" t="s">
        <v>74</v>
      </c>
      <c r="Z40" s="294">
        <f>Z27/((Z32*Z30*Z44*(Z33/Z34)*Z35))</f>
        <v>3.4194113141481561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0.2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(W27*W28*W31)/((W33/W34)*(1-EXP(-W28*W31))*W36*W30*W31*(1/365))</f>
        <v>96.683896770822287</v>
      </c>
      <c r="X41" s="88" t="s">
        <v>16</v>
      </c>
      <c r="Y41" s="88" t="s">
        <v>78</v>
      </c>
      <c r="Z41" s="296">
        <f>Z27/(Z36*Z30*(1/Z45)*Z44*(Z33/Z34)*Z37)</f>
        <v>3536.1844356489441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GV41" s="297"/>
      <c r="HD41" s="249" t="s">
        <v>119</v>
      </c>
      <c r="HE41" s="298">
        <f>B291</f>
        <v>1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2.1999999999999999E-2</v>
      </c>
      <c r="C42" s="263" t="s">
        <v>298</v>
      </c>
      <c r="D42" s="203" t="s">
        <v>510</v>
      </c>
      <c r="E42" s="204">
        <f>E52</f>
        <v>2.1782200000021783E-2</v>
      </c>
      <c r="F42" s="184" t="s">
        <v>14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2.75" customHeight="1" thickBot="1" x14ac:dyDescent="0.25">
      <c r="A43" s="262" t="s">
        <v>264</v>
      </c>
      <c r="B43" s="315">
        <f>B39</f>
        <v>2.7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2.5229999999999999E-2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2.9000000000000001E-2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x14ac:dyDescent="0.2">
      <c r="A46" s="249" t="s">
        <v>284</v>
      </c>
      <c r="B46" s="315">
        <v>10</v>
      </c>
      <c r="C46" s="249" t="s">
        <v>19</v>
      </c>
      <c r="D46" s="262" t="s">
        <v>438</v>
      </c>
      <c r="E46" s="287">
        <f>B30</f>
        <v>3.7370000000000003E-11</v>
      </c>
      <c r="F46" s="262" t="s">
        <v>289</v>
      </c>
      <c r="G46" s="249" t="s">
        <v>20</v>
      </c>
      <c r="H46" s="287">
        <f>H48</f>
        <v>2.5229999999999999E-2</v>
      </c>
      <c r="I46" s="263"/>
      <c r="J46" s="269" t="s">
        <v>107</v>
      </c>
      <c r="K46" s="292">
        <f>K34</f>
        <v>26</v>
      </c>
      <c r="L46" s="269" t="s">
        <v>69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200</v>
      </c>
      <c r="C47" s="262" t="s">
        <v>14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C48" s="249"/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2.5229999999999999E-2</v>
      </c>
      <c r="K48" s="289">
        <v>1000</v>
      </c>
      <c r="L48" s="249" t="s">
        <v>115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213" x14ac:dyDescent="0.2">
      <c r="A49" s="249" t="s">
        <v>331</v>
      </c>
      <c r="B49" s="284">
        <v>0.25</v>
      </c>
      <c r="C49" s="249"/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BY49" s="262"/>
      <c r="BZ49" s="293"/>
      <c r="DA49" s="292">
        <v>1000</v>
      </c>
      <c r="DB49" s="267" t="s">
        <v>115</v>
      </c>
      <c r="DW49" s="264"/>
      <c r="DX49" s="264"/>
      <c r="DY49" s="328"/>
      <c r="DZ49" s="264"/>
      <c r="EB49" s="249"/>
      <c r="EE49" s="249"/>
      <c r="EH49" s="249"/>
      <c r="EK49" s="249"/>
      <c r="EN49" s="249"/>
      <c r="EQ49" s="249"/>
      <c r="ET49" s="249"/>
      <c r="EW49" s="249"/>
      <c r="EZ49" s="249"/>
      <c r="FC49" s="249"/>
      <c r="FF49" s="249"/>
      <c r="FI49" s="249"/>
      <c r="FL49" s="249"/>
      <c r="FO49" s="249"/>
      <c r="FR49" s="249"/>
      <c r="FU49" s="249"/>
      <c r="FX49" s="249"/>
      <c r="GA49" s="249"/>
      <c r="GD49" s="249"/>
      <c r="GG49" s="249"/>
      <c r="GJ49" s="249"/>
      <c r="GM49" s="249"/>
      <c r="GP49" s="249"/>
      <c r="GS49" s="249"/>
      <c r="GV49" s="249"/>
      <c r="GY49" s="249"/>
      <c r="HB49" s="249"/>
      <c r="HE49" s="249"/>
    </row>
    <row r="50" spans="1:213" ht="15" x14ac:dyDescent="0.2">
      <c r="A50" s="516" t="s">
        <v>2</v>
      </c>
      <c r="B50" s="516"/>
      <c r="C50" s="516"/>
      <c r="D50" s="262" t="s">
        <v>122</v>
      </c>
      <c r="E50" s="298">
        <f>B36</f>
        <v>2500</v>
      </c>
      <c r="F50" s="263" t="s">
        <v>19</v>
      </c>
      <c r="G50" s="249" t="s">
        <v>18</v>
      </c>
      <c r="H50" s="288">
        <f>(H53*H54*H48*((1-EXP(-H55*H56))))/(H57*H55)</f>
        <v>0.66252863179360322</v>
      </c>
      <c r="I50" s="249" t="s">
        <v>19</v>
      </c>
      <c r="J50" s="249" t="s">
        <v>20</v>
      </c>
      <c r="K50" s="287">
        <f>K52</f>
        <v>2.5229999999999999E-2</v>
      </c>
      <c r="BY50" s="263"/>
      <c r="BZ50" s="307"/>
      <c r="CT50" s="263"/>
      <c r="CU50" s="307"/>
      <c r="DW50" s="264"/>
      <c r="DX50" s="264"/>
      <c r="DY50" s="328"/>
      <c r="DZ50" s="264"/>
      <c r="EB50" s="249"/>
      <c r="EE50" s="249"/>
      <c r="EH50" s="249"/>
      <c r="EK50" s="249"/>
      <c r="EN50" s="249"/>
      <c r="EQ50" s="249"/>
      <c r="ET50" s="249"/>
      <c r="EW50" s="249"/>
      <c r="EZ50" s="249"/>
      <c r="FC50" s="249"/>
      <c r="FF50" s="249"/>
      <c r="FI50" s="249"/>
      <c r="FL50" s="249"/>
      <c r="FO50" s="249"/>
      <c r="FR50" s="249"/>
      <c r="FU50" s="249"/>
      <c r="FX50" s="249"/>
      <c r="GA50" s="249"/>
      <c r="GD50" s="249"/>
      <c r="GG50" s="249"/>
      <c r="GJ50" s="249"/>
      <c r="GM50" s="249"/>
      <c r="GP50" s="249"/>
      <c r="GS50" s="249"/>
      <c r="GV50" s="249"/>
      <c r="GY50" s="249"/>
      <c r="HB50" s="249"/>
      <c r="HE50" s="249"/>
    </row>
    <row r="51" spans="1:213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6.8274849094862002</v>
      </c>
      <c r="I51" s="249" t="s">
        <v>19</v>
      </c>
      <c r="J51" s="262" t="s">
        <v>28</v>
      </c>
      <c r="K51" s="293">
        <f>K53</f>
        <v>0.26</v>
      </c>
      <c r="BW51" s="287"/>
      <c r="BY51" s="262"/>
      <c r="BZ51" s="293"/>
      <c r="CT51" s="262"/>
      <c r="CU51" s="293"/>
      <c r="CZ51" s="267"/>
      <c r="DW51" s="264"/>
      <c r="DX51" s="264"/>
      <c r="DY51" s="328"/>
      <c r="DZ51" s="264"/>
      <c r="EB51" s="249"/>
      <c r="EE51" s="249"/>
      <c r="EH51" s="249"/>
      <c r="EK51" s="249"/>
      <c r="EN51" s="249"/>
      <c r="EQ51" s="249"/>
      <c r="ET51" s="249"/>
      <c r="EW51" s="249"/>
      <c r="EZ51" s="249"/>
      <c r="FC51" s="249"/>
      <c r="FF51" s="249"/>
      <c r="FI51" s="249"/>
      <c r="FL51" s="249"/>
      <c r="FO51" s="249"/>
      <c r="FR51" s="249"/>
      <c r="FU51" s="249"/>
      <c r="FX51" s="249"/>
      <c r="GA51" s="249"/>
      <c r="GD51" s="249"/>
      <c r="GG51" s="249"/>
      <c r="GJ51" s="249"/>
      <c r="GM51" s="249"/>
      <c r="GP51" s="249"/>
      <c r="GS51" s="249"/>
      <c r="GV51" s="249"/>
      <c r="GY51" s="249"/>
      <c r="HB51" s="249"/>
      <c r="HE51" s="249"/>
    </row>
    <row r="52" spans="1:213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>
        <f>E44/(E46*E45*E47*E48*E50*E51*(1/E49))</f>
        <v>2.1782200000021783E-2</v>
      </c>
      <c r="G52" s="249" t="s">
        <v>36</v>
      </c>
      <c r="H52" s="288">
        <f>(H53*H54*H58*H64*((1-EXP(-H59*H60))))/(H61*H59)</f>
        <v>3.6385326157733249</v>
      </c>
      <c r="I52" s="249" t="s">
        <v>19</v>
      </c>
      <c r="J52" s="263" t="s">
        <v>37</v>
      </c>
      <c r="K52" s="290">
        <f>B44</f>
        <v>2.5229999999999999E-2</v>
      </c>
      <c r="BW52" s="287"/>
      <c r="CZ52" s="267"/>
      <c r="DW52" s="264"/>
      <c r="DX52" s="264"/>
      <c r="DY52" s="328"/>
      <c r="DZ52" s="264"/>
      <c r="EB52" s="249"/>
      <c r="EE52" s="249"/>
      <c r="EH52" s="249"/>
      <c r="EK52" s="249"/>
      <c r="EN52" s="249"/>
      <c r="EQ52" s="249"/>
      <c r="ET52" s="249"/>
      <c r="EW52" s="249"/>
      <c r="EZ52" s="249"/>
      <c r="FC52" s="249"/>
      <c r="FF52" s="249"/>
      <c r="FI52" s="249"/>
      <c r="FL52" s="249"/>
      <c r="FO52" s="249"/>
      <c r="FR52" s="249"/>
      <c r="FU52" s="249"/>
      <c r="FX52" s="249"/>
      <c r="GA52" s="249"/>
      <c r="GD52" s="249"/>
      <c r="GG52" s="249"/>
      <c r="GJ52" s="249"/>
      <c r="GM52" s="249"/>
      <c r="GP52" s="249"/>
      <c r="GS52" s="249"/>
      <c r="GV52" s="249"/>
      <c r="GY52" s="249"/>
      <c r="HB52" s="249"/>
      <c r="HE52" s="249"/>
    </row>
    <row r="53" spans="1:213" x14ac:dyDescent="0.2">
      <c r="A53" s="262" t="s">
        <v>320</v>
      </c>
      <c r="B53" s="283">
        <v>200</v>
      </c>
      <c r="C53" s="263" t="s">
        <v>54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BV53" s="262"/>
      <c r="CZ53" s="267"/>
      <c r="EB53" s="249"/>
      <c r="EE53" s="249"/>
      <c r="EH53" s="249"/>
      <c r="EK53" s="249"/>
      <c r="EN53" s="249"/>
      <c r="EQ53" s="249"/>
      <c r="ET53" s="249"/>
      <c r="EW53" s="249"/>
      <c r="EZ53" s="249"/>
      <c r="FC53" s="249"/>
      <c r="FF53" s="249"/>
      <c r="FI53" s="249"/>
      <c r="FL53" s="249"/>
      <c r="FO53" s="249"/>
      <c r="FR53" s="249"/>
      <c r="FU53" s="249"/>
      <c r="FX53" s="249"/>
      <c r="GA53" s="249"/>
      <c r="GD53" s="249"/>
      <c r="GG53" s="249"/>
      <c r="GJ53" s="249"/>
      <c r="GM53" s="249"/>
      <c r="GP53" s="249"/>
      <c r="GS53" s="249"/>
      <c r="GV53" s="249"/>
      <c r="GY53" s="249"/>
      <c r="HB53" s="249"/>
      <c r="HE53" s="249"/>
    </row>
    <row r="54" spans="1:213" x14ac:dyDescent="0.2">
      <c r="A54" s="262" t="s">
        <v>321</v>
      </c>
      <c r="B54" s="283">
        <v>100</v>
      </c>
      <c r="C54" s="263" t="s">
        <v>54</v>
      </c>
      <c r="G54" s="262" t="s">
        <v>46</v>
      </c>
      <c r="H54" s="287">
        <f>B86</f>
        <v>0.25</v>
      </c>
      <c r="I54" s="249" t="s">
        <v>47</v>
      </c>
      <c r="BV54" s="262"/>
      <c r="CZ54" s="267"/>
      <c r="EB54" s="249"/>
      <c r="EE54" s="249"/>
      <c r="EH54" s="249"/>
      <c r="EK54" s="249"/>
      <c r="EN54" s="249"/>
      <c r="EQ54" s="249"/>
      <c r="ET54" s="249"/>
      <c r="EW54" s="249"/>
      <c r="EZ54" s="249"/>
      <c r="FC54" s="249"/>
      <c r="FF54" s="249"/>
      <c r="FI54" s="249"/>
      <c r="FL54" s="249"/>
      <c r="FO54" s="249"/>
      <c r="FR54" s="249"/>
      <c r="FU54" s="249"/>
      <c r="FX54" s="249"/>
      <c r="GA54" s="249"/>
      <c r="GD54" s="249"/>
      <c r="GG54" s="249"/>
      <c r="GJ54" s="249"/>
      <c r="GM54" s="249"/>
      <c r="GP54" s="249"/>
      <c r="GS54" s="249"/>
      <c r="GV54" s="249"/>
      <c r="GY54" s="249"/>
      <c r="HB54" s="249"/>
      <c r="HE54" s="249"/>
    </row>
    <row r="55" spans="1:213" x14ac:dyDescent="0.2">
      <c r="A55" s="262" t="s">
        <v>322</v>
      </c>
      <c r="B55" s="283">
        <v>0.78</v>
      </c>
      <c r="C55" s="262" t="s">
        <v>30</v>
      </c>
      <c r="G55" s="267" t="s">
        <v>55</v>
      </c>
      <c r="H55" s="303">
        <f>H62+H63</f>
        <v>8.9999999999999992E-5</v>
      </c>
      <c r="BV55" s="267"/>
      <c r="CZ55" s="267"/>
      <c r="EB55" s="249"/>
      <c r="EE55" s="249"/>
      <c r="EH55" s="249"/>
      <c r="EK55" s="249"/>
      <c r="EN55" s="249"/>
      <c r="EQ55" s="249"/>
      <c r="ET55" s="249"/>
      <c r="EW55" s="249"/>
      <c r="EZ55" s="249"/>
      <c r="FC55" s="249"/>
      <c r="FF55" s="249"/>
      <c r="FI55" s="249"/>
      <c r="FL55" s="249"/>
      <c r="FO55" s="249"/>
      <c r="FR55" s="249"/>
      <c r="FU55" s="249"/>
      <c r="FX55" s="249"/>
      <c r="GA55" s="249"/>
      <c r="GD55" s="249"/>
      <c r="GG55" s="249"/>
      <c r="GJ55" s="249"/>
      <c r="GM55" s="249"/>
      <c r="GP55" s="249"/>
      <c r="GS55" s="249"/>
      <c r="GV55" s="249"/>
      <c r="GY55" s="249"/>
      <c r="HB55" s="249"/>
      <c r="HE55" s="249"/>
    </row>
    <row r="56" spans="1:213" x14ac:dyDescent="0.2">
      <c r="A56" s="262" t="s">
        <v>323</v>
      </c>
      <c r="B56" s="283">
        <v>2.5</v>
      </c>
      <c r="C56" s="262" t="s">
        <v>30</v>
      </c>
      <c r="G56" s="267" t="s">
        <v>60</v>
      </c>
      <c r="H56" s="289">
        <f>B87</f>
        <v>10950</v>
      </c>
      <c r="I56" s="249" t="s">
        <v>61</v>
      </c>
      <c r="BV56" s="267"/>
      <c r="CZ56" s="267"/>
      <c r="EB56" s="249"/>
      <c r="EE56" s="249"/>
      <c r="EH56" s="249"/>
      <c r="EK56" s="249"/>
      <c r="EN56" s="249"/>
      <c r="EQ56" s="249"/>
      <c r="ET56" s="249"/>
      <c r="EW56" s="249"/>
      <c r="EZ56" s="249"/>
      <c r="FC56" s="249"/>
      <c r="FF56" s="249"/>
      <c r="FI56" s="249"/>
      <c r="FL56" s="249"/>
      <c r="FO56" s="249"/>
      <c r="FR56" s="249"/>
      <c r="FU56" s="249"/>
      <c r="FX56" s="249"/>
      <c r="GA56" s="249"/>
      <c r="GD56" s="249"/>
      <c r="GG56" s="249"/>
      <c r="GJ56" s="249"/>
      <c r="GM56" s="249"/>
      <c r="GP56" s="249"/>
      <c r="GS56" s="249"/>
      <c r="GV56" s="249"/>
      <c r="GY56" s="249"/>
      <c r="HB56" s="249"/>
      <c r="HE56" s="249"/>
    </row>
    <row r="57" spans="1:213" x14ac:dyDescent="0.2">
      <c r="A57" s="262" t="s">
        <v>337</v>
      </c>
      <c r="B57" s="283">
        <v>54</v>
      </c>
      <c r="C57" s="249" t="s">
        <v>54</v>
      </c>
      <c r="G57" s="267" t="s">
        <v>65</v>
      </c>
      <c r="H57" s="289">
        <f>B88</f>
        <v>240</v>
      </c>
      <c r="I57" s="249" t="s">
        <v>66</v>
      </c>
      <c r="BV57" s="267"/>
      <c r="CZ57" s="267"/>
      <c r="DA57" s="293"/>
      <c r="DB57" s="262"/>
      <c r="EB57" s="249"/>
      <c r="EE57" s="249"/>
      <c r="EH57" s="249"/>
      <c r="EK57" s="249"/>
      <c r="EN57" s="249"/>
      <c r="EQ57" s="249"/>
      <c r="ET57" s="249"/>
      <c r="EW57" s="249"/>
      <c r="EZ57" s="249"/>
      <c r="FC57" s="249"/>
      <c r="FF57" s="249"/>
      <c r="FI57" s="249"/>
      <c r="FL57" s="249"/>
      <c r="FO57" s="249"/>
      <c r="FR57" s="249"/>
      <c r="FU57" s="249"/>
      <c r="FX57" s="249"/>
      <c r="GA57" s="249"/>
      <c r="GD57" s="249"/>
      <c r="GG57" s="249"/>
      <c r="GJ57" s="249"/>
      <c r="GM57" s="249"/>
      <c r="GP57" s="249"/>
      <c r="GS57" s="249"/>
      <c r="GV57" s="249"/>
      <c r="GY57" s="249"/>
      <c r="HB57" s="249"/>
      <c r="HE57" s="249"/>
    </row>
    <row r="58" spans="1:213" x14ac:dyDescent="0.2">
      <c r="A58" s="249" t="s">
        <v>357</v>
      </c>
      <c r="B58" s="283">
        <v>32.799999999999997</v>
      </c>
      <c r="C58" s="249" t="s">
        <v>54</v>
      </c>
      <c r="G58" s="267" t="s">
        <v>76</v>
      </c>
      <c r="H58" s="289">
        <f>B89</f>
        <v>0.42</v>
      </c>
      <c r="I58" s="249" t="s">
        <v>47</v>
      </c>
      <c r="BV58" s="267"/>
      <c r="CZ58" s="267"/>
      <c r="DA58" s="293"/>
      <c r="DB58" s="262"/>
      <c r="EB58" s="249"/>
      <c r="EE58" s="249"/>
      <c r="EH58" s="249"/>
      <c r="EK58" s="249"/>
      <c r="EN58" s="249"/>
      <c r="EQ58" s="249"/>
      <c r="ET58" s="249"/>
      <c r="EW58" s="249"/>
      <c r="EZ58" s="249"/>
      <c r="FC58" s="249"/>
      <c r="FF58" s="249"/>
      <c r="FI58" s="249"/>
      <c r="FL58" s="249"/>
      <c r="FO58" s="249"/>
      <c r="FR58" s="249"/>
      <c r="FU58" s="249"/>
      <c r="FX58" s="249"/>
      <c r="GA58" s="249"/>
      <c r="GD58" s="249"/>
      <c r="GG58" s="249"/>
      <c r="GJ58" s="249"/>
      <c r="GM58" s="249"/>
      <c r="GP58" s="249"/>
      <c r="GS58" s="249"/>
      <c r="GV58" s="249"/>
      <c r="GY58" s="249"/>
      <c r="HB58" s="249"/>
      <c r="HE58" s="249"/>
    </row>
    <row r="59" spans="1:213" x14ac:dyDescent="0.2">
      <c r="A59" s="249" t="s">
        <v>336</v>
      </c>
      <c r="B59" s="283">
        <v>157.69999999999999</v>
      </c>
      <c r="C59" s="249" t="s">
        <v>54</v>
      </c>
      <c r="G59" s="267" t="s">
        <v>81</v>
      </c>
      <c r="H59" s="299">
        <f>H63+(0.693/H65)</f>
        <v>4.9562999999999996E-2</v>
      </c>
      <c r="I59" s="262" t="s">
        <v>82</v>
      </c>
      <c r="BV59" s="267"/>
      <c r="CZ59" s="267"/>
      <c r="DA59" s="293"/>
      <c r="DB59" s="262"/>
      <c r="EB59" s="249"/>
      <c r="EE59" s="249"/>
      <c r="EH59" s="249"/>
      <c r="EK59" s="249"/>
      <c r="EN59" s="249"/>
      <c r="EQ59" s="249"/>
      <c r="ET59" s="249"/>
      <c r="EW59" s="249"/>
      <c r="EZ59" s="249"/>
      <c r="FC59" s="249"/>
      <c r="FF59" s="249"/>
      <c r="FI59" s="249"/>
      <c r="FL59" s="249"/>
      <c r="FO59" s="249"/>
      <c r="FR59" s="249"/>
      <c r="FU59" s="249"/>
      <c r="FX59" s="249"/>
      <c r="GA59" s="249"/>
      <c r="GD59" s="249"/>
      <c r="GG59" s="249"/>
      <c r="GJ59" s="249"/>
      <c r="GM59" s="249"/>
      <c r="GP59" s="249"/>
      <c r="GS59" s="249"/>
      <c r="GV59" s="249"/>
      <c r="GY59" s="249"/>
      <c r="HB59" s="249"/>
      <c r="HE59" s="249"/>
    </row>
    <row r="60" spans="1:213" x14ac:dyDescent="0.2">
      <c r="A60" s="262" t="s">
        <v>332</v>
      </c>
      <c r="B60" s="283">
        <v>68.099999999999994</v>
      </c>
      <c r="C60" s="267" t="s">
        <v>254</v>
      </c>
      <c r="G60" s="267" t="s">
        <v>85</v>
      </c>
      <c r="H60" s="293">
        <f>B90</f>
        <v>60</v>
      </c>
      <c r="I60" s="262" t="s">
        <v>61</v>
      </c>
      <c r="BV60" s="267"/>
      <c r="CZ60" s="267"/>
      <c r="EB60" s="249"/>
      <c r="EE60" s="249"/>
      <c r="EH60" s="249"/>
      <c r="EK60" s="249"/>
      <c r="EN60" s="249"/>
      <c r="EQ60" s="249"/>
      <c r="ET60" s="249"/>
      <c r="EW60" s="249"/>
      <c r="EZ60" s="249"/>
      <c r="FC60" s="249"/>
      <c r="FF60" s="249"/>
      <c r="FI60" s="249"/>
      <c r="FL60" s="249"/>
      <c r="FO60" s="249"/>
      <c r="FR60" s="249"/>
      <c r="FU60" s="249"/>
      <c r="FX60" s="249"/>
      <c r="GA60" s="249"/>
      <c r="GD60" s="249"/>
      <c r="GG60" s="249"/>
      <c r="GJ60" s="249"/>
      <c r="GM60" s="249"/>
      <c r="GP60" s="249"/>
      <c r="GS60" s="249"/>
      <c r="GV60" s="249"/>
      <c r="GY60" s="249"/>
      <c r="HB60" s="249"/>
      <c r="HE60" s="249"/>
    </row>
    <row r="61" spans="1:213" x14ac:dyDescent="0.2">
      <c r="A61" s="262" t="s">
        <v>333</v>
      </c>
      <c r="B61" s="283">
        <v>188.5</v>
      </c>
      <c r="C61" s="267" t="s">
        <v>254</v>
      </c>
      <c r="G61" s="267" t="s">
        <v>87</v>
      </c>
      <c r="H61" s="293">
        <f>B91</f>
        <v>2</v>
      </c>
      <c r="I61" s="262" t="s">
        <v>66</v>
      </c>
      <c r="BV61" s="267"/>
      <c r="BW61" s="293"/>
      <c r="BX61" s="262"/>
      <c r="CZ61" s="267"/>
      <c r="DA61" s="287"/>
      <c r="EB61" s="249"/>
      <c r="EE61" s="249"/>
      <c r="EH61" s="249"/>
      <c r="EK61" s="249"/>
      <c r="EN61" s="249"/>
      <c r="EQ61" s="249"/>
      <c r="ET61" s="249"/>
      <c r="EW61" s="249"/>
      <c r="EZ61" s="249"/>
      <c r="FC61" s="249"/>
      <c r="FF61" s="249"/>
      <c r="FI61" s="249"/>
      <c r="FL61" s="249"/>
      <c r="FO61" s="249"/>
      <c r="FR61" s="249"/>
      <c r="FU61" s="249"/>
      <c r="FX61" s="249"/>
      <c r="GA61" s="249"/>
      <c r="GD61" s="249"/>
      <c r="GG61" s="249"/>
      <c r="GJ61" s="249"/>
      <c r="GM61" s="249"/>
      <c r="GP61" s="249"/>
      <c r="GS61" s="249"/>
      <c r="GV61" s="249"/>
      <c r="GY61" s="249"/>
      <c r="HB61" s="249"/>
      <c r="HE61" s="249"/>
    </row>
    <row r="62" spans="1:213" x14ac:dyDescent="0.2">
      <c r="A62" s="262" t="s">
        <v>334</v>
      </c>
      <c r="B62" s="283">
        <v>41.7</v>
      </c>
      <c r="C62" s="267" t="s">
        <v>254</v>
      </c>
      <c r="G62" s="267" t="s">
        <v>89</v>
      </c>
      <c r="H62" s="289">
        <f>B92</f>
        <v>2.6999999999999999E-5</v>
      </c>
      <c r="I62" s="249" t="s">
        <v>82</v>
      </c>
      <c r="BV62" s="267"/>
      <c r="BW62" s="293"/>
      <c r="BX62" s="262"/>
      <c r="CZ62" s="267"/>
      <c r="EB62" s="249"/>
      <c r="EE62" s="249"/>
      <c r="EH62" s="249"/>
      <c r="EK62" s="249"/>
      <c r="EN62" s="249"/>
      <c r="EQ62" s="249"/>
      <c r="ET62" s="249"/>
      <c r="EW62" s="249"/>
      <c r="EZ62" s="249"/>
      <c r="FC62" s="249"/>
      <c r="FF62" s="249"/>
      <c r="FI62" s="249"/>
      <c r="FL62" s="249"/>
      <c r="FO62" s="249"/>
      <c r="FR62" s="249"/>
      <c r="FU62" s="249"/>
      <c r="FX62" s="249"/>
      <c r="GA62" s="249"/>
      <c r="GD62" s="249"/>
      <c r="GG62" s="249"/>
      <c r="GJ62" s="249"/>
      <c r="GM62" s="249"/>
      <c r="GP62" s="249"/>
      <c r="GS62" s="249"/>
      <c r="GV62" s="249"/>
      <c r="GY62" s="249"/>
      <c r="HB62" s="249"/>
      <c r="HE62" s="249"/>
    </row>
    <row r="63" spans="1:213" x14ac:dyDescent="0.2">
      <c r="A63" s="262" t="s">
        <v>335</v>
      </c>
      <c r="B63" s="283">
        <v>128.9</v>
      </c>
      <c r="C63" s="267" t="s">
        <v>254</v>
      </c>
      <c r="G63" s="267" t="s">
        <v>90</v>
      </c>
      <c r="H63" s="288">
        <f>0.693/H67</f>
        <v>6.3E-5</v>
      </c>
      <c r="I63" s="249" t="s">
        <v>82</v>
      </c>
      <c r="BV63" s="267"/>
      <c r="BW63" s="293"/>
      <c r="BX63" s="262"/>
      <c r="CZ63" s="267"/>
      <c r="EB63" s="249"/>
      <c r="EE63" s="249"/>
      <c r="EH63" s="249"/>
      <c r="EK63" s="249"/>
      <c r="EN63" s="249"/>
      <c r="EQ63" s="249"/>
      <c r="ET63" s="249"/>
      <c r="EW63" s="249"/>
      <c r="EZ63" s="249"/>
      <c r="FC63" s="249"/>
      <c r="FF63" s="249"/>
      <c r="FI63" s="249"/>
      <c r="FL63" s="249"/>
      <c r="FO63" s="249"/>
      <c r="FR63" s="249"/>
      <c r="FU63" s="249"/>
      <c r="FX63" s="249"/>
      <c r="GA63" s="249"/>
      <c r="GD63" s="249"/>
      <c r="GG63" s="249"/>
      <c r="GJ63" s="249"/>
      <c r="GM63" s="249"/>
      <c r="GP63" s="249"/>
      <c r="GS63" s="249"/>
      <c r="GV63" s="249"/>
      <c r="GY63" s="249"/>
      <c r="HB63" s="249"/>
      <c r="HE63" s="249"/>
    </row>
    <row r="64" spans="1:213" x14ac:dyDescent="0.2">
      <c r="A64" s="262" t="s">
        <v>343</v>
      </c>
      <c r="B64" s="283">
        <v>6</v>
      </c>
      <c r="C64" s="264" t="s">
        <v>69</v>
      </c>
      <c r="G64" s="267" t="s">
        <v>91</v>
      </c>
      <c r="H64" s="289">
        <f>B93</f>
        <v>1</v>
      </c>
      <c r="I64" s="249" t="s">
        <v>47</v>
      </c>
      <c r="AI64" s="275"/>
      <c r="AJ64" s="353"/>
      <c r="AK64" s="275"/>
      <c r="BV64" s="267"/>
      <c r="EB64" s="249"/>
      <c r="EE64" s="249"/>
      <c r="EH64" s="249"/>
      <c r="EK64" s="249"/>
      <c r="EN64" s="249"/>
      <c r="EQ64" s="249"/>
      <c r="ET64" s="249"/>
      <c r="EW64" s="249"/>
      <c r="EZ64" s="249"/>
      <c r="FC64" s="249"/>
      <c r="FF64" s="249"/>
      <c r="FI64" s="249"/>
      <c r="FL64" s="249"/>
      <c r="FO64" s="249"/>
      <c r="FR64" s="249"/>
      <c r="FU64" s="249"/>
      <c r="FX64" s="249"/>
      <c r="GA64" s="249"/>
      <c r="GD64" s="249"/>
      <c r="GG64" s="249"/>
      <c r="GJ64" s="249"/>
      <c r="GM64" s="249"/>
      <c r="GP64" s="249"/>
      <c r="GS64" s="249"/>
      <c r="GV64" s="249"/>
      <c r="GY64" s="249"/>
      <c r="HB64" s="249"/>
      <c r="HE64" s="249"/>
    </row>
    <row r="65" spans="1:213" x14ac:dyDescent="0.2">
      <c r="A65" s="262" t="s">
        <v>342</v>
      </c>
      <c r="B65" s="283">
        <v>20</v>
      </c>
      <c r="C65" s="264" t="s">
        <v>69</v>
      </c>
      <c r="G65" s="267" t="s">
        <v>92</v>
      </c>
      <c r="H65" s="289">
        <f>B94</f>
        <v>14</v>
      </c>
      <c r="I65" s="249" t="s">
        <v>93</v>
      </c>
      <c r="AI65" s="275"/>
      <c r="AJ65" s="353"/>
      <c r="AK65" s="275"/>
      <c r="BV65" s="267"/>
      <c r="DD65" s="249"/>
      <c r="DG65" s="249"/>
      <c r="DJ65" s="249"/>
      <c r="DM65" s="249"/>
      <c r="DP65" s="249"/>
      <c r="DS65" s="249"/>
      <c r="DV65" s="249"/>
      <c r="DY65" s="249"/>
      <c r="EB65" s="249"/>
      <c r="EE65" s="249"/>
      <c r="EH65" s="249"/>
      <c r="EK65" s="249"/>
      <c r="EN65" s="249"/>
      <c r="EQ65" s="249"/>
      <c r="ET65" s="249"/>
      <c r="EW65" s="249"/>
      <c r="EZ65" s="249"/>
      <c r="FC65" s="249"/>
      <c r="FF65" s="249"/>
      <c r="FI65" s="249"/>
      <c r="FL65" s="249"/>
      <c r="FO65" s="249"/>
      <c r="FR65" s="249"/>
      <c r="FU65" s="249"/>
      <c r="FX65" s="249"/>
      <c r="GA65" s="249"/>
      <c r="GD65" s="249"/>
      <c r="GG65" s="249"/>
      <c r="GJ65" s="249"/>
      <c r="GM65" s="249"/>
      <c r="GP65" s="249"/>
      <c r="GS65" s="249"/>
      <c r="GV65" s="249"/>
      <c r="GY65" s="249"/>
      <c r="HB65" s="249"/>
      <c r="HE65" s="249"/>
    </row>
    <row r="66" spans="1:213" x14ac:dyDescent="0.2">
      <c r="A66" s="262" t="s">
        <v>341</v>
      </c>
      <c r="B66" s="283">
        <v>26</v>
      </c>
      <c r="C66" s="264" t="s">
        <v>69</v>
      </c>
      <c r="G66" s="249" t="s">
        <v>38</v>
      </c>
      <c r="H66" s="287">
        <f>B45</f>
        <v>2.9000000000000001E-2</v>
      </c>
      <c r="AI66" s="275"/>
      <c r="AJ66" s="353"/>
      <c r="AK66" s="275"/>
      <c r="BV66" s="267"/>
      <c r="CZ66" s="262"/>
      <c r="DA66" s="287"/>
      <c r="DD66" s="249"/>
      <c r="DG66" s="249"/>
      <c r="DJ66" s="249"/>
      <c r="DM66" s="249"/>
      <c r="DP66" s="249"/>
      <c r="DS66" s="249"/>
      <c r="DV66" s="249"/>
      <c r="DY66" s="249"/>
      <c r="EB66" s="249"/>
      <c r="EE66" s="249"/>
      <c r="EH66" s="249"/>
      <c r="EK66" s="249"/>
      <c r="EN66" s="249"/>
      <c r="EQ66" s="249"/>
      <c r="ET66" s="249"/>
      <c r="EW66" s="249"/>
      <c r="EZ66" s="249"/>
      <c r="FC66" s="249"/>
      <c r="FF66" s="249"/>
      <c r="FI66" s="249"/>
      <c r="FL66" s="249"/>
      <c r="FO66" s="249"/>
      <c r="FR66" s="249"/>
      <c r="FU66" s="249"/>
      <c r="FX66" s="249"/>
      <c r="GA66" s="249"/>
      <c r="GD66" s="249"/>
      <c r="GG66" s="249"/>
      <c r="GJ66" s="249"/>
      <c r="GM66" s="249"/>
      <c r="GP66" s="249"/>
      <c r="GS66" s="249"/>
      <c r="GV66" s="249"/>
      <c r="GY66" s="249"/>
      <c r="HB66" s="249"/>
      <c r="HE66" s="249"/>
    </row>
    <row r="67" spans="1:213" x14ac:dyDescent="0.2">
      <c r="A67" s="262" t="s">
        <v>340</v>
      </c>
      <c r="B67" s="283">
        <v>350</v>
      </c>
      <c r="C67" s="264" t="s">
        <v>26</v>
      </c>
      <c r="G67" s="262" t="s">
        <v>273</v>
      </c>
      <c r="H67" s="287">
        <f>B35</f>
        <v>11000</v>
      </c>
      <c r="I67" s="249" t="s">
        <v>257</v>
      </c>
      <c r="AI67" s="275"/>
      <c r="AJ67" s="353"/>
      <c r="AK67" s="275"/>
      <c r="BV67" s="267"/>
      <c r="DD67" s="249"/>
      <c r="DG67" s="249"/>
      <c r="DJ67" s="249"/>
      <c r="DM67" s="249"/>
      <c r="DP67" s="249"/>
      <c r="DS67" s="249"/>
      <c r="DV67" s="249"/>
      <c r="DY67" s="249"/>
      <c r="EB67" s="249"/>
      <c r="EE67" s="249"/>
      <c r="EH67" s="249"/>
      <c r="EK67" s="249"/>
      <c r="EN67" s="249"/>
      <c r="EQ67" s="249"/>
      <c r="ET67" s="249"/>
      <c r="EW67" s="249"/>
      <c r="EZ67" s="249"/>
      <c r="FC67" s="249"/>
      <c r="FF67" s="249"/>
      <c r="FI67" s="249"/>
      <c r="FL67" s="249"/>
      <c r="FO67" s="249"/>
      <c r="FR67" s="249"/>
      <c r="FU67" s="249"/>
      <c r="FX67" s="249"/>
      <c r="GA67" s="249"/>
      <c r="GD67" s="249"/>
      <c r="GG67" s="249"/>
      <c r="GJ67" s="249"/>
      <c r="GM67" s="249"/>
      <c r="GP67" s="249"/>
      <c r="GS67" s="249"/>
      <c r="GV67" s="249"/>
      <c r="GY67" s="249"/>
      <c r="HB67" s="249"/>
      <c r="HE67" s="249"/>
    </row>
    <row r="68" spans="1:213" x14ac:dyDescent="0.2">
      <c r="A68" s="262" t="s">
        <v>339</v>
      </c>
      <c r="B68" s="283">
        <v>350</v>
      </c>
      <c r="C68" s="264" t="s">
        <v>26</v>
      </c>
      <c r="AI68" s="275"/>
      <c r="AJ68" s="353"/>
      <c r="AK68" s="275"/>
      <c r="DD68" s="249"/>
      <c r="DG68" s="249"/>
      <c r="DJ68" s="249"/>
      <c r="DM68" s="249"/>
      <c r="DP68" s="249"/>
      <c r="DS68" s="249"/>
      <c r="DV68" s="249"/>
      <c r="DY68" s="249"/>
      <c r="EB68" s="249"/>
      <c r="EE68" s="249"/>
      <c r="EH68" s="249"/>
      <c r="EK68" s="249"/>
      <c r="EN68" s="249"/>
      <c r="EQ68" s="249"/>
      <c r="ET68" s="249"/>
      <c r="EW68" s="249"/>
      <c r="EZ68" s="249"/>
      <c r="FC68" s="249"/>
      <c r="FF68" s="249"/>
      <c r="FI68" s="249"/>
      <c r="FL68" s="249"/>
      <c r="FO68" s="249"/>
      <c r="FR68" s="249"/>
      <c r="FU68" s="249"/>
      <c r="FX68" s="249"/>
      <c r="GA68" s="249"/>
      <c r="GD68" s="249"/>
      <c r="GG68" s="249"/>
      <c r="GJ68" s="249"/>
      <c r="GM68" s="249"/>
      <c r="GP68" s="249"/>
      <c r="GS68" s="249"/>
      <c r="GV68" s="249"/>
      <c r="GY68" s="249"/>
      <c r="HB68" s="249"/>
      <c r="HE68" s="249"/>
    </row>
    <row r="69" spans="1:213" x14ac:dyDescent="0.2">
      <c r="A69" s="262" t="s">
        <v>338</v>
      </c>
      <c r="B69" s="283">
        <v>350</v>
      </c>
      <c r="C69" s="264" t="s">
        <v>26</v>
      </c>
      <c r="AI69" s="275"/>
      <c r="AJ69" s="353"/>
      <c r="AK69" s="275"/>
      <c r="BV69" s="262"/>
      <c r="BW69" s="287"/>
      <c r="DD69" s="249"/>
      <c r="DG69" s="249"/>
      <c r="DJ69" s="249"/>
      <c r="DM69" s="249"/>
      <c r="DP69" s="249"/>
      <c r="DS69" s="249"/>
      <c r="DV69" s="249"/>
      <c r="DY69" s="249"/>
      <c r="EB69" s="249"/>
      <c r="EE69" s="249"/>
      <c r="EH69" s="249"/>
      <c r="EK69" s="249"/>
      <c r="EN69" s="249"/>
      <c r="EQ69" s="249"/>
      <c r="ET69" s="249"/>
      <c r="EW69" s="249"/>
      <c r="EZ69" s="249"/>
      <c r="FC69" s="249"/>
      <c r="FF69" s="249"/>
      <c r="FI69" s="249"/>
      <c r="FL69" s="249"/>
      <c r="FO69" s="249"/>
      <c r="FR69" s="249"/>
      <c r="FU69" s="249"/>
      <c r="FX69" s="249"/>
      <c r="GA69" s="249"/>
      <c r="GD69" s="249"/>
      <c r="GG69" s="249"/>
      <c r="GJ69" s="249"/>
      <c r="GM69" s="249"/>
      <c r="GP69" s="249"/>
      <c r="GS69" s="249"/>
      <c r="GV69" s="249"/>
      <c r="GY69" s="249"/>
      <c r="HB69" s="249"/>
      <c r="HE69" s="249"/>
    </row>
    <row r="70" spans="1:213" x14ac:dyDescent="0.2">
      <c r="A70" s="249" t="s">
        <v>344</v>
      </c>
      <c r="B70" s="284">
        <v>0.54</v>
      </c>
      <c r="C70" s="92" t="s">
        <v>104</v>
      </c>
      <c r="AI70" s="275"/>
      <c r="AJ70" s="353"/>
      <c r="AK70" s="275"/>
      <c r="BV70" s="262"/>
      <c r="DD70" s="249"/>
      <c r="DG70" s="249"/>
      <c r="DJ70" s="249"/>
      <c r="DM70" s="249"/>
      <c r="DP70" s="249"/>
      <c r="DS70" s="249"/>
      <c r="DV70" s="249"/>
      <c r="DY70" s="249"/>
      <c r="EB70" s="249"/>
      <c r="EE70" s="249"/>
      <c r="EH70" s="249"/>
      <c r="EK70" s="249"/>
      <c r="EN70" s="249"/>
      <c r="EQ70" s="249"/>
      <c r="ET70" s="249"/>
      <c r="EW70" s="249"/>
      <c r="EZ70" s="249"/>
      <c r="FC70" s="249"/>
      <c r="FF70" s="249"/>
      <c r="FI70" s="249"/>
      <c r="FL70" s="249"/>
      <c r="FO70" s="249"/>
      <c r="FR70" s="249"/>
      <c r="FU70" s="249"/>
      <c r="FX70" s="249"/>
      <c r="GA70" s="249"/>
      <c r="GD70" s="249"/>
      <c r="GG70" s="249"/>
      <c r="GJ70" s="249"/>
      <c r="GM70" s="249"/>
      <c r="GP70" s="249"/>
      <c r="GS70" s="249"/>
      <c r="GV70" s="249"/>
      <c r="GY70" s="249"/>
      <c r="HB70" s="249"/>
      <c r="HE70" s="249"/>
    </row>
    <row r="71" spans="1:213" x14ac:dyDescent="0.2">
      <c r="A71" s="249" t="s">
        <v>345</v>
      </c>
      <c r="B71" s="284">
        <v>0.71</v>
      </c>
      <c r="C71" s="92" t="s">
        <v>104</v>
      </c>
      <c r="AI71" s="275"/>
      <c r="AJ71" s="353"/>
      <c r="AK71" s="275"/>
      <c r="BV71" s="262"/>
      <c r="DD71" s="249"/>
      <c r="DG71" s="249"/>
      <c r="DJ71" s="249"/>
      <c r="DM71" s="249"/>
      <c r="DP71" s="249"/>
      <c r="DS71" s="249"/>
      <c r="DV71" s="249"/>
      <c r="DY71" s="249"/>
      <c r="EB71" s="249"/>
      <c r="EE71" s="249"/>
      <c r="EH71" s="249"/>
      <c r="EK71" s="249"/>
      <c r="EN71" s="249"/>
      <c r="EQ71" s="249"/>
      <c r="ET71" s="249"/>
      <c r="EW71" s="249"/>
      <c r="EZ71" s="249"/>
      <c r="FC71" s="249"/>
      <c r="FF71" s="249"/>
      <c r="FI71" s="249"/>
      <c r="FL71" s="249"/>
      <c r="FO71" s="249"/>
      <c r="FR71" s="249"/>
      <c r="FU71" s="249"/>
      <c r="FX71" s="249"/>
      <c r="GA71" s="249"/>
      <c r="GD71" s="249"/>
      <c r="GG71" s="249"/>
      <c r="GJ71" s="249"/>
      <c r="GM71" s="249"/>
      <c r="GP71" s="249"/>
      <c r="GS71" s="249"/>
      <c r="GV71" s="249"/>
      <c r="GY71" s="249"/>
      <c r="HB71" s="249"/>
      <c r="HE71" s="249"/>
    </row>
    <row r="72" spans="1:213" x14ac:dyDescent="0.2">
      <c r="A72" s="262" t="s">
        <v>347</v>
      </c>
      <c r="B72" s="283">
        <v>24</v>
      </c>
      <c r="C72" s="264" t="s">
        <v>224</v>
      </c>
      <c r="AF72" s="277"/>
      <c r="AG72" s="353"/>
      <c r="AH72" s="275"/>
      <c r="AI72" s="275"/>
      <c r="AJ72" s="353"/>
      <c r="AK72" s="275"/>
      <c r="DD72" s="249"/>
      <c r="DG72" s="249"/>
      <c r="DJ72" s="249"/>
      <c r="DM72" s="249"/>
      <c r="DP72" s="249"/>
      <c r="DS72" s="249"/>
      <c r="DV72" s="249"/>
      <c r="DY72" s="249"/>
      <c r="EB72" s="249"/>
      <c r="EE72" s="249"/>
      <c r="EH72" s="249"/>
      <c r="EK72" s="249"/>
      <c r="EN72" s="249"/>
      <c r="EQ72" s="249"/>
      <c r="ET72" s="249"/>
      <c r="EW72" s="249"/>
      <c r="EZ72" s="249"/>
      <c r="FC72" s="249"/>
      <c r="FF72" s="249"/>
      <c r="FI72" s="249"/>
      <c r="FL72" s="249"/>
      <c r="FO72" s="249"/>
      <c r="FR72" s="249"/>
      <c r="FU72" s="249"/>
      <c r="FX72" s="249"/>
      <c r="GA72" s="249"/>
      <c r="GD72" s="249"/>
      <c r="GG72" s="249"/>
      <c r="GJ72" s="249"/>
      <c r="GM72" s="249"/>
      <c r="GP72" s="249"/>
      <c r="GS72" s="249"/>
      <c r="GV72" s="249"/>
      <c r="GY72" s="249"/>
      <c r="HB72" s="249"/>
      <c r="HE72" s="249"/>
    </row>
    <row r="73" spans="1:213" x14ac:dyDescent="0.2">
      <c r="A73" s="262" t="s">
        <v>348</v>
      </c>
      <c r="B73" s="283">
        <v>24</v>
      </c>
      <c r="C73" s="264" t="s">
        <v>224</v>
      </c>
      <c r="AF73" s="277"/>
      <c r="AG73" s="353"/>
      <c r="AH73" s="275"/>
      <c r="AI73" s="275"/>
      <c r="AJ73" s="353"/>
      <c r="AK73" s="275"/>
      <c r="DD73" s="249"/>
      <c r="DG73" s="249"/>
      <c r="DJ73" s="249"/>
      <c r="DM73" s="249"/>
      <c r="DP73" s="249"/>
      <c r="DS73" s="249"/>
      <c r="DV73" s="249"/>
      <c r="DY73" s="249"/>
      <c r="EB73" s="249"/>
      <c r="EE73" s="249"/>
      <c r="EH73" s="249"/>
      <c r="EK73" s="249"/>
      <c r="EN73" s="249"/>
      <c r="EQ73" s="249"/>
      <c r="ET73" s="249"/>
      <c r="EW73" s="249"/>
      <c r="EZ73" s="249"/>
      <c r="FC73" s="249"/>
      <c r="FF73" s="249"/>
      <c r="FI73" s="249"/>
      <c r="FL73" s="249"/>
      <c r="FO73" s="249"/>
      <c r="FR73" s="249"/>
      <c r="FU73" s="249"/>
      <c r="FX73" s="249"/>
      <c r="GA73" s="249"/>
      <c r="GD73" s="249"/>
      <c r="GG73" s="249"/>
      <c r="GJ73" s="249"/>
      <c r="GM73" s="249"/>
      <c r="GP73" s="249"/>
      <c r="GS73" s="249"/>
      <c r="GV73" s="249"/>
      <c r="GY73" s="249"/>
      <c r="HB73" s="249"/>
      <c r="HE73" s="249"/>
    </row>
    <row r="74" spans="1:213" x14ac:dyDescent="0.2">
      <c r="A74" s="262" t="s">
        <v>346</v>
      </c>
      <c r="B74" s="283">
        <v>24</v>
      </c>
      <c r="C74" s="264" t="s">
        <v>224</v>
      </c>
      <c r="AF74" s="277"/>
      <c r="AG74" s="353"/>
      <c r="AH74" s="275"/>
      <c r="AI74" s="275"/>
      <c r="AJ74" s="353"/>
      <c r="AK74" s="275"/>
      <c r="DD74" s="249"/>
      <c r="DG74" s="249"/>
      <c r="DJ74" s="249"/>
      <c r="DM74" s="249"/>
      <c r="DP74" s="249"/>
      <c r="DS74" s="249"/>
      <c r="DV74" s="249"/>
      <c r="DY74" s="249"/>
      <c r="EB74" s="249"/>
      <c r="EE74" s="249"/>
      <c r="EH74" s="249"/>
      <c r="EK74" s="249"/>
      <c r="EN74" s="249"/>
      <c r="EQ74" s="249"/>
      <c r="ET74" s="249"/>
      <c r="EW74" s="249"/>
      <c r="EZ74" s="249"/>
      <c r="FC74" s="249"/>
      <c r="FF74" s="249"/>
      <c r="FI74" s="249"/>
      <c r="FL74" s="249"/>
      <c r="FO74" s="249"/>
      <c r="FR74" s="249"/>
      <c r="FU74" s="249"/>
      <c r="FX74" s="249"/>
      <c r="GA74" s="249"/>
      <c r="GD74" s="249"/>
      <c r="GG74" s="249"/>
      <c r="GJ74" s="249"/>
      <c r="GM74" s="249"/>
      <c r="GP74" s="249"/>
      <c r="GS74" s="249"/>
      <c r="GV74" s="249"/>
      <c r="GY74" s="249"/>
      <c r="HB74" s="249"/>
      <c r="HE74" s="249"/>
    </row>
    <row r="75" spans="1:213" x14ac:dyDescent="0.2">
      <c r="A75" s="249" t="s">
        <v>349</v>
      </c>
      <c r="B75" s="284">
        <v>1</v>
      </c>
      <c r="C75" s="92" t="s">
        <v>98</v>
      </c>
      <c r="AF75" s="277"/>
      <c r="AG75" s="353"/>
      <c r="AH75" s="275"/>
      <c r="AI75" s="275"/>
      <c r="AJ75" s="353"/>
      <c r="AK75" s="275"/>
      <c r="DD75" s="249"/>
      <c r="DG75" s="249"/>
      <c r="DJ75" s="249"/>
      <c r="DM75" s="249"/>
      <c r="DP75" s="249"/>
      <c r="DS75" s="249"/>
      <c r="DV75" s="249"/>
      <c r="DY75" s="249"/>
      <c r="EB75" s="249"/>
      <c r="EE75" s="249"/>
      <c r="EH75" s="249"/>
      <c r="EK75" s="249"/>
      <c r="EN75" s="249"/>
      <c r="EQ75" s="249"/>
      <c r="ET75" s="249"/>
      <c r="EW75" s="249"/>
      <c r="EZ75" s="249"/>
      <c r="FC75" s="249"/>
      <c r="FF75" s="249"/>
      <c r="FI75" s="249"/>
      <c r="FL75" s="249"/>
      <c r="FO75" s="249"/>
      <c r="FR75" s="249"/>
      <c r="FU75" s="249"/>
      <c r="FX75" s="249"/>
      <c r="GA75" s="249"/>
      <c r="GD75" s="249"/>
      <c r="GG75" s="249"/>
      <c r="GJ75" s="249"/>
      <c r="GM75" s="249"/>
      <c r="GP75" s="249"/>
      <c r="GS75" s="249"/>
      <c r="GV75" s="249"/>
      <c r="GY75" s="249"/>
      <c r="HB75" s="249"/>
      <c r="HE75" s="249"/>
    </row>
    <row r="76" spans="1:213" x14ac:dyDescent="0.2">
      <c r="A76" s="249" t="s">
        <v>350</v>
      </c>
      <c r="B76" s="284">
        <v>1</v>
      </c>
      <c r="C76" s="92" t="s">
        <v>98</v>
      </c>
      <c r="AF76" s="277"/>
      <c r="AG76" s="353"/>
      <c r="AH76" s="275"/>
      <c r="AI76" s="275"/>
      <c r="AJ76" s="353"/>
      <c r="AK76" s="275"/>
      <c r="DD76" s="249"/>
      <c r="DG76" s="249"/>
      <c r="DJ76" s="249"/>
      <c r="DM76" s="249"/>
      <c r="DP76" s="249"/>
      <c r="DS76" s="249"/>
      <c r="DV76" s="249"/>
      <c r="DY76" s="249"/>
      <c r="EB76" s="249"/>
      <c r="EE76" s="249"/>
      <c r="EH76" s="249"/>
      <c r="EK76" s="249"/>
      <c r="EN76" s="249"/>
      <c r="EQ76" s="249"/>
      <c r="ET76" s="249"/>
      <c r="EW76" s="249"/>
      <c r="EZ76" s="249"/>
      <c r="FC76" s="249"/>
      <c r="FF76" s="249"/>
      <c r="FI76" s="249"/>
      <c r="FL76" s="249"/>
      <c r="FO76" s="249"/>
      <c r="FR76" s="249"/>
      <c r="FU76" s="249"/>
      <c r="FX76" s="249"/>
      <c r="GA76" s="249"/>
      <c r="GD76" s="249"/>
      <c r="GG76" s="249"/>
      <c r="GJ76" s="249"/>
      <c r="GM76" s="249"/>
      <c r="GP76" s="249"/>
      <c r="GS76" s="249"/>
      <c r="GV76" s="249"/>
      <c r="GY76" s="249"/>
      <c r="HB76" s="249"/>
      <c r="HE76" s="249"/>
    </row>
    <row r="77" spans="1:213" x14ac:dyDescent="0.2">
      <c r="A77" s="262" t="s">
        <v>103</v>
      </c>
      <c r="B77" s="283">
        <v>0.4</v>
      </c>
      <c r="C77" s="249"/>
      <c r="AF77" s="277"/>
      <c r="AG77" s="353"/>
      <c r="AH77" s="275"/>
      <c r="AI77" s="275"/>
      <c r="AJ77" s="353"/>
      <c r="AK77" s="275"/>
      <c r="DD77" s="249"/>
      <c r="DG77" s="249"/>
      <c r="DJ77" s="249"/>
      <c r="DM77" s="249"/>
      <c r="DP77" s="249"/>
      <c r="DS77" s="249"/>
      <c r="DV77" s="249"/>
      <c r="DY77" s="249"/>
      <c r="EB77" s="249"/>
      <c r="EE77" s="249"/>
      <c r="EH77" s="249"/>
      <c r="EK77" s="249"/>
      <c r="EN77" s="249"/>
      <c r="EQ77" s="249"/>
      <c r="ET77" s="249"/>
      <c r="EW77" s="249"/>
      <c r="EZ77" s="249"/>
      <c r="FC77" s="249"/>
      <c r="FF77" s="249"/>
      <c r="FI77" s="249"/>
      <c r="FL77" s="249"/>
      <c r="FO77" s="249"/>
      <c r="FR77" s="249"/>
      <c r="FU77" s="249"/>
      <c r="FX77" s="249"/>
      <c r="GA77" s="249"/>
      <c r="GD77" s="249"/>
      <c r="GG77" s="249"/>
      <c r="GJ77" s="249"/>
      <c r="GM77" s="249"/>
      <c r="GP77" s="249"/>
      <c r="GS77" s="249"/>
      <c r="GV77" s="249"/>
      <c r="GY77" s="249"/>
      <c r="HB77" s="249"/>
      <c r="HE77" s="249"/>
    </row>
    <row r="78" spans="1:213" x14ac:dyDescent="0.2">
      <c r="A78" s="249" t="s">
        <v>353</v>
      </c>
      <c r="B78" s="284">
        <v>1</v>
      </c>
      <c r="C78" s="247"/>
      <c r="AF78" s="277"/>
      <c r="AG78" s="353"/>
      <c r="DD78" s="249"/>
      <c r="DG78" s="249"/>
      <c r="DJ78" s="249"/>
      <c r="DM78" s="249"/>
      <c r="DP78" s="249"/>
      <c r="DS78" s="249"/>
      <c r="DV78" s="249"/>
      <c r="DY78" s="249"/>
      <c r="EB78" s="249"/>
      <c r="EE78" s="249"/>
      <c r="EH78" s="249"/>
      <c r="EK78" s="249"/>
      <c r="EN78" s="249"/>
      <c r="EQ78" s="249"/>
      <c r="ET78" s="249"/>
      <c r="EW78" s="249"/>
      <c r="EZ78" s="249"/>
      <c r="FC78" s="249"/>
      <c r="FF78" s="249"/>
      <c r="FI78" s="249"/>
      <c r="FL78" s="249"/>
      <c r="FO78" s="249"/>
      <c r="FR78" s="249"/>
      <c r="FU78" s="249"/>
      <c r="FX78" s="249"/>
      <c r="GA78" s="249"/>
      <c r="GD78" s="249"/>
      <c r="GG78" s="249"/>
      <c r="GJ78" s="249"/>
      <c r="GM78" s="249"/>
      <c r="GP78" s="249"/>
      <c r="GS78" s="249"/>
      <c r="GV78" s="249"/>
      <c r="GY78" s="249"/>
      <c r="HB78" s="249"/>
      <c r="HE78" s="249"/>
    </row>
    <row r="79" spans="1:213" x14ac:dyDescent="0.2">
      <c r="A79" s="249" t="s">
        <v>158</v>
      </c>
      <c r="B79" s="284">
        <v>0.4</v>
      </c>
      <c r="C79" s="247"/>
      <c r="AF79" s="277"/>
      <c r="AG79" s="353"/>
      <c r="AH79" s="275"/>
      <c r="AI79" s="275"/>
      <c r="AJ79" s="353"/>
      <c r="AK79" s="275"/>
      <c r="DD79" s="249"/>
      <c r="DG79" s="249"/>
      <c r="DJ79" s="249"/>
      <c r="DM79" s="249"/>
      <c r="DP79" s="249"/>
      <c r="DS79" s="249"/>
      <c r="DV79" s="249"/>
      <c r="DY79" s="249"/>
      <c r="EB79" s="249"/>
      <c r="EE79" s="249"/>
      <c r="EH79" s="249"/>
      <c r="EK79" s="249"/>
      <c r="EN79" s="249"/>
      <c r="EQ79" s="249"/>
      <c r="ET79" s="249"/>
      <c r="EW79" s="249"/>
      <c r="EZ79" s="249"/>
      <c r="FC79" s="249"/>
      <c r="FF79" s="249"/>
      <c r="FI79" s="249"/>
      <c r="FL79" s="249"/>
      <c r="FO79" s="249"/>
      <c r="FR79" s="249"/>
      <c r="FU79" s="249"/>
      <c r="FX79" s="249"/>
      <c r="GA79" s="249"/>
      <c r="GD79" s="249"/>
      <c r="GG79" s="249"/>
      <c r="GJ79" s="249"/>
      <c r="GM79" s="249"/>
      <c r="GP79" s="249"/>
      <c r="GS79" s="249"/>
      <c r="GV79" s="249"/>
      <c r="GY79" s="249"/>
      <c r="HB79" s="249"/>
      <c r="HE79" s="249"/>
    </row>
    <row r="80" spans="1:213" x14ac:dyDescent="0.2">
      <c r="A80" s="249" t="s">
        <v>159</v>
      </c>
      <c r="B80" s="284">
        <v>1</v>
      </c>
      <c r="C80" s="247"/>
      <c r="AF80" s="277"/>
      <c r="AG80" s="353"/>
      <c r="AH80" s="275"/>
      <c r="AI80" s="275"/>
      <c r="AJ80" s="353"/>
      <c r="AK80" s="275"/>
      <c r="DD80" s="249"/>
      <c r="DG80" s="249"/>
      <c r="DJ80" s="249"/>
      <c r="DM80" s="249"/>
      <c r="DP80" s="249"/>
      <c r="DS80" s="249"/>
      <c r="DV80" s="249"/>
      <c r="DY80" s="249"/>
      <c r="EB80" s="249"/>
      <c r="EE80" s="249"/>
      <c r="EH80" s="249"/>
      <c r="EK80" s="249"/>
      <c r="EN80" s="249"/>
      <c r="EQ80" s="249"/>
      <c r="ET80" s="249"/>
      <c r="EW80" s="249"/>
      <c r="EZ80" s="249"/>
      <c r="FC80" s="249"/>
      <c r="FF80" s="249"/>
      <c r="FI80" s="249"/>
      <c r="FL80" s="249"/>
      <c r="FO80" s="249"/>
      <c r="FR80" s="249"/>
      <c r="FU80" s="249"/>
      <c r="FX80" s="249"/>
      <c r="GA80" s="249"/>
      <c r="GD80" s="249"/>
      <c r="GG80" s="249"/>
      <c r="GJ80" s="249"/>
      <c r="GM80" s="249"/>
      <c r="GP80" s="249"/>
      <c r="GS80" s="249"/>
      <c r="GV80" s="249"/>
      <c r="GY80" s="249"/>
      <c r="HB80" s="249"/>
      <c r="HE80" s="249"/>
    </row>
    <row r="81" spans="1:213" x14ac:dyDescent="0.2">
      <c r="A81" s="249" t="s">
        <v>354</v>
      </c>
      <c r="B81" s="284">
        <v>1</v>
      </c>
      <c r="C81" s="247"/>
      <c r="AF81" s="277"/>
      <c r="AG81" s="353"/>
      <c r="AH81" s="275"/>
      <c r="AI81" s="275"/>
      <c r="AJ81" s="353"/>
      <c r="AK81" s="275"/>
      <c r="AM81" s="249"/>
      <c r="AP81" s="249"/>
      <c r="AS81" s="249"/>
      <c r="AV81" s="249"/>
      <c r="AY81" s="249"/>
      <c r="BB81" s="249"/>
      <c r="BE81" s="249"/>
      <c r="BH81" s="249"/>
      <c r="BK81" s="249"/>
      <c r="BN81" s="249"/>
      <c r="BQ81" s="249"/>
      <c r="BT81" s="249"/>
      <c r="BW81" s="249"/>
      <c r="BZ81" s="249"/>
      <c r="CC81" s="249"/>
      <c r="CF81" s="249"/>
      <c r="CI81" s="249"/>
      <c r="CL81" s="249"/>
      <c r="CO81" s="249"/>
      <c r="CR81" s="249"/>
      <c r="CU81" s="249"/>
      <c r="CX81" s="249"/>
      <c r="DA81" s="249"/>
      <c r="DD81" s="249"/>
      <c r="DG81" s="249"/>
      <c r="DJ81" s="249"/>
      <c r="DM81" s="249"/>
      <c r="DP81" s="249"/>
      <c r="DS81" s="249"/>
      <c r="DV81" s="249"/>
      <c r="DY81" s="249"/>
      <c r="EB81" s="249"/>
      <c r="EE81" s="249"/>
      <c r="EH81" s="249"/>
      <c r="EK81" s="249"/>
      <c r="EN81" s="249"/>
      <c r="EQ81" s="249"/>
      <c r="ET81" s="249"/>
      <c r="EW81" s="249"/>
      <c r="EZ81" s="249"/>
      <c r="FC81" s="249"/>
      <c r="FF81" s="249"/>
      <c r="FI81" s="249"/>
      <c r="FL81" s="249"/>
      <c r="FO81" s="249"/>
      <c r="FR81" s="249"/>
      <c r="FU81" s="249"/>
      <c r="FX81" s="249"/>
      <c r="GA81" s="249"/>
      <c r="GD81" s="249"/>
      <c r="GG81" s="249"/>
      <c r="GJ81" s="249"/>
      <c r="GM81" s="249"/>
      <c r="GP81" s="249"/>
      <c r="GS81" s="249"/>
      <c r="GV81" s="249"/>
      <c r="GY81" s="249"/>
      <c r="HB81" s="249"/>
      <c r="HE81" s="249"/>
    </row>
    <row r="82" spans="1:213" x14ac:dyDescent="0.2">
      <c r="A82" s="262" t="s">
        <v>124</v>
      </c>
      <c r="B82" s="284">
        <v>1</v>
      </c>
      <c r="C82" s="263" t="s">
        <v>125</v>
      </c>
      <c r="AF82" s="277"/>
      <c r="AG82" s="353"/>
      <c r="AH82" s="275"/>
      <c r="AI82" s="275"/>
      <c r="AJ82" s="353"/>
      <c r="AK82" s="275"/>
      <c r="AM82" s="249"/>
      <c r="AP82" s="249"/>
      <c r="AS82" s="249"/>
      <c r="AV82" s="249"/>
      <c r="AY82" s="249"/>
      <c r="BB82" s="249"/>
      <c r="BE82" s="249"/>
      <c r="BH82" s="249"/>
      <c r="BK82" s="249"/>
      <c r="BN82" s="249"/>
      <c r="BQ82" s="249"/>
      <c r="BT82" s="249"/>
      <c r="BW82" s="249"/>
      <c r="BZ82" s="249"/>
      <c r="CC82" s="249"/>
      <c r="CF82" s="249"/>
      <c r="CI82" s="249"/>
      <c r="CL82" s="249"/>
      <c r="CO82" s="249"/>
      <c r="CR82" s="249"/>
      <c r="CU82" s="249"/>
      <c r="CX82" s="249"/>
      <c r="DA82" s="249"/>
      <c r="DD82" s="249"/>
      <c r="DG82" s="249"/>
      <c r="DJ82" s="249"/>
      <c r="DM82" s="249"/>
      <c r="DP82" s="249"/>
      <c r="DS82" s="249"/>
      <c r="DV82" s="249"/>
      <c r="DY82" s="249"/>
      <c r="EB82" s="249"/>
      <c r="EE82" s="249"/>
      <c r="EH82" s="249"/>
      <c r="EK82" s="249"/>
      <c r="EN82" s="249"/>
      <c r="EQ82" s="249"/>
      <c r="ET82" s="249"/>
      <c r="EW82" s="249"/>
      <c r="EZ82" s="249"/>
      <c r="FC82" s="249"/>
      <c r="FF82" s="249"/>
      <c r="FI82" s="249"/>
      <c r="FL82" s="249"/>
      <c r="FO82" s="249"/>
      <c r="FR82" s="249"/>
      <c r="FU82" s="249"/>
      <c r="FX82" s="249"/>
      <c r="GA82" s="249"/>
      <c r="GD82" s="249"/>
      <c r="GG82" s="249"/>
      <c r="GJ82" s="249"/>
      <c r="GM82" s="249"/>
      <c r="GP82" s="249"/>
      <c r="GS82" s="249"/>
      <c r="GV82" s="249"/>
      <c r="GY82" s="249"/>
      <c r="HB82" s="249"/>
      <c r="HE82" s="249"/>
    </row>
    <row r="83" spans="1:213" x14ac:dyDescent="0.2">
      <c r="A83" s="249" t="s">
        <v>83</v>
      </c>
      <c r="B83" s="284">
        <v>0.5</v>
      </c>
      <c r="C83" s="249" t="s">
        <v>84</v>
      </c>
      <c r="AF83" s="277"/>
      <c r="AG83" s="353"/>
      <c r="AM83" s="249"/>
      <c r="AP83" s="249"/>
      <c r="AS83" s="249"/>
      <c r="AV83" s="249"/>
      <c r="AY83" s="249"/>
      <c r="BB83" s="249"/>
      <c r="BE83" s="249"/>
      <c r="BH83" s="249"/>
      <c r="BK83" s="249"/>
      <c r="BN83" s="249"/>
      <c r="BQ83" s="249"/>
      <c r="BT83" s="249"/>
      <c r="BW83" s="249"/>
      <c r="BZ83" s="249"/>
      <c r="CC83" s="249"/>
      <c r="CF83" s="249"/>
      <c r="CI83" s="249"/>
      <c r="CL83" s="249"/>
      <c r="CO83" s="249"/>
      <c r="CR83" s="249"/>
      <c r="CU83" s="249"/>
      <c r="CX83" s="249"/>
      <c r="DA83" s="249"/>
      <c r="DD83" s="249"/>
      <c r="DG83" s="249"/>
      <c r="DJ83" s="249"/>
      <c r="DM83" s="249"/>
      <c r="DP83" s="249"/>
      <c r="DS83" s="249"/>
      <c r="DV83" s="249"/>
      <c r="DY83" s="249"/>
      <c r="EB83" s="249"/>
      <c r="EE83" s="249"/>
      <c r="EH83" s="249"/>
      <c r="EK83" s="249"/>
      <c r="EN83" s="249"/>
      <c r="EQ83" s="249"/>
      <c r="ET83" s="249"/>
      <c r="EW83" s="249"/>
      <c r="EZ83" s="249"/>
      <c r="FC83" s="249"/>
      <c r="FF83" s="249"/>
      <c r="FI83" s="249"/>
      <c r="FL83" s="249"/>
      <c r="FO83" s="249"/>
      <c r="FR83" s="249"/>
      <c r="FU83" s="249"/>
      <c r="FX83" s="249"/>
      <c r="GA83" s="249"/>
      <c r="GD83" s="249"/>
      <c r="GG83" s="249"/>
      <c r="GJ83" s="249"/>
      <c r="GM83" s="249"/>
      <c r="GP83" s="249"/>
      <c r="GS83" s="249"/>
      <c r="GV83" s="249"/>
      <c r="GY83" s="249"/>
      <c r="HB83" s="249"/>
      <c r="HE83" s="249"/>
    </row>
    <row r="84" spans="1:213" x14ac:dyDescent="0.2">
      <c r="A84" s="249" t="s">
        <v>355</v>
      </c>
      <c r="B84" s="284">
        <v>0.25</v>
      </c>
      <c r="C84" s="247"/>
      <c r="AF84" s="277"/>
      <c r="AG84" s="353"/>
      <c r="AH84" s="275"/>
      <c r="AI84" s="275"/>
      <c r="AJ84" s="353"/>
      <c r="AK84" s="275"/>
      <c r="AM84" s="249"/>
      <c r="AP84" s="249"/>
      <c r="AS84" s="249"/>
      <c r="AV84" s="249"/>
      <c r="AY84" s="249"/>
      <c r="BB84" s="249"/>
      <c r="BE84" s="249"/>
      <c r="BH84" s="249"/>
      <c r="BK84" s="249"/>
      <c r="BN84" s="249"/>
      <c r="BQ84" s="249"/>
      <c r="BT84" s="249"/>
      <c r="BW84" s="249"/>
      <c r="BZ84" s="249"/>
      <c r="CC84" s="249"/>
      <c r="CF84" s="249"/>
      <c r="CI84" s="249"/>
      <c r="CL84" s="249"/>
      <c r="CO84" s="249"/>
      <c r="CR84" s="249"/>
      <c r="CU84" s="249"/>
      <c r="CX84" s="249"/>
      <c r="DA84" s="249"/>
      <c r="DD84" s="249"/>
      <c r="DG84" s="249"/>
      <c r="DJ84" s="249"/>
      <c r="DM84" s="249"/>
      <c r="DP84" s="249"/>
      <c r="DS84" s="249"/>
      <c r="DV84" s="249"/>
      <c r="DY84" s="249"/>
      <c r="EB84" s="249"/>
      <c r="EE84" s="249"/>
      <c r="EH84" s="249"/>
      <c r="EK84" s="249"/>
      <c r="EN84" s="249"/>
      <c r="EQ84" s="249"/>
      <c r="ET84" s="249"/>
      <c r="EW84" s="249"/>
      <c r="EZ84" s="249"/>
      <c r="FC84" s="249"/>
      <c r="FF84" s="249"/>
      <c r="FI84" s="249"/>
      <c r="FL84" s="249"/>
      <c r="FO84" s="249"/>
      <c r="FR84" s="249"/>
      <c r="FU84" s="249"/>
      <c r="FX84" s="249"/>
      <c r="GA84" s="249"/>
      <c r="GD84" s="249"/>
      <c r="GG84" s="249"/>
      <c r="GJ84" s="249"/>
      <c r="GM84" s="249"/>
      <c r="GP84" s="249"/>
      <c r="GS84" s="249"/>
      <c r="GV84" s="249"/>
      <c r="GY84" s="249"/>
      <c r="HB84" s="249"/>
      <c r="HE84" s="249"/>
    </row>
    <row r="85" spans="1:213" x14ac:dyDescent="0.2">
      <c r="A85" s="262" t="s">
        <v>41</v>
      </c>
      <c r="B85" s="284">
        <v>3.62</v>
      </c>
      <c r="C85" s="249" t="s">
        <v>42</v>
      </c>
      <c r="AF85" s="277"/>
      <c r="AG85" s="353"/>
      <c r="AM85" s="249"/>
      <c r="AP85" s="249"/>
      <c r="AS85" s="249"/>
      <c r="AV85" s="249"/>
      <c r="AY85" s="249"/>
      <c r="BB85" s="249"/>
      <c r="BE85" s="249"/>
      <c r="BH85" s="249"/>
      <c r="BK85" s="249"/>
      <c r="BN85" s="249"/>
      <c r="BQ85" s="249"/>
      <c r="BT85" s="249"/>
      <c r="BW85" s="249"/>
      <c r="BZ85" s="249"/>
      <c r="CC85" s="249"/>
      <c r="CF85" s="249"/>
      <c r="CI85" s="249"/>
      <c r="CL85" s="249"/>
      <c r="CO85" s="249"/>
      <c r="CR85" s="249"/>
      <c r="CU85" s="249"/>
      <c r="CX85" s="249"/>
      <c r="DA85" s="249"/>
      <c r="DD85" s="249"/>
      <c r="DG85" s="249"/>
      <c r="DJ85" s="249"/>
      <c r="DM85" s="249"/>
      <c r="DP85" s="249"/>
      <c r="DS85" s="249"/>
      <c r="DV85" s="249"/>
      <c r="DY85" s="249"/>
      <c r="EB85" s="249"/>
      <c r="EE85" s="249"/>
      <c r="EH85" s="249"/>
      <c r="EK85" s="249"/>
      <c r="EN85" s="249"/>
      <c r="EQ85" s="249"/>
      <c r="ET85" s="249"/>
      <c r="EW85" s="249"/>
      <c r="EZ85" s="249"/>
      <c r="FC85" s="249"/>
      <c r="FF85" s="249"/>
      <c r="FI85" s="249"/>
      <c r="FL85" s="249"/>
      <c r="FO85" s="249"/>
      <c r="FR85" s="249"/>
      <c r="FU85" s="249"/>
      <c r="FX85" s="249"/>
      <c r="GA85" s="249"/>
      <c r="GD85" s="249"/>
      <c r="GG85" s="249"/>
      <c r="GJ85" s="249"/>
      <c r="GM85" s="249"/>
      <c r="GP85" s="249"/>
      <c r="GS85" s="249"/>
      <c r="GV85" s="249"/>
      <c r="GY85" s="249"/>
      <c r="HB85" s="249"/>
      <c r="HE85" s="249"/>
    </row>
    <row r="86" spans="1:213" x14ac:dyDescent="0.2">
      <c r="A86" s="262" t="s">
        <v>46</v>
      </c>
      <c r="B86" s="284">
        <v>0.25</v>
      </c>
      <c r="C86" s="249" t="s">
        <v>47</v>
      </c>
      <c r="AH86" s="276"/>
      <c r="AI86" s="276"/>
      <c r="AJ86" s="277"/>
      <c r="AK86" s="276"/>
      <c r="AM86" s="249"/>
      <c r="AP86" s="249"/>
      <c r="AS86" s="249"/>
      <c r="AV86" s="249"/>
      <c r="AY86" s="249"/>
      <c r="BB86" s="249"/>
      <c r="BE86" s="249"/>
      <c r="BH86" s="249"/>
      <c r="BK86" s="249"/>
      <c r="BN86" s="249"/>
      <c r="BQ86" s="249"/>
      <c r="BT86" s="249"/>
      <c r="BW86" s="249"/>
      <c r="BZ86" s="249"/>
      <c r="CC86" s="249"/>
      <c r="CF86" s="249"/>
      <c r="CI86" s="249"/>
      <c r="CL86" s="249"/>
      <c r="CO86" s="249"/>
      <c r="CR86" s="249"/>
      <c r="CU86" s="249"/>
      <c r="CX86" s="249"/>
      <c r="DA86" s="249"/>
      <c r="DD86" s="249"/>
      <c r="DG86" s="249"/>
      <c r="DJ86" s="249"/>
      <c r="DM86" s="249"/>
      <c r="DP86" s="249"/>
      <c r="DS86" s="249"/>
      <c r="DV86" s="249"/>
      <c r="DY86" s="249"/>
      <c r="EB86" s="249"/>
      <c r="EE86" s="249"/>
      <c r="EH86" s="249"/>
      <c r="EK86" s="249"/>
      <c r="EN86" s="249"/>
      <c r="EQ86" s="249"/>
      <c r="ET86" s="249"/>
      <c r="EW86" s="249"/>
      <c r="EZ86" s="249"/>
      <c r="FC86" s="249"/>
      <c r="FF86" s="249"/>
      <c r="FI86" s="249"/>
      <c r="FL86" s="249"/>
      <c r="FO86" s="249"/>
      <c r="FR86" s="249"/>
      <c r="FU86" s="249"/>
      <c r="FX86" s="249"/>
      <c r="GA86" s="249"/>
      <c r="GD86" s="249"/>
      <c r="GG86" s="249"/>
      <c r="GJ86" s="249"/>
      <c r="GM86" s="249"/>
      <c r="GP86" s="249"/>
      <c r="GS86" s="249"/>
      <c r="GV86" s="249"/>
      <c r="GY86" s="249"/>
      <c r="HB86" s="249"/>
      <c r="HE86" s="249"/>
    </row>
    <row r="87" spans="1:213" x14ac:dyDescent="0.2">
      <c r="A87" s="267" t="s">
        <v>60</v>
      </c>
      <c r="B87" s="284">
        <v>10950</v>
      </c>
      <c r="C87" s="249" t="s">
        <v>61</v>
      </c>
      <c r="AM87" s="249"/>
      <c r="AP87" s="249"/>
      <c r="AS87" s="249"/>
      <c r="AV87" s="249"/>
      <c r="AY87" s="249"/>
      <c r="BB87" s="249"/>
      <c r="BE87" s="249"/>
      <c r="BH87" s="249"/>
      <c r="BK87" s="249"/>
      <c r="BN87" s="249"/>
      <c r="BQ87" s="249"/>
      <c r="BT87" s="249"/>
      <c r="BW87" s="249"/>
      <c r="BZ87" s="249"/>
      <c r="CC87" s="249"/>
      <c r="CF87" s="249"/>
      <c r="CI87" s="249"/>
      <c r="CL87" s="249"/>
      <c r="CO87" s="249"/>
      <c r="CR87" s="249"/>
      <c r="CU87" s="249"/>
      <c r="CX87" s="249"/>
      <c r="DA87" s="249"/>
      <c r="DD87" s="249"/>
      <c r="DG87" s="249"/>
      <c r="DJ87" s="249"/>
      <c r="DM87" s="249"/>
      <c r="DP87" s="249"/>
      <c r="DS87" s="249"/>
      <c r="DV87" s="249"/>
      <c r="DY87" s="249"/>
      <c r="EB87" s="249"/>
      <c r="EE87" s="249"/>
      <c r="EH87" s="249"/>
      <c r="EK87" s="249"/>
      <c r="EN87" s="249"/>
      <c r="EQ87" s="249"/>
      <c r="ET87" s="249"/>
      <c r="EW87" s="249"/>
      <c r="EZ87" s="249"/>
      <c r="FC87" s="249"/>
      <c r="FF87" s="249"/>
      <c r="FI87" s="249"/>
      <c r="FL87" s="249"/>
      <c r="FO87" s="249"/>
      <c r="FR87" s="249"/>
      <c r="FU87" s="249"/>
      <c r="FX87" s="249"/>
      <c r="GA87" s="249"/>
      <c r="GD87" s="249"/>
      <c r="GG87" s="249"/>
      <c r="GJ87" s="249"/>
      <c r="GM87" s="249"/>
      <c r="GP87" s="249"/>
      <c r="GS87" s="249"/>
      <c r="GV87" s="249"/>
      <c r="GY87" s="249"/>
      <c r="HB87" s="249"/>
      <c r="HE87" s="249"/>
    </row>
    <row r="88" spans="1:213" x14ac:dyDescent="0.2">
      <c r="A88" s="267" t="s">
        <v>65</v>
      </c>
      <c r="B88" s="284">
        <v>240</v>
      </c>
      <c r="C88" s="249" t="s">
        <v>66</v>
      </c>
      <c r="AM88" s="249"/>
      <c r="AP88" s="249"/>
      <c r="AS88" s="249"/>
      <c r="AV88" s="249"/>
      <c r="AY88" s="249"/>
      <c r="BB88" s="249"/>
      <c r="BE88" s="249"/>
      <c r="BH88" s="249"/>
      <c r="BK88" s="249"/>
      <c r="BN88" s="249"/>
      <c r="BQ88" s="249"/>
      <c r="BT88" s="249"/>
      <c r="BW88" s="249"/>
      <c r="BZ88" s="249"/>
      <c r="CC88" s="249"/>
      <c r="CF88" s="249"/>
      <c r="CI88" s="249"/>
      <c r="CL88" s="249"/>
      <c r="CO88" s="249"/>
      <c r="CR88" s="249"/>
      <c r="CU88" s="249"/>
      <c r="CX88" s="249"/>
      <c r="DA88" s="249"/>
      <c r="DD88" s="249"/>
      <c r="DG88" s="249"/>
      <c r="DJ88" s="249"/>
      <c r="DM88" s="249"/>
      <c r="DP88" s="249"/>
      <c r="DS88" s="249"/>
      <c r="DV88" s="249"/>
      <c r="DY88" s="249"/>
      <c r="EB88" s="249"/>
      <c r="EE88" s="249"/>
      <c r="EH88" s="249"/>
      <c r="EK88" s="249"/>
      <c r="EN88" s="249"/>
      <c r="EQ88" s="249"/>
      <c r="ET88" s="249"/>
      <c r="EW88" s="249"/>
      <c r="EZ88" s="249"/>
      <c r="FC88" s="249"/>
      <c r="FF88" s="249"/>
      <c r="FI88" s="249"/>
      <c r="FL88" s="249"/>
      <c r="FO88" s="249"/>
      <c r="FR88" s="249"/>
      <c r="FU88" s="249"/>
      <c r="FX88" s="249"/>
      <c r="GA88" s="249"/>
      <c r="GD88" s="249"/>
      <c r="GG88" s="249"/>
      <c r="GJ88" s="249"/>
      <c r="GM88" s="249"/>
      <c r="GP88" s="249"/>
      <c r="GS88" s="249"/>
      <c r="GV88" s="249"/>
      <c r="GY88" s="249"/>
      <c r="HB88" s="249"/>
      <c r="HE88" s="249"/>
    </row>
    <row r="89" spans="1:213" x14ac:dyDescent="0.2">
      <c r="A89" s="267" t="s">
        <v>76</v>
      </c>
      <c r="B89" s="284">
        <v>0.42</v>
      </c>
      <c r="C89" s="249" t="s">
        <v>47</v>
      </c>
      <c r="AM89" s="249"/>
      <c r="AP89" s="249"/>
      <c r="AS89" s="249"/>
      <c r="AV89" s="249"/>
      <c r="AY89" s="249"/>
      <c r="BB89" s="249"/>
      <c r="BE89" s="249"/>
      <c r="BH89" s="249"/>
      <c r="BK89" s="249"/>
      <c r="BN89" s="249"/>
      <c r="BQ89" s="249"/>
      <c r="BT89" s="249"/>
      <c r="BW89" s="249"/>
      <c r="BZ89" s="249"/>
      <c r="CC89" s="249"/>
      <c r="CF89" s="249"/>
      <c r="CI89" s="249"/>
      <c r="CL89" s="249"/>
      <c r="CO89" s="249"/>
      <c r="CR89" s="249"/>
      <c r="CU89" s="249"/>
      <c r="CX89" s="249"/>
      <c r="DA89" s="249"/>
      <c r="DD89" s="249"/>
      <c r="DG89" s="249"/>
      <c r="DJ89" s="249"/>
      <c r="DM89" s="249"/>
      <c r="DP89" s="249"/>
      <c r="DS89" s="249"/>
      <c r="DV89" s="249"/>
      <c r="DY89" s="249"/>
      <c r="EB89" s="249"/>
      <c r="EE89" s="249"/>
      <c r="EH89" s="249"/>
      <c r="EK89" s="249"/>
      <c r="EN89" s="249"/>
      <c r="EQ89" s="249"/>
      <c r="ET89" s="249"/>
      <c r="EW89" s="249"/>
      <c r="EZ89" s="249"/>
      <c r="FC89" s="249"/>
      <c r="FF89" s="249"/>
      <c r="FI89" s="249"/>
      <c r="FL89" s="249"/>
      <c r="FO89" s="249"/>
      <c r="FR89" s="249"/>
      <c r="FU89" s="249"/>
      <c r="FX89" s="249"/>
      <c r="GA89" s="249"/>
      <c r="GD89" s="249"/>
      <c r="GG89" s="249"/>
      <c r="GJ89" s="249"/>
      <c r="GM89" s="249"/>
      <c r="GP89" s="249"/>
      <c r="GS89" s="249"/>
      <c r="GV89" s="249"/>
      <c r="GY89" s="249"/>
      <c r="HB89" s="249"/>
      <c r="HE89" s="249"/>
    </row>
    <row r="90" spans="1:213" x14ac:dyDescent="0.2">
      <c r="A90" s="267" t="s">
        <v>85</v>
      </c>
      <c r="B90" s="284">
        <v>60</v>
      </c>
      <c r="C90" s="262" t="s">
        <v>61</v>
      </c>
      <c r="AM90" s="249"/>
      <c r="AP90" s="249"/>
      <c r="AS90" s="249"/>
      <c r="AV90" s="249"/>
      <c r="AY90" s="249"/>
      <c r="BB90" s="249"/>
      <c r="BE90" s="249"/>
      <c r="BH90" s="249"/>
      <c r="BK90" s="249"/>
      <c r="BN90" s="249"/>
      <c r="BQ90" s="249"/>
      <c r="BT90" s="249"/>
      <c r="BW90" s="249"/>
      <c r="BZ90" s="249"/>
      <c r="CC90" s="249"/>
      <c r="CF90" s="249"/>
      <c r="CI90" s="249"/>
      <c r="CL90" s="249"/>
      <c r="CO90" s="249"/>
      <c r="CR90" s="249"/>
      <c r="CU90" s="249"/>
      <c r="CX90" s="249"/>
      <c r="DA90" s="249"/>
      <c r="DD90" s="249"/>
      <c r="DG90" s="249"/>
      <c r="DJ90" s="249"/>
      <c r="DM90" s="249"/>
      <c r="DP90" s="249"/>
      <c r="DS90" s="249"/>
      <c r="DV90" s="249"/>
      <c r="DY90" s="249"/>
      <c r="EB90" s="249"/>
      <c r="EE90" s="249"/>
      <c r="EH90" s="249"/>
      <c r="EK90" s="249"/>
      <c r="EN90" s="249"/>
      <c r="EQ90" s="249"/>
      <c r="ET90" s="249"/>
      <c r="EW90" s="249"/>
      <c r="EZ90" s="249"/>
      <c r="FC90" s="249"/>
      <c r="FF90" s="249"/>
      <c r="FI90" s="249"/>
      <c r="FL90" s="249"/>
      <c r="FO90" s="249"/>
      <c r="FR90" s="249"/>
      <c r="FU90" s="249"/>
      <c r="FX90" s="249"/>
      <c r="GA90" s="249"/>
      <c r="GD90" s="249"/>
      <c r="GG90" s="249"/>
      <c r="GJ90" s="249"/>
      <c r="GM90" s="249"/>
      <c r="GP90" s="249"/>
      <c r="GS90" s="249"/>
      <c r="GV90" s="249"/>
      <c r="GY90" s="249"/>
      <c r="HB90" s="249"/>
      <c r="HE90" s="249"/>
    </row>
    <row r="91" spans="1:213" x14ac:dyDescent="0.2">
      <c r="A91" s="267" t="s">
        <v>87</v>
      </c>
      <c r="B91" s="284">
        <v>2</v>
      </c>
      <c r="C91" s="262" t="s">
        <v>66</v>
      </c>
      <c r="AM91" s="249"/>
      <c r="AP91" s="249"/>
      <c r="AS91" s="249"/>
      <c r="AV91" s="249"/>
      <c r="AY91" s="249"/>
      <c r="BB91" s="249"/>
      <c r="BE91" s="249"/>
      <c r="BH91" s="249"/>
      <c r="BK91" s="249"/>
      <c r="BN91" s="249"/>
      <c r="BQ91" s="249"/>
      <c r="BT91" s="249"/>
      <c r="BW91" s="249"/>
      <c r="BZ91" s="249"/>
      <c r="CC91" s="249"/>
      <c r="CF91" s="249"/>
      <c r="CI91" s="249"/>
      <c r="CL91" s="249"/>
      <c r="CO91" s="249"/>
      <c r="CR91" s="249"/>
      <c r="CU91" s="249"/>
      <c r="CX91" s="249"/>
      <c r="DA91" s="249"/>
      <c r="DD91" s="249"/>
      <c r="DG91" s="249"/>
      <c r="DJ91" s="249"/>
      <c r="DM91" s="249"/>
      <c r="DP91" s="249"/>
      <c r="DS91" s="249"/>
      <c r="DV91" s="249"/>
      <c r="DY91" s="249"/>
      <c r="EB91" s="249"/>
      <c r="EE91" s="249"/>
      <c r="EH91" s="249"/>
      <c r="EK91" s="249"/>
      <c r="EN91" s="249"/>
      <c r="EQ91" s="249"/>
      <c r="ET91" s="249"/>
      <c r="EW91" s="249"/>
      <c r="EZ91" s="249"/>
      <c r="FC91" s="249"/>
      <c r="FF91" s="249"/>
      <c r="FI91" s="249"/>
      <c r="FL91" s="249"/>
      <c r="FO91" s="249"/>
      <c r="FR91" s="249"/>
      <c r="FU91" s="249"/>
      <c r="FX91" s="249"/>
      <c r="GA91" s="249"/>
      <c r="GD91" s="249"/>
      <c r="GG91" s="249"/>
      <c r="GJ91" s="249"/>
      <c r="GM91" s="249"/>
      <c r="GP91" s="249"/>
      <c r="GS91" s="249"/>
      <c r="GV91" s="249"/>
      <c r="GY91" s="249"/>
      <c r="HB91" s="249"/>
      <c r="HE91" s="249"/>
    </row>
    <row r="92" spans="1:213" x14ac:dyDescent="0.2">
      <c r="A92" s="267" t="s">
        <v>89</v>
      </c>
      <c r="B92" s="284">
        <v>2.6999999999999999E-5</v>
      </c>
      <c r="C92" s="249" t="s">
        <v>82</v>
      </c>
      <c r="AM92" s="249"/>
      <c r="AP92" s="249"/>
      <c r="AS92" s="249"/>
      <c r="AV92" s="249"/>
      <c r="AY92" s="249"/>
      <c r="BB92" s="249"/>
      <c r="BE92" s="249"/>
      <c r="BH92" s="249"/>
      <c r="BK92" s="249"/>
      <c r="BN92" s="249"/>
      <c r="BQ92" s="249"/>
      <c r="BT92" s="249"/>
      <c r="BW92" s="249"/>
      <c r="BZ92" s="249"/>
      <c r="CC92" s="249"/>
      <c r="CF92" s="249"/>
      <c r="CI92" s="249"/>
      <c r="CL92" s="249"/>
      <c r="CO92" s="249"/>
      <c r="CR92" s="249"/>
      <c r="CU92" s="249"/>
      <c r="CX92" s="249"/>
      <c r="DA92" s="249"/>
      <c r="DD92" s="249"/>
      <c r="DG92" s="249"/>
      <c r="DJ92" s="249"/>
      <c r="DM92" s="249"/>
      <c r="DP92" s="249"/>
      <c r="DS92" s="249"/>
      <c r="DV92" s="249"/>
      <c r="DY92" s="249"/>
      <c r="EB92" s="249"/>
      <c r="EE92" s="249"/>
      <c r="EH92" s="249"/>
      <c r="EK92" s="249"/>
      <c r="EN92" s="249"/>
      <c r="EQ92" s="249"/>
      <c r="ET92" s="249"/>
      <c r="EW92" s="249"/>
      <c r="EZ92" s="249"/>
      <c r="FC92" s="249"/>
      <c r="FF92" s="249"/>
      <c r="FI92" s="249"/>
      <c r="FL92" s="249"/>
      <c r="FO92" s="249"/>
      <c r="FR92" s="249"/>
      <c r="FU92" s="249"/>
      <c r="FX92" s="249"/>
      <c r="GA92" s="249"/>
      <c r="GD92" s="249"/>
      <c r="GG92" s="249"/>
      <c r="GJ92" s="249"/>
      <c r="GM92" s="249"/>
      <c r="GP92" s="249"/>
      <c r="GS92" s="249"/>
      <c r="GV92" s="249"/>
      <c r="GY92" s="249"/>
      <c r="HB92" s="249"/>
      <c r="HE92" s="249"/>
    </row>
    <row r="93" spans="1:213" x14ac:dyDescent="0.2">
      <c r="A93" s="267" t="s">
        <v>91</v>
      </c>
      <c r="B93" s="284">
        <v>1</v>
      </c>
      <c r="C93" s="249" t="s">
        <v>47</v>
      </c>
      <c r="AM93" s="249"/>
      <c r="AP93" s="249"/>
      <c r="AS93" s="249"/>
      <c r="AV93" s="249"/>
      <c r="AY93" s="249"/>
      <c r="BB93" s="249"/>
      <c r="BE93" s="249"/>
      <c r="BH93" s="249"/>
      <c r="BK93" s="249"/>
      <c r="BN93" s="249"/>
      <c r="BQ93" s="249"/>
      <c r="BT93" s="249"/>
      <c r="BW93" s="249"/>
      <c r="BZ93" s="249"/>
      <c r="CC93" s="249"/>
      <c r="CF93" s="249"/>
      <c r="CI93" s="249"/>
      <c r="CL93" s="249"/>
      <c r="CO93" s="249"/>
      <c r="CR93" s="249"/>
      <c r="CU93" s="249"/>
      <c r="CX93" s="249"/>
      <c r="DA93" s="249"/>
      <c r="DD93" s="249"/>
      <c r="DG93" s="249"/>
      <c r="DJ93" s="249"/>
      <c r="DM93" s="249"/>
      <c r="DP93" s="249"/>
      <c r="DS93" s="249"/>
      <c r="DV93" s="249"/>
      <c r="DY93" s="249"/>
      <c r="EB93" s="249"/>
      <c r="EE93" s="249"/>
      <c r="EH93" s="249"/>
      <c r="EK93" s="249"/>
      <c r="EN93" s="249"/>
      <c r="EQ93" s="249"/>
      <c r="ET93" s="249"/>
      <c r="EW93" s="249"/>
      <c r="EZ93" s="249"/>
      <c r="FC93" s="249"/>
      <c r="FF93" s="249"/>
      <c r="FI93" s="249"/>
      <c r="FL93" s="249"/>
      <c r="FO93" s="249"/>
      <c r="FR93" s="249"/>
      <c r="FU93" s="249"/>
      <c r="FX93" s="249"/>
      <c r="GA93" s="249"/>
      <c r="GD93" s="249"/>
      <c r="GG93" s="249"/>
      <c r="GJ93" s="249"/>
      <c r="GM93" s="249"/>
      <c r="GP93" s="249"/>
      <c r="GS93" s="249"/>
      <c r="GV93" s="249"/>
      <c r="GY93" s="249"/>
      <c r="HB93" s="249"/>
      <c r="HE93" s="249"/>
    </row>
    <row r="94" spans="1:213" x14ac:dyDescent="0.2">
      <c r="A94" s="267" t="s">
        <v>92</v>
      </c>
      <c r="B94" s="284">
        <v>14</v>
      </c>
      <c r="C94" s="249" t="s">
        <v>93</v>
      </c>
      <c r="AM94" s="249"/>
      <c r="AP94" s="249"/>
      <c r="AS94" s="249"/>
      <c r="AV94" s="249"/>
      <c r="AY94" s="249"/>
      <c r="BB94" s="249"/>
      <c r="BE94" s="249"/>
      <c r="BH94" s="249"/>
      <c r="BK94" s="249"/>
      <c r="BN94" s="249"/>
      <c r="BQ94" s="249"/>
      <c r="BT94" s="249"/>
      <c r="BW94" s="249"/>
      <c r="BZ94" s="249"/>
      <c r="CC94" s="249"/>
      <c r="CF94" s="249"/>
      <c r="CI94" s="249"/>
      <c r="CL94" s="249"/>
      <c r="CO94" s="249"/>
      <c r="CR94" s="249"/>
      <c r="CU94" s="249"/>
      <c r="CX94" s="249"/>
      <c r="DA94" s="249"/>
      <c r="DD94" s="249"/>
      <c r="DG94" s="249"/>
      <c r="DJ94" s="249"/>
      <c r="DM94" s="249"/>
      <c r="DP94" s="249"/>
      <c r="DS94" s="249"/>
      <c r="DV94" s="249"/>
      <c r="DY94" s="249"/>
      <c r="EB94" s="249"/>
      <c r="EE94" s="249"/>
      <c r="EH94" s="249"/>
      <c r="EK94" s="249"/>
      <c r="EN94" s="249"/>
      <c r="EQ94" s="249"/>
      <c r="ET94" s="249"/>
      <c r="EW94" s="249"/>
      <c r="EZ94" s="249"/>
      <c r="FC94" s="249"/>
      <c r="FF94" s="249"/>
      <c r="FI94" s="249"/>
      <c r="FL94" s="249"/>
      <c r="FO94" s="249"/>
      <c r="FR94" s="249"/>
      <c r="FU94" s="249"/>
      <c r="FX94" s="249"/>
      <c r="GA94" s="249"/>
      <c r="GD94" s="249"/>
      <c r="GG94" s="249"/>
      <c r="GJ94" s="249"/>
      <c r="GM94" s="249"/>
      <c r="GP94" s="249"/>
      <c r="GS94" s="249"/>
      <c r="GV94" s="249"/>
      <c r="GY94" s="249"/>
      <c r="HB94" s="249"/>
      <c r="HE94" s="249"/>
    </row>
    <row r="95" spans="1:213" x14ac:dyDescent="0.2">
      <c r="A95" s="262" t="s">
        <v>356</v>
      </c>
      <c r="B95" s="283">
        <v>1</v>
      </c>
      <c r="C95" s="249"/>
      <c r="AM95" s="249"/>
      <c r="AP95" s="249"/>
      <c r="AS95" s="249"/>
      <c r="AV95" s="249"/>
      <c r="AY95" s="249"/>
      <c r="BB95" s="249"/>
      <c r="BE95" s="249"/>
      <c r="BH95" s="249"/>
      <c r="BK95" s="249"/>
      <c r="BN95" s="249"/>
      <c r="BQ95" s="249"/>
      <c r="BT95" s="249"/>
      <c r="BW95" s="249"/>
      <c r="BZ95" s="249"/>
      <c r="CC95" s="249"/>
      <c r="CF95" s="249"/>
      <c r="CI95" s="249"/>
      <c r="CL95" s="249"/>
      <c r="CO95" s="249"/>
      <c r="CR95" s="249"/>
      <c r="CU95" s="249"/>
      <c r="CX95" s="249"/>
      <c r="DA95" s="249"/>
      <c r="DD95" s="249"/>
      <c r="DG95" s="249"/>
      <c r="DJ95" s="249"/>
      <c r="DM95" s="249"/>
      <c r="DP95" s="249"/>
      <c r="DS95" s="249"/>
      <c r="DV95" s="249"/>
      <c r="DY95" s="249"/>
      <c r="EB95" s="249"/>
      <c r="EE95" s="249"/>
      <c r="EH95" s="249"/>
      <c r="EK95" s="249"/>
      <c r="EN95" s="249"/>
      <c r="EQ95" s="249"/>
      <c r="ET95" s="249"/>
      <c r="EW95" s="249"/>
      <c r="EZ95" s="249"/>
      <c r="FC95" s="249"/>
      <c r="FF95" s="249"/>
      <c r="FI95" s="249"/>
      <c r="FL95" s="249"/>
      <c r="FO95" s="249"/>
      <c r="FR95" s="249"/>
      <c r="FU95" s="249"/>
      <c r="FX95" s="249"/>
      <c r="GA95" s="249"/>
      <c r="GD95" s="249"/>
      <c r="GG95" s="249"/>
      <c r="GJ95" s="249"/>
      <c r="GM95" s="249"/>
      <c r="GP95" s="249"/>
      <c r="GS95" s="249"/>
      <c r="GV95" s="249"/>
      <c r="GY95" s="249"/>
      <c r="HB95" s="249"/>
      <c r="HE95" s="249"/>
    </row>
    <row r="96" spans="1:213" x14ac:dyDescent="0.2">
      <c r="A96" s="262" t="s">
        <v>351</v>
      </c>
      <c r="B96" s="283">
        <v>1.752</v>
      </c>
      <c r="C96" s="264" t="s">
        <v>224</v>
      </c>
      <c r="AM96" s="249"/>
      <c r="AP96" s="249"/>
      <c r="AS96" s="249"/>
      <c r="AV96" s="249"/>
      <c r="AY96" s="249"/>
      <c r="BB96" s="249"/>
      <c r="BE96" s="249"/>
      <c r="BH96" s="249"/>
      <c r="BK96" s="249"/>
      <c r="BN96" s="249"/>
      <c r="BQ96" s="249"/>
      <c r="BT96" s="249"/>
      <c r="BW96" s="249"/>
      <c r="BZ96" s="249"/>
      <c r="CC96" s="249"/>
      <c r="CF96" s="249"/>
      <c r="CI96" s="249"/>
      <c r="CL96" s="249"/>
      <c r="CO96" s="249"/>
      <c r="CR96" s="249"/>
      <c r="CU96" s="249"/>
      <c r="CX96" s="249"/>
      <c r="DA96" s="249"/>
      <c r="DD96" s="249"/>
      <c r="DG96" s="249"/>
      <c r="DJ96" s="249"/>
      <c r="DM96" s="249"/>
      <c r="DP96" s="249"/>
      <c r="DS96" s="249"/>
      <c r="DV96" s="249"/>
      <c r="DY96" s="249"/>
      <c r="EB96" s="249"/>
      <c r="EE96" s="249"/>
      <c r="EH96" s="249"/>
      <c r="EK96" s="249"/>
      <c r="EN96" s="249"/>
      <c r="EQ96" s="249"/>
      <c r="ET96" s="249"/>
      <c r="EW96" s="249"/>
      <c r="EZ96" s="249"/>
      <c r="FC96" s="249"/>
      <c r="FF96" s="249"/>
      <c r="FI96" s="249"/>
      <c r="FL96" s="249"/>
      <c r="FO96" s="249"/>
      <c r="FR96" s="249"/>
      <c r="FU96" s="249"/>
      <c r="FX96" s="249"/>
      <c r="GA96" s="249"/>
      <c r="GD96" s="249"/>
      <c r="GG96" s="249"/>
      <c r="GJ96" s="249"/>
      <c r="GM96" s="249"/>
      <c r="GP96" s="249"/>
      <c r="GS96" s="249"/>
      <c r="GV96" s="249"/>
      <c r="GY96" s="249"/>
      <c r="HB96" s="249"/>
      <c r="HE96" s="249"/>
    </row>
    <row r="97" spans="1:213" x14ac:dyDescent="0.2">
      <c r="A97" s="262" t="s">
        <v>352</v>
      </c>
      <c r="B97" s="283">
        <v>16.416</v>
      </c>
      <c r="C97" s="264" t="s">
        <v>224</v>
      </c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W97" s="249"/>
      <c r="Z97" s="249"/>
      <c r="AC97" s="249"/>
      <c r="AD97" s="249"/>
      <c r="AE97" s="249"/>
      <c r="AF97" s="249"/>
      <c r="AG97" s="249"/>
      <c r="AJ97" s="249"/>
      <c r="AM97" s="249"/>
      <c r="AP97" s="249"/>
      <c r="AS97" s="249"/>
      <c r="AV97" s="249"/>
      <c r="AY97" s="249"/>
      <c r="BB97" s="249"/>
      <c r="BE97" s="249"/>
      <c r="BH97" s="249"/>
      <c r="BK97" s="249"/>
      <c r="BN97" s="249"/>
      <c r="BQ97" s="249"/>
      <c r="BT97" s="249"/>
      <c r="BW97" s="249"/>
      <c r="BZ97" s="249"/>
      <c r="CC97" s="249"/>
      <c r="CF97" s="249"/>
      <c r="CI97" s="249"/>
      <c r="CL97" s="249"/>
      <c r="CO97" s="249"/>
      <c r="CR97" s="249"/>
      <c r="CU97" s="249"/>
      <c r="CX97" s="249"/>
      <c r="DA97" s="249"/>
      <c r="DD97" s="249"/>
      <c r="DG97" s="249"/>
      <c r="DJ97" s="249"/>
      <c r="DM97" s="249"/>
      <c r="DP97" s="249"/>
      <c r="DS97" s="249"/>
      <c r="DV97" s="249"/>
      <c r="DY97" s="249"/>
      <c r="EB97" s="249"/>
      <c r="EE97" s="249"/>
      <c r="EH97" s="249"/>
      <c r="EK97" s="249"/>
      <c r="EN97" s="249"/>
      <c r="EQ97" s="249"/>
      <c r="ET97" s="249"/>
      <c r="EW97" s="249"/>
      <c r="EZ97" s="249"/>
      <c r="FC97" s="249"/>
      <c r="FF97" s="249"/>
      <c r="FI97" s="249"/>
      <c r="FL97" s="249"/>
      <c r="FO97" s="249"/>
      <c r="FR97" s="249"/>
      <c r="FU97" s="249"/>
      <c r="FX97" s="249"/>
      <c r="GA97" s="249"/>
      <c r="GD97" s="249"/>
      <c r="GG97" s="249"/>
      <c r="GJ97" s="249"/>
      <c r="GM97" s="249"/>
      <c r="GP97" s="249"/>
      <c r="GS97" s="249"/>
      <c r="GV97" s="249"/>
      <c r="GY97" s="249"/>
      <c r="HB97" s="249"/>
      <c r="HE97" s="249"/>
    </row>
    <row r="98" spans="1:213" ht="15" x14ac:dyDescent="0.2">
      <c r="A98" s="517" t="s">
        <v>5</v>
      </c>
      <c r="B98" s="517"/>
      <c r="C98" s="517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W98" s="249"/>
      <c r="Z98" s="249"/>
      <c r="AC98" s="249"/>
      <c r="AD98" s="249"/>
      <c r="AE98" s="249"/>
      <c r="AF98" s="249"/>
      <c r="AG98" s="249"/>
      <c r="AJ98" s="249"/>
      <c r="AM98" s="249"/>
      <c r="AP98" s="249"/>
      <c r="AS98" s="249"/>
      <c r="AV98" s="249"/>
      <c r="AY98" s="249"/>
      <c r="BB98" s="249"/>
      <c r="BE98" s="249"/>
      <c r="BH98" s="249"/>
      <c r="BK98" s="249"/>
      <c r="BN98" s="249"/>
      <c r="BQ98" s="249"/>
      <c r="BT98" s="249"/>
      <c r="BW98" s="249"/>
      <c r="BZ98" s="249"/>
      <c r="CC98" s="249"/>
      <c r="CF98" s="249"/>
      <c r="CI98" s="249"/>
      <c r="CL98" s="249"/>
      <c r="CO98" s="249"/>
      <c r="CR98" s="249"/>
      <c r="CU98" s="249"/>
      <c r="CX98" s="249"/>
      <c r="DA98" s="249"/>
      <c r="DD98" s="249"/>
      <c r="DG98" s="249"/>
      <c r="DJ98" s="249"/>
      <c r="DM98" s="249"/>
      <c r="DP98" s="249"/>
      <c r="DS98" s="249"/>
      <c r="DV98" s="249"/>
      <c r="DY98" s="249"/>
      <c r="EB98" s="249"/>
      <c r="EE98" s="249"/>
      <c r="EH98" s="249"/>
      <c r="EK98" s="249"/>
      <c r="EN98" s="249"/>
      <c r="EQ98" s="249"/>
      <c r="ET98" s="249"/>
      <c r="EW98" s="249"/>
      <c r="EZ98" s="249"/>
      <c r="FC98" s="249"/>
      <c r="FF98" s="249"/>
      <c r="FI98" s="249"/>
      <c r="FL98" s="249"/>
      <c r="FO98" s="249"/>
      <c r="FR98" s="249"/>
      <c r="FU98" s="249"/>
      <c r="FX98" s="249"/>
      <c r="GA98" s="249"/>
      <c r="GD98" s="249"/>
      <c r="GG98" s="249"/>
      <c r="GJ98" s="249"/>
      <c r="GM98" s="249"/>
      <c r="GP98" s="249"/>
      <c r="GS98" s="249"/>
      <c r="GV98" s="249"/>
      <c r="GY98" s="249"/>
      <c r="HB98" s="249"/>
      <c r="HE98" s="249"/>
    </row>
    <row r="99" spans="1:213" x14ac:dyDescent="0.2">
      <c r="A99" s="262" t="s">
        <v>358</v>
      </c>
      <c r="B99" s="284">
        <v>10</v>
      </c>
      <c r="C99" s="267" t="s">
        <v>359</v>
      </c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W99" s="249"/>
      <c r="Z99" s="249"/>
      <c r="AC99" s="249"/>
      <c r="AD99" s="249"/>
      <c r="AE99" s="249"/>
      <c r="AF99" s="249"/>
      <c r="AG99" s="249"/>
      <c r="AJ99" s="249"/>
      <c r="AM99" s="249"/>
      <c r="AP99" s="249"/>
      <c r="AS99" s="249"/>
      <c r="AV99" s="249"/>
      <c r="AY99" s="249"/>
      <c r="BB99" s="249"/>
      <c r="BE99" s="249"/>
      <c r="BH99" s="249"/>
      <c r="BK99" s="249"/>
      <c r="BN99" s="249"/>
      <c r="BQ99" s="249"/>
      <c r="BT99" s="249"/>
      <c r="BW99" s="249"/>
      <c r="BZ99" s="249"/>
      <c r="CC99" s="249"/>
      <c r="CF99" s="249"/>
      <c r="CI99" s="249"/>
      <c r="CL99" s="249"/>
      <c r="CO99" s="249"/>
      <c r="CR99" s="249"/>
      <c r="CU99" s="249"/>
      <c r="CX99" s="249"/>
      <c r="DA99" s="249"/>
      <c r="DD99" s="249"/>
      <c r="DG99" s="249"/>
      <c r="DJ99" s="249"/>
      <c r="DM99" s="249"/>
      <c r="DP99" s="249"/>
      <c r="DS99" s="249"/>
      <c r="DV99" s="249"/>
      <c r="DY99" s="249"/>
      <c r="EB99" s="249"/>
      <c r="EE99" s="249"/>
      <c r="EH99" s="249"/>
      <c r="EK99" s="249"/>
      <c r="EN99" s="249"/>
      <c r="EQ99" s="249"/>
      <c r="ET99" s="249"/>
      <c r="EW99" s="249"/>
      <c r="EZ99" s="249"/>
      <c r="FC99" s="249"/>
      <c r="FF99" s="249"/>
      <c r="FI99" s="249"/>
      <c r="FL99" s="249"/>
      <c r="FO99" s="249"/>
      <c r="FR99" s="249"/>
      <c r="FU99" s="249"/>
      <c r="FX99" s="249"/>
      <c r="GA99" s="249"/>
      <c r="GD99" s="249"/>
      <c r="GG99" s="249"/>
      <c r="GJ99" s="249"/>
      <c r="GM99" s="249"/>
      <c r="GP99" s="249"/>
      <c r="GS99" s="249"/>
      <c r="GV99" s="249"/>
      <c r="GY99" s="249"/>
      <c r="HB99" s="249"/>
      <c r="HE99" s="249"/>
    </row>
    <row r="100" spans="1:213" x14ac:dyDescent="0.2">
      <c r="A100" s="262" t="s">
        <v>360</v>
      </c>
      <c r="B100" s="284">
        <v>20</v>
      </c>
      <c r="C100" s="267" t="s">
        <v>359</v>
      </c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W100" s="249"/>
      <c r="Z100" s="249"/>
      <c r="AC100" s="249"/>
      <c r="AD100" s="249"/>
      <c r="AE100" s="249"/>
      <c r="AF100" s="249"/>
      <c r="AG100" s="249"/>
      <c r="AJ100" s="249"/>
      <c r="AM100" s="249"/>
      <c r="AP100" s="249"/>
      <c r="AS100" s="249"/>
      <c r="AV100" s="249"/>
      <c r="AY100" s="249"/>
      <c r="BB100" s="249"/>
      <c r="BE100" s="249"/>
      <c r="BH100" s="249"/>
      <c r="BK100" s="249"/>
      <c r="BN100" s="249"/>
      <c r="BQ100" s="249"/>
      <c r="BT100" s="249"/>
      <c r="BW100" s="249"/>
      <c r="BZ100" s="249"/>
      <c r="CC100" s="249"/>
      <c r="CF100" s="249"/>
      <c r="CI100" s="249"/>
      <c r="CL100" s="249"/>
      <c r="CO100" s="249"/>
      <c r="CR100" s="249"/>
      <c r="CU100" s="249"/>
      <c r="CX100" s="249"/>
      <c r="DA100" s="249"/>
      <c r="DD100" s="249"/>
      <c r="DG100" s="249"/>
      <c r="DJ100" s="249"/>
      <c r="DM100" s="249"/>
      <c r="DP100" s="249"/>
      <c r="DS100" s="249"/>
      <c r="DV100" s="249"/>
      <c r="DY100" s="249"/>
      <c r="EB100" s="249"/>
      <c r="EE100" s="249"/>
      <c r="EH100" s="249"/>
      <c r="EK100" s="249"/>
      <c r="EN100" s="249"/>
      <c r="EQ100" s="249"/>
      <c r="ET100" s="249"/>
      <c r="EW100" s="249"/>
      <c r="EZ100" s="249"/>
      <c r="FC100" s="249"/>
      <c r="FF100" s="249"/>
      <c r="FI100" s="249"/>
      <c r="FL100" s="249"/>
      <c r="FO100" s="249"/>
      <c r="FR100" s="249"/>
      <c r="FU100" s="249"/>
      <c r="FX100" s="249"/>
      <c r="GA100" s="249"/>
      <c r="GD100" s="249"/>
      <c r="GG100" s="249"/>
      <c r="GJ100" s="249"/>
      <c r="GM100" s="249"/>
      <c r="GP100" s="249"/>
      <c r="GS100" s="249"/>
      <c r="GV100" s="249"/>
      <c r="GY100" s="249"/>
      <c r="HB100" s="249"/>
      <c r="HE100" s="249"/>
    </row>
    <row r="101" spans="1:213" x14ac:dyDescent="0.2">
      <c r="A101" s="262" t="s">
        <v>305</v>
      </c>
      <c r="B101" s="283">
        <v>0.05</v>
      </c>
      <c r="C101" s="262" t="s">
        <v>361</v>
      </c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W101" s="249"/>
      <c r="Z101" s="249"/>
      <c r="AC101" s="249"/>
      <c r="AD101" s="249"/>
      <c r="AE101" s="249"/>
      <c r="AF101" s="249"/>
      <c r="AG101" s="249"/>
      <c r="AJ101" s="249"/>
      <c r="AM101" s="249"/>
      <c r="AP101" s="249"/>
      <c r="AS101" s="249"/>
      <c r="AV101" s="249"/>
      <c r="AY101" s="249"/>
      <c r="BB101" s="249"/>
      <c r="BE101" s="249"/>
      <c r="BH101" s="249"/>
      <c r="BK101" s="249"/>
      <c r="BN101" s="249"/>
      <c r="BQ101" s="249"/>
      <c r="BT101" s="249"/>
      <c r="BW101" s="249"/>
      <c r="BZ101" s="249"/>
      <c r="CC101" s="249"/>
      <c r="CF101" s="249"/>
      <c r="CI101" s="249"/>
      <c r="CL101" s="249"/>
      <c r="CO101" s="249"/>
      <c r="CR101" s="249"/>
      <c r="CU101" s="249"/>
      <c r="CX101" s="249"/>
      <c r="DA101" s="249"/>
      <c r="DD101" s="249"/>
      <c r="DG101" s="249"/>
      <c r="DJ101" s="249"/>
      <c r="DM101" s="249"/>
      <c r="DP101" s="249"/>
      <c r="DS101" s="249"/>
      <c r="DV101" s="249"/>
      <c r="DY101" s="249"/>
      <c r="EB101" s="249"/>
      <c r="EE101" s="249"/>
      <c r="EH101" s="249"/>
      <c r="EK101" s="249"/>
      <c r="EN101" s="249"/>
      <c r="EQ101" s="249"/>
      <c r="ET101" s="249"/>
      <c r="EW101" s="249"/>
      <c r="EZ101" s="249"/>
      <c r="FC101" s="249"/>
      <c r="FF101" s="249"/>
      <c r="FI101" s="249"/>
      <c r="FL101" s="249"/>
      <c r="FO101" s="249"/>
      <c r="FR101" s="249"/>
      <c r="FU101" s="249"/>
      <c r="FX101" s="249"/>
      <c r="GA101" s="249"/>
      <c r="GD101" s="249"/>
      <c r="GG101" s="249"/>
      <c r="GJ101" s="249"/>
      <c r="GM101" s="249"/>
      <c r="GP101" s="249"/>
      <c r="GS101" s="249"/>
      <c r="GV101" s="249"/>
      <c r="GY101" s="249"/>
      <c r="HB101" s="249"/>
      <c r="HE101" s="249"/>
    </row>
    <row r="102" spans="1:213" x14ac:dyDescent="0.2">
      <c r="A102" s="262" t="s">
        <v>306</v>
      </c>
      <c r="B102" s="283">
        <v>0.05</v>
      </c>
      <c r="C102" s="262" t="s">
        <v>361</v>
      </c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W102" s="249"/>
      <c r="Z102" s="249"/>
      <c r="AC102" s="249"/>
      <c r="AD102" s="249"/>
      <c r="AE102" s="249"/>
      <c r="AF102" s="249"/>
      <c r="AG102" s="249"/>
      <c r="AJ102" s="249"/>
      <c r="AM102" s="249"/>
      <c r="AP102" s="249"/>
      <c r="AS102" s="249"/>
      <c r="AV102" s="249"/>
      <c r="AY102" s="249"/>
      <c r="BB102" s="249"/>
      <c r="BE102" s="249"/>
      <c r="BH102" s="249"/>
      <c r="BK102" s="249"/>
      <c r="BN102" s="249"/>
      <c r="BQ102" s="249"/>
      <c r="BT102" s="249"/>
      <c r="BW102" s="249"/>
      <c r="BZ102" s="249"/>
      <c r="CC102" s="249"/>
      <c r="CF102" s="249"/>
      <c r="CI102" s="249"/>
      <c r="CL102" s="249"/>
      <c r="CO102" s="249"/>
      <c r="CR102" s="249"/>
      <c r="CU102" s="249"/>
      <c r="CX102" s="249"/>
      <c r="DA102" s="249"/>
      <c r="DD102" s="249"/>
      <c r="DG102" s="249"/>
      <c r="DJ102" s="249"/>
      <c r="DM102" s="249"/>
      <c r="DP102" s="249"/>
      <c r="DS102" s="249"/>
      <c r="DV102" s="249"/>
      <c r="DY102" s="249"/>
      <c r="EB102" s="249"/>
      <c r="EE102" s="249"/>
      <c r="EH102" s="249"/>
      <c r="EK102" s="249"/>
      <c r="EN102" s="249"/>
      <c r="EQ102" s="249"/>
      <c r="ET102" s="249"/>
      <c r="EW102" s="249"/>
      <c r="EZ102" s="249"/>
      <c r="FC102" s="249"/>
      <c r="FF102" s="249"/>
      <c r="FI102" s="249"/>
      <c r="FL102" s="249"/>
      <c r="FO102" s="249"/>
      <c r="FR102" s="249"/>
      <c r="FU102" s="249"/>
      <c r="FX102" s="249"/>
      <c r="GA102" s="249"/>
      <c r="GD102" s="249"/>
      <c r="GG102" s="249"/>
      <c r="GJ102" s="249"/>
      <c r="GM102" s="249"/>
      <c r="GP102" s="249"/>
      <c r="GS102" s="249"/>
      <c r="GV102" s="249"/>
      <c r="GY102" s="249"/>
      <c r="HB102" s="249"/>
      <c r="HE102" s="249"/>
    </row>
    <row r="103" spans="1:213" x14ac:dyDescent="0.2">
      <c r="A103" s="262" t="s">
        <v>362</v>
      </c>
      <c r="B103" s="284">
        <v>200</v>
      </c>
      <c r="C103" s="263" t="s">
        <v>54</v>
      </c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W103" s="249"/>
      <c r="Z103" s="249"/>
      <c r="AC103" s="249"/>
      <c r="AD103" s="249"/>
      <c r="AE103" s="249"/>
      <c r="AF103" s="249"/>
      <c r="AG103" s="249"/>
      <c r="AJ103" s="249"/>
      <c r="AM103" s="249"/>
      <c r="AP103" s="249"/>
      <c r="AS103" s="249"/>
      <c r="AV103" s="249"/>
      <c r="AY103" s="249"/>
      <c r="BB103" s="249"/>
      <c r="BE103" s="249"/>
      <c r="BH103" s="249"/>
      <c r="BK103" s="249"/>
      <c r="BN103" s="249"/>
      <c r="BQ103" s="249"/>
      <c r="BT103" s="249"/>
      <c r="BW103" s="249"/>
      <c r="BZ103" s="249"/>
      <c r="CC103" s="249"/>
      <c r="CF103" s="249"/>
      <c r="CI103" s="249"/>
      <c r="CL103" s="249"/>
      <c r="CO103" s="249"/>
      <c r="CR103" s="249"/>
      <c r="CU103" s="249"/>
      <c r="CX103" s="249"/>
      <c r="DA103" s="249"/>
      <c r="DD103" s="249"/>
      <c r="DG103" s="249"/>
      <c r="DJ103" s="249"/>
      <c r="DM103" s="249"/>
      <c r="DP103" s="249"/>
      <c r="DS103" s="249"/>
      <c r="DV103" s="249"/>
      <c r="DY103" s="249"/>
      <c r="EB103" s="249"/>
      <c r="EE103" s="249"/>
      <c r="EH103" s="249"/>
      <c r="EK103" s="249"/>
      <c r="EN103" s="249"/>
      <c r="EQ103" s="249"/>
      <c r="ET103" s="249"/>
      <c r="EW103" s="249"/>
      <c r="EZ103" s="249"/>
      <c r="FC103" s="249"/>
      <c r="FF103" s="249"/>
      <c r="FI103" s="249"/>
      <c r="FL103" s="249"/>
      <c r="FO103" s="249"/>
      <c r="FR103" s="249"/>
      <c r="FU103" s="249"/>
      <c r="FX103" s="249"/>
      <c r="GA103" s="249"/>
      <c r="GD103" s="249"/>
      <c r="GG103" s="249"/>
      <c r="GJ103" s="249"/>
      <c r="GM103" s="249"/>
      <c r="GP103" s="249"/>
      <c r="GS103" s="249"/>
      <c r="GV103" s="249"/>
      <c r="GY103" s="249"/>
      <c r="HB103" s="249"/>
      <c r="HE103" s="249"/>
    </row>
    <row r="104" spans="1:213" x14ac:dyDescent="0.2">
      <c r="A104" s="262" t="s">
        <v>363</v>
      </c>
      <c r="B104" s="284">
        <v>100</v>
      </c>
      <c r="C104" s="263" t="s">
        <v>54</v>
      </c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W104" s="249"/>
      <c r="Z104" s="249"/>
      <c r="AC104" s="249"/>
      <c r="AD104" s="249"/>
      <c r="AE104" s="249"/>
      <c r="AF104" s="249"/>
      <c r="AG104" s="249"/>
      <c r="AJ104" s="249"/>
      <c r="AM104" s="249"/>
      <c r="AP104" s="249"/>
      <c r="AS104" s="249"/>
      <c r="AV104" s="249"/>
      <c r="AY104" s="249"/>
      <c r="BB104" s="249"/>
      <c r="BE104" s="249"/>
      <c r="BH104" s="249"/>
      <c r="BK104" s="249"/>
      <c r="BN104" s="249"/>
      <c r="BQ104" s="249"/>
      <c r="BT104" s="249"/>
      <c r="BW104" s="249"/>
      <c r="BZ104" s="249"/>
      <c r="CC104" s="249"/>
      <c r="CF104" s="249"/>
      <c r="CI104" s="249"/>
      <c r="CL104" s="249"/>
      <c r="CO104" s="249"/>
      <c r="CR104" s="249"/>
      <c r="CU104" s="249"/>
      <c r="CX104" s="249"/>
      <c r="DA104" s="249"/>
      <c r="DD104" s="249"/>
      <c r="DG104" s="249"/>
      <c r="DJ104" s="249"/>
      <c r="DM104" s="249"/>
      <c r="DP104" s="249"/>
      <c r="DS104" s="249"/>
      <c r="DV104" s="249"/>
      <c r="DY104" s="249"/>
      <c r="EB104" s="249"/>
      <c r="EE104" s="249"/>
      <c r="EH104" s="249"/>
      <c r="EK104" s="249"/>
      <c r="EN104" s="249"/>
      <c r="EQ104" s="249"/>
      <c r="ET104" s="249"/>
      <c r="EW104" s="249"/>
      <c r="EZ104" s="249"/>
      <c r="FC104" s="249"/>
      <c r="FF104" s="249"/>
      <c r="FI104" s="249"/>
      <c r="FL104" s="249"/>
      <c r="FO104" s="249"/>
      <c r="FR104" s="249"/>
      <c r="FU104" s="249"/>
      <c r="FX104" s="249"/>
      <c r="GA104" s="249"/>
      <c r="GD104" s="249"/>
      <c r="GG104" s="249"/>
      <c r="GJ104" s="249"/>
      <c r="GM104" s="249"/>
      <c r="GP104" s="249"/>
      <c r="GS104" s="249"/>
      <c r="GV104" s="249"/>
      <c r="GY104" s="249"/>
      <c r="HB104" s="249"/>
      <c r="HE104" s="249"/>
    </row>
    <row r="105" spans="1:213" x14ac:dyDescent="0.2">
      <c r="A105" s="249" t="s">
        <v>187</v>
      </c>
      <c r="B105" s="284">
        <v>1</v>
      </c>
      <c r="C105" s="249" t="s">
        <v>254</v>
      </c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W105" s="249"/>
      <c r="Z105" s="249"/>
      <c r="AC105" s="249"/>
      <c r="AD105" s="249"/>
      <c r="AE105" s="249"/>
      <c r="AF105" s="249"/>
      <c r="AG105" s="249"/>
      <c r="AJ105" s="249"/>
      <c r="AM105" s="249"/>
      <c r="AP105" s="249"/>
      <c r="AS105" s="249"/>
      <c r="AV105" s="249"/>
      <c r="AY105" s="249"/>
      <c r="BB105" s="249"/>
      <c r="BE105" s="249"/>
      <c r="BH105" s="249"/>
      <c r="BK105" s="249"/>
      <c r="BN105" s="249"/>
      <c r="BQ105" s="249"/>
      <c r="BT105" s="249"/>
      <c r="BW105" s="249"/>
      <c r="BZ105" s="249"/>
      <c r="CC105" s="249"/>
      <c r="CF105" s="249"/>
      <c r="CI105" s="249"/>
      <c r="CL105" s="249"/>
      <c r="CO105" s="249"/>
      <c r="CR105" s="249"/>
      <c r="CU105" s="249"/>
      <c r="CX105" s="249"/>
      <c r="DA105" s="249"/>
      <c r="DD105" s="249"/>
      <c r="DG105" s="249"/>
      <c r="DJ105" s="249"/>
      <c r="DM105" s="249"/>
      <c r="DP105" s="249"/>
      <c r="DS105" s="249"/>
      <c r="DV105" s="249"/>
      <c r="DY105" s="249"/>
      <c r="EB105" s="249"/>
      <c r="EE105" s="249"/>
      <c r="EH105" s="249"/>
      <c r="EK105" s="249"/>
      <c r="EN105" s="249"/>
      <c r="EQ105" s="249"/>
      <c r="ET105" s="249"/>
      <c r="EW105" s="249"/>
      <c r="EZ105" s="249"/>
      <c r="FC105" s="249"/>
      <c r="FF105" s="249"/>
      <c r="FI105" s="249"/>
      <c r="FL105" s="249"/>
      <c r="FO105" s="249"/>
      <c r="FR105" s="249"/>
      <c r="FU105" s="249"/>
      <c r="FX105" s="249"/>
      <c r="GA105" s="249"/>
      <c r="GD105" s="249"/>
      <c r="GG105" s="249"/>
      <c r="GJ105" s="249"/>
      <c r="GM105" s="249"/>
      <c r="GP105" s="249"/>
      <c r="GS105" s="249"/>
      <c r="GV105" s="249"/>
      <c r="GY105" s="249"/>
      <c r="HB105" s="249"/>
      <c r="HE105" s="249"/>
    </row>
    <row r="106" spans="1:213" x14ac:dyDescent="0.2">
      <c r="A106" s="249" t="s">
        <v>188</v>
      </c>
      <c r="B106" s="284">
        <v>1</v>
      </c>
      <c r="C106" s="249" t="s">
        <v>254</v>
      </c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W106" s="249"/>
      <c r="Z106" s="249"/>
      <c r="AC106" s="249"/>
      <c r="AD106" s="249"/>
      <c r="AE106" s="249"/>
      <c r="AF106" s="249"/>
      <c r="AG106" s="249"/>
      <c r="AJ106" s="249"/>
      <c r="AM106" s="249"/>
      <c r="AP106" s="249"/>
      <c r="AS106" s="249"/>
      <c r="AV106" s="249"/>
      <c r="AY106" s="249"/>
      <c r="BB106" s="249"/>
      <c r="BE106" s="249"/>
      <c r="BH106" s="249"/>
      <c r="BK106" s="249"/>
      <c r="BN106" s="249"/>
      <c r="BQ106" s="249"/>
      <c r="BT106" s="249"/>
      <c r="BW106" s="249"/>
      <c r="BZ106" s="249"/>
      <c r="CC106" s="249"/>
      <c r="CF106" s="249"/>
      <c r="CI106" s="249"/>
      <c r="CL106" s="249"/>
      <c r="CO106" s="249"/>
      <c r="CR106" s="249"/>
      <c r="CU106" s="249"/>
      <c r="CX106" s="249"/>
      <c r="DA106" s="249"/>
      <c r="DD106" s="249"/>
      <c r="DG106" s="249"/>
      <c r="DJ106" s="249"/>
      <c r="DM106" s="249"/>
      <c r="DP106" s="249"/>
      <c r="DS106" s="249"/>
      <c r="DV106" s="249"/>
      <c r="DY106" s="249"/>
      <c r="EB106" s="249"/>
      <c r="EE106" s="249"/>
      <c r="EH106" s="249"/>
      <c r="EK106" s="249"/>
      <c r="EN106" s="249"/>
      <c r="EQ106" s="249"/>
      <c r="ET106" s="249"/>
      <c r="EW106" s="249"/>
      <c r="EZ106" s="249"/>
      <c r="FC106" s="249"/>
      <c r="FF106" s="249"/>
      <c r="FI106" s="249"/>
      <c r="FL106" s="249"/>
      <c r="FO106" s="249"/>
      <c r="FR106" s="249"/>
      <c r="FU106" s="249"/>
      <c r="FX106" s="249"/>
      <c r="GA106" s="249"/>
      <c r="GD106" s="249"/>
      <c r="GG106" s="249"/>
      <c r="GJ106" s="249"/>
      <c r="GM106" s="249"/>
      <c r="GP106" s="249"/>
      <c r="GS106" s="249"/>
      <c r="GV106" s="249"/>
      <c r="GY106" s="249"/>
      <c r="HB106" s="249"/>
      <c r="HE106" s="249"/>
    </row>
    <row r="107" spans="1:213" x14ac:dyDescent="0.2">
      <c r="A107" s="94" t="s">
        <v>373</v>
      </c>
      <c r="B107" s="283">
        <v>6</v>
      </c>
      <c r="C107" s="270" t="s">
        <v>69</v>
      </c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W107" s="249"/>
      <c r="Z107" s="249"/>
      <c r="AC107" s="249"/>
      <c r="AD107" s="249"/>
      <c r="AE107" s="249"/>
      <c r="AF107" s="249"/>
      <c r="AG107" s="249"/>
      <c r="AJ107" s="249"/>
      <c r="AM107" s="249"/>
      <c r="AP107" s="249"/>
      <c r="AS107" s="249"/>
      <c r="AV107" s="249"/>
      <c r="AY107" s="249"/>
      <c r="BB107" s="249"/>
      <c r="BE107" s="249"/>
      <c r="BH107" s="249"/>
      <c r="BK107" s="249"/>
      <c r="BN107" s="249"/>
      <c r="BQ107" s="249"/>
      <c r="BT107" s="249"/>
      <c r="BW107" s="249"/>
      <c r="BZ107" s="249"/>
      <c r="CC107" s="249"/>
      <c r="CF107" s="249"/>
      <c r="CI107" s="249"/>
      <c r="CL107" s="249"/>
      <c r="CO107" s="249"/>
      <c r="CR107" s="249"/>
      <c r="CU107" s="249"/>
      <c r="CX107" s="249"/>
      <c r="DA107" s="249"/>
      <c r="DD107" s="249"/>
      <c r="DG107" s="249"/>
      <c r="DJ107" s="249"/>
      <c r="DM107" s="249"/>
      <c r="DP107" s="249"/>
      <c r="DS107" s="249"/>
      <c r="DV107" s="249"/>
      <c r="DY107" s="249"/>
      <c r="EB107" s="249"/>
      <c r="EE107" s="249"/>
      <c r="EH107" s="249"/>
      <c r="EK107" s="249"/>
      <c r="EN107" s="249"/>
      <c r="EQ107" s="249"/>
      <c r="ET107" s="249"/>
      <c r="EW107" s="249"/>
      <c r="EZ107" s="249"/>
      <c r="FC107" s="249"/>
      <c r="FF107" s="249"/>
      <c r="FI107" s="249"/>
      <c r="FL107" s="249"/>
      <c r="FO107" s="249"/>
      <c r="FR107" s="249"/>
      <c r="FU107" s="249"/>
      <c r="FX107" s="249"/>
      <c r="GA107" s="249"/>
      <c r="GD107" s="249"/>
      <c r="GG107" s="249"/>
      <c r="GJ107" s="249"/>
      <c r="GM107" s="249"/>
      <c r="GP107" s="249"/>
      <c r="GS107" s="249"/>
      <c r="GV107" s="249"/>
      <c r="GY107" s="249"/>
      <c r="HB107" s="249"/>
      <c r="HE107" s="249"/>
    </row>
    <row r="108" spans="1:213" x14ac:dyDescent="0.2">
      <c r="A108" s="94" t="s">
        <v>372</v>
      </c>
      <c r="B108" s="283">
        <f>B109-B107</f>
        <v>20</v>
      </c>
      <c r="C108" s="270" t="s">
        <v>69</v>
      </c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W108" s="249"/>
      <c r="Z108" s="249"/>
      <c r="AC108" s="249"/>
      <c r="AD108" s="249"/>
      <c r="AE108" s="249"/>
      <c r="AF108" s="249"/>
      <c r="AG108" s="249"/>
      <c r="AJ108" s="249"/>
      <c r="AM108" s="249"/>
      <c r="AP108" s="249"/>
      <c r="AS108" s="249"/>
      <c r="AV108" s="249"/>
      <c r="AY108" s="249"/>
      <c r="BB108" s="249"/>
      <c r="BE108" s="249"/>
      <c r="BH108" s="249"/>
      <c r="BK108" s="249"/>
      <c r="BN108" s="249"/>
      <c r="BQ108" s="249"/>
      <c r="BT108" s="249"/>
      <c r="BW108" s="249"/>
      <c r="BZ108" s="249"/>
      <c r="CC108" s="249"/>
      <c r="CF108" s="249"/>
      <c r="CI108" s="249"/>
      <c r="CL108" s="249"/>
      <c r="CO108" s="249"/>
      <c r="CR108" s="249"/>
      <c r="CU108" s="249"/>
      <c r="CX108" s="249"/>
      <c r="DA108" s="249"/>
      <c r="DD108" s="249"/>
      <c r="DG108" s="249"/>
      <c r="DJ108" s="249"/>
      <c r="DM108" s="249"/>
      <c r="DP108" s="249"/>
      <c r="DS108" s="249"/>
      <c r="DV108" s="249"/>
      <c r="DY108" s="249"/>
      <c r="EB108" s="249"/>
      <c r="EE108" s="249"/>
      <c r="EH108" s="249"/>
      <c r="EK108" s="249"/>
      <c r="EN108" s="249"/>
      <c r="EQ108" s="249"/>
      <c r="ET108" s="249"/>
      <c r="EW108" s="249"/>
      <c r="EZ108" s="249"/>
      <c r="FC108" s="249"/>
      <c r="FF108" s="249"/>
      <c r="FI108" s="249"/>
      <c r="FL108" s="249"/>
      <c r="FO108" s="249"/>
      <c r="FR108" s="249"/>
      <c r="FU108" s="249"/>
      <c r="FX108" s="249"/>
      <c r="GA108" s="249"/>
      <c r="GD108" s="249"/>
      <c r="GG108" s="249"/>
      <c r="GJ108" s="249"/>
      <c r="GM108" s="249"/>
      <c r="GP108" s="249"/>
      <c r="GS108" s="249"/>
      <c r="GV108" s="249"/>
      <c r="GY108" s="249"/>
      <c r="HB108" s="249"/>
      <c r="HE108" s="249"/>
    </row>
    <row r="109" spans="1:213" x14ac:dyDescent="0.2">
      <c r="A109" s="94" t="s">
        <v>59</v>
      </c>
      <c r="B109" s="283">
        <v>26</v>
      </c>
      <c r="C109" s="270" t="s">
        <v>69</v>
      </c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W109" s="249"/>
      <c r="Z109" s="249"/>
      <c r="AC109" s="249"/>
      <c r="AD109" s="249"/>
      <c r="AE109" s="249"/>
      <c r="AF109" s="249"/>
      <c r="AG109" s="249"/>
      <c r="AJ109" s="249"/>
      <c r="AM109" s="249"/>
      <c r="AP109" s="249"/>
      <c r="AS109" s="249"/>
      <c r="AV109" s="249"/>
      <c r="AY109" s="249"/>
      <c r="BB109" s="249"/>
      <c r="BE109" s="249"/>
      <c r="BH109" s="249"/>
      <c r="BK109" s="249"/>
      <c r="BN109" s="249"/>
      <c r="BQ109" s="249"/>
      <c r="BT109" s="249"/>
      <c r="BW109" s="249"/>
      <c r="BZ109" s="249"/>
      <c r="CC109" s="249"/>
      <c r="CF109" s="249"/>
      <c r="CI109" s="249"/>
      <c r="CL109" s="249"/>
      <c r="CO109" s="249"/>
      <c r="CR109" s="249"/>
      <c r="CU109" s="249"/>
      <c r="CX109" s="249"/>
      <c r="DA109" s="249"/>
      <c r="DD109" s="249"/>
      <c r="DG109" s="249"/>
      <c r="DJ109" s="249"/>
      <c r="DM109" s="249"/>
      <c r="DP109" s="249"/>
      <c r="DS109" s="249"/>
      <c r="DV109" s="249"/>
      <c r="DY109" s="249"/>
      <c r="EB109" s="249"/>
      <c r="EE109" s="249"/>
      <c r="EH109" s="249"/>
      <c r="EK109" s="249"/>
      <c r="EN109" s="249"/>
      <c r="EQ109" s="249"/>
      <c r="ET109" s="249"/>
      <c r="EW109" s="249"/>
      <c r="EZ109" s="249"/>
      <c r="FC109" s="249"/>
      <c r="FF109" s="249"/>
      <c r="FI109" s="249"/>
      <c r="FL109" s="249"/>
      <c r="FO109" s="249"/>
      <c r="FR109" s="249"/>
      <c r="FU109" s="249"/>
      <c r="FX109" s="249"/>
      <c r="GA109" s="249"/>
      <c r="GD109" s="249"/>
      <c r="GG109" s="249"/>
      <c r="GJ109" s="249"/>
      <c r="GM109" s="249"/>
      <c r="GP109" s="249"/>
      <c r="GS109" s="249"/>
      <c r="GV109" s="249"/>
      <c r="GY109" s="249"/>
      <c r="HB109" s="249"/>
      <c r="HE109" s="249"/>
    </row>
    <row r="110" spans="1:213" x14ac:dyDescent="0.2">
      <c r="A110" s="94" t="s">
        <v>371</v>
      </c>
      <c r="B110" s="107">
        <v>75</v>
      </c>
      <c r="C110" s="94" t="s">
        <v>26</v>
      </c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W110" s="249"/>
      <c r="Z110" s="249"/>
      <c r="AC110" s="249"/>
      <c r="AD110" s="249"/>
      <c r="AE110" s="249"/>
      <c r="AF110" s="249"/>
      <c r="AG110" s="249"/>
      <c r="AJ110" s="249"/>
      <c r="AM110" s="249"/>
      <c r="AP110" s="249"/>
      <c r="AS110" s="249"/>
      <c r="AV110" s="249"/>
      <c r="AY110" s="249"/>
      <c r="BB110" s="249"/>
      <c r="BE110" s="249"/>
      <c r="BH110" s="249"/>
      <c r="BK110" s="249"/>
      <c r="BN110" s="249"/>
      <c r="BQ110" s="249"/>
      <c r="BT110" s="249"/>
      <c r="BW110" s="249"/>
      <c r="BZ110" s="249"/>
      <c r="CC110" s="249"/>
      <c r="CF110" s="249"/>
      <c r="CI110" s="249"/>
      <c r="CL110" s="249"/>
      <c r="CO110" s="249"/>
      <c r="CR110" s="249"/>
      <c r="CU110" s="249"/>
      <c r="CX110" s="249"/>
      <c r="DA110" s="249"/>
      <c r="DD110" s="249"/>
      <c r="DG110" s="249"/>
      <c r="DJ110" s="249"/>
      <c r="DM110" s="249"/>
      <c r="DP110" s="249"/>
      <c r="DS110" s="249"/>
      <c r="DV110" s="249"/>
      <c r="DY110" s="249"/>
      <c r="EB110" s="249"/>
      <c r="EE110" s="249"/>
      <c r="EH110" s="249"/>
      <c r="EK110" s="249"/>
      <c r="EN110" s="249"/>
      <c r="EQ110" s="249"/>
      <c r="ET110" s="249"/>
      <c r="EW110" s="249"/>
      <c r="EZ110" s="249"/>
      <c r="FC110" s="249"/>
      <c r="FF110" s="249"/>
      <c r="FI110" s="249"/>
      <c r="FL110" s="249"/>
      <c r="FO110" s="249"/>
      <c r="FR110" s="249"/>
      <c r="FU110" s="249"/>
      <c r="FX110" s="249"/>
      <c r="GA110" s="249"/>
      <c r="GD110" s="249"/>
      <c r="GG110" s="249"/>
      <c r="GJ110" s="249"/>
      <c r="GM110" s="249"/>
      <c r="GP110" s="249"/>
      <c r="GS110" s="249"/>
      <c r="GV110" s="249"/>
      <c r="GY110" s="249"/>
      <c r="HB110" s="249"/>
      <c r="HE110" s="249"/>
    </row>
    <row r="111" spans="1:213" x14ac:dyDescent="0.2">
      <c r="A111" s="94" t="s">
        <v>370</v>
      </c>
      <c r="B111" s="283">
        <v>75</v>
      </c>
      <c r="C111" s="94" t="s">
        <v>26</v>
      </c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W111" s="249"/>
      <c r="Z111" s="249"/>
      <c r="AC111" s="249"/>
      <c r="AD111" s="249"/>
      <c r="AE111" s="249"/>
      <c r="AF111" s="249"/>
      <c r="AG111" s="249"/>
      <c r="AJ111" s="249"/>
      <c r="AM111" s="249"/>
      <c r="AP111" s="249"/>
      <c r="AS111" s="249"/>
      <c r="AV111" s="249"/>
      <c r="AY111" s="249"/>
      <c r="BB111" s="249"/>
      <c r="BE111" s="249"/>
      <c r="BH111" s="249"/>
      <c r="BK111" s="249"/>
      <c r="BN111" s="249"/>
      <c r="BQ111" s="249"/>
      <c r="BT111" s="249"/>
      <c r="BW111" s="249"/>
      <c r="BZ111" s="249"/>
      <c r="CC111" s="249"/>
      <c r="CF111" s="249"/>
      <c r="CI111" s="249"/>
      <c r="CL111" s="249"/>
      <c r="CO111" s="249"/>
      <c r="CR111" s="249"/>
      <c r="CU111" s="249"/>
      <c r="CX111" s="249"/>
      <c r="DA111" s="249"/>
      <c r="DD111" s="249"/>
      <c r="DG111" s="249"/>
      <c r="DJ111" s="249"/>
      <c r="DM111" s="249"/>
      <c r="DP111" s="249"/>
      <c r="DS111" s="249"/>
      <c r="DV111" s="249"/>
      <c r="DY111" s="249"/>
      <c r="EB111" s="249"/>
      <c r="EE111" s="249"/>
      <c r="EH111" s="249"/>
      <c r="EK111" s="249"/>
      <c r="EN111" s="249"/>
      <c r="EQ111" s="249"/>
      <c r="ET111" s="249"/>
      <c r="EW111" s="249"/>
      <c r="EZ111" s="249"/>
      <c r="FC111" s="249"/>
      <c r="FF111" s="249"/>
      <c r="FI111" s="249"/>
      <c r="FL111" s="249"/>
      <c r="FO111" s="249"/>
      <c r="FR111" s="249"/>
      <c r="FU111" s="249"/>
      <c r="FX111" s="249"/>
      <c r="GA111" s="249"/>
      <c r="GD111" s="249"/>
      <c r="GG111" s="249"/>
      <c r="GJ111" s="249"/>
      <c r="GM111" s="249"/>
      <c r="GP111" s="249"/>
      <c r="GS111" s="249"/>
      <c r="GV111" s="249"/>
      <c r="GY111" s="249"/>
      <c r="HB111" s="249"/>
      <c r="HE111" s="249"/>
    </row>
    <row r="112" spans="1:213" x14ac:dyDescent="0.2">
      <c r="A112" s="94" t="s">
        <v>157</v>
      </c>
      <c r="B112" s="283">
        <v>75</v>
      </c>
      <c r="C112" s="94" t="s">
        <v>26</v>
      </c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W112" s="249"/>
      <c r="Z112" s="249"/>
      <c r="AC112" s="249"/>
      <c r="AD112" s="249"/>
      <c r="AE112" s="249"/>
      <c r="AF112" s="249"/>
      <c r="AG112" s="249"/>
      <c r="AJ112" s="249"/>
      <c r="AM112" s="249"/>
      <c r="AP112" s="249"/>
      <c r="AS112" s="249"/>
      <c r="AV112" s="249"/>
      <c r="AY112" s="249"/>
      <c r="BB112" s="249"/>
      <c r="BE112" s="249"/>
      <c r="BH112" s="249"/>
      <c r="BK112" s="249"/>
      <c r="BN112" s="249"/>
      <c r="BQ112" s="249"/>
      <c r="BT112" s="249"/>
      <c r="BW112" s="249"/>
      <c r="BZ112" s="249"/>
      <c r="CC112" s="249"/>
      <c r="CF112" s="249"/>
      <c r="CI112" s="249"/>
      <c r="CL112" s="249"/>
      <c r="CO112" s="249"/>
      <c r="CR112" s="249"/>
      <c r="CU112" s="249"/>
      <c r="CX112" s="249"/>
      <c r="DA112" s="249"/>
      <c r="DD112" s="249"/>
      <c r="DG112" s="249"/>
      <c r="DJ112" s="249"/>
      <c r="DM112" s="249"/>
      <c r="DP112" s="249"/>
      <c r="DS112" s="249"/>
      <c r="DV112" s="249"/>
      <c r="DY112" s="249"/>
      <c r="EB112" s="249"/>
      <c r="EE112" s="249"/>
      <c r="EH112" s="249"/>
      <c r="EK112" s="249"/>
      <c r="EN112" s="249"/>
      <c r="EQ112" s="249"/>
      <c r="ET112" s="249"/>
      <c r="EW112" s="249"/>
      <c r="EZ112" s="249"/>
      <c r="FC112" s="249"/>
      <c r="FF112" s="249"/>
      <c r="FI112" s="249"/>
      <c r="FL112" s="249"/>
      <c r="FO112" s="249"/>
      <c r="FR112" s="249"/>
      <c r="FU112" s="249"/>
      <c r="FX112" s="249"/>
      <c r="GA112" s="249"/>
      <c r="GD112" s="249"/>
      <c r="GG112" s="249"/>
      <c r="GJ112" s="249"/>
      <c r="GM112" s="249"/>
      <c r="GP112" s="249"/>
      <c r="GS112" s="249"/>
      <c r="GV112" s="249"/>
      <c r="GY112" s="249"/>
      <c r="HB112" s="249"/>
      <c r="HE112" s="249"/>
    </row>
    <row r="113" spans="1:213" x14ac:dyDescent="0.2">
      <c r="A113" s="94" t="s">
        <v>105</v>
      </c>
      <c r="B113" s="283">
        <v>1</v>
      </c>
      <c r="C113" s="92" t="s">
        <v>224</v>
      </c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W113" s="249"/>
      <c r="Z113" s="249"/>
      <c r="AC113" s="249"/>
      <c r="AD113" s="249"/>
      <c r="AE113" s="249"/>
      <c r="AF113" s="249"/>
      <c r="AG113" s="249"/>
      <c r="AJ113" s="249"/>
      <c r="AM113" s="249"/>
      <c r="AP113" s="249"/>
      <c r="AS113" s="249"/>
      <c r="AV113" s="249"/>
      <c r="AY113" s="249"/>
      <c r="BB113" s="249"/>
      <c r="BE113" s="249"/>
      <c r="BH113" s="249"/>
      <c r="BK113" s="249"/>
      <c r="BN113" s="249"/>
      <c r="BQ113" s="249"/>
      <c r="BT113" s="249"/>
      <c r="BW113" s="249"/>
      <c r="BZ113" s="249"/>
      <c r="CC113" s="249"/>
      <c r="CF113" s="249"/>
      <c r="CI113" s="249"/>
      <c r="CL113" s="249"/>
      <c r="CO113" s="249"/>
      <c r="CR113" s="249"/>
      <c r="CU113" s="249"/>
      <c r="CX113" s="249"/>
      <c r="DA113" s="249"/>
      <c r="DD113" s="249"/>
      <c r="DG113" s="249"/>
      <c r="DJ113" s="249"/>
      <c r="DM113" s="249"/>
      <c r="DP113" s="249"/>
      <c r="DS113" s="249"/>
      <c r="DV113" s="249"/>
      <c r="DY113" s="249"/>
      <c r="EB113" s="249"/>
      <c r="EE113" s="249"/>
      <c r="EH113" s="249"/>
      <c r="EK113" s="249"/>
      <c r="EN113" s="249"/>
      <c r="EQ113" s="249"/>
      <c r="ET113" s="249"/>
      <c r="EW113" s="249"/>
      <c r="EZ113" s="249"/>
      <c r="FC113" s="249"/>
      <c r="FF113" s="249"/>
      <c r="FI113" s="249"/>
      <c r="FL113" s="249"/>
      <c r="FO113" s="249"/>
      <c r="FR113" s="249"/>
      <c r="FU113" s="249"/>
      <c r="FX113" s="249"/>
      <c r="GA113" s="249"/>
      <c r="GD113" s="249"/>
      <c r="GG113" s="249"/>
      <c r="GJ113" s="249"/>
      <c r="GM113" s="249"/>
      <c r="GP113" s="249"/>
      <c r="GS113" s="249"/>
      <c r="GV113" s="249"/>
      <c r="GY113" s="249"/>
      <c r="HB113" s="249"/>
      <c r="HE113" s="249"/>
    </row>
    <row r="114" spans="1:213" x14ac:dyDescent="0.2">
      <c r="A114" s="92" t="s">
        <v>368</v>
      </c>
      <c r="B114" s="284">
        <v>1</v>
      </c>
      <c r="C114" s="92" t="s">
        <v>224</v>
      </c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W114" s="249"/>
      <c r="Z114" s="249"/>
      <c r="AC114" s="249"/>
      <c r="AD114" s="249"/>
      <c r="AE114" s="249"/>
      <c r="AF114" s="249"/>
      <c r="AG114" s="249"/>
      <c r="AJ114" s="249"/>
      <c r="AM114" s="249"/>
      <c r="AP114" s="249"/>
      <c r="AS114" s="249"/>
      <c r="AV114" s="249"/>
      <c r="AY114" s="249"/>
      <c r="BB114" s="249"/>
      <c r="BE114" s="249"/>
      <c r="BH114" s="249"/>
      <c r="BK114" s="249"/>
      <c r="BN114" s="249"/>
      <c r="BQ114" s="249"/>
      <c r="BT114" s="249"/>
      <c r="BW114" s="249"/>
      <c r="BZ114" s="249"/>
      <c r="CC114" s="249"/>
      <c r="CF114" s="249"/>
      <c r="CI114" s="249"/>
      <c r="CL114" s="249"/>
      <c r="CO114" s="249"/>
      <c r="CR114" s="249"/>
      <c r="CU114" s="249"/>
      <c r="CX114" s="249"/>
      <c r="DA114" s="249"/>
      <c r="DD114" s="249"/>
      <c r="DG114" s="249"/>
      <c r="DJ114" s="249"/>
      <c r="DM114" s="249"/>
      <c r="DP114" s="249"/>
      <c r="DS114" s="249"/>
      <c r="DV114" s="249"/>
      <c r="DY114" s="249"/>
      <c r="EB114" s="249"/>
      <c r="EE114" s="249"/>
      <c r="EH114" s="249"/>
      <c r="EK114" s="249"/>
      <c r="EN114" s="249"/>
      <c r="EQ114" s="249"/>
      <c r="ET114" s="249"/>
      <c r="EW114" s="249"/>
      <c r="EZ114" s="249"/>
      <c r="FC114" s="249"/>
      <c r="FF114" s="249"/>
      <c r="FI114" s="249"/>
      <c r="FL114" s="249"/>
      <c r="FO114" s="249"/>
      <c r="FR114" s="249"/>
      <c r="FU114" s="249"/>
      <c r="FX114" s="249"/>
      <c r="GA114" s="249"/>
      <c r="GD114" s="249"/>
      <c r="GG114" s="249"/>
      <c r="GJ114" s="249"/>
      <c r="GM114" s="249"/>
      <c r="GP114" s="249"/>
      <c r="GS114" s="249"/>
      <c r="GV114" s="249"/>
      <c r="GY114" s="249"/>
      <c r="HB114" s="249"/>
      <c r="HE114" s="249"/>
    </row>
    <row r="115" spans="1:213" x14ac:dyDescent="0.2">
      <c r="A115" s="92" t="s">
        <v>369</v>
      </c>
      <c r="B115" s="284">
        <v>1</v>
      </c>
      <c r="C115" s="92" t="s">
        <v>224</v>
      </c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W115" s="249"/>
      <c r="Z115" s="249"/>
      <c r="AC115" s="249"/>
      <c r="AD115" s="249"/>
      <c r="AE115" s="249"/>
      <c r="AF115" s="249"/>
      <c r="AG115" s="249"/>
      <c r="AJ115" s="249"/>
      <c r="AM115" s="249"/>
      <c r="AP115" s="249"/>
      <c r="AS115" s="249"/>
      <c r="AV115" s="249"/>
      <c r="AY115" s="249"/>
      <c r="BB115" s="249"/>
      <c r="BE115" s="249"/>
      <c r="BH115" s="249"/>
      <c r="BK115" s="249"/>
      <c r="BN115" s="249"/>
      <c r="BQ115" s="249"/>
      <c r="BT115" s="249"/>
      <c r="BW115" s="249"/>
      <c r="BZ115" s="249"/>
      <c r="CC115" s="249"/>
      <c r="CF115" s="249"/>
      <c r="CI115" s="249"/>
      <c r="CL115" s="249"/>
      <c r="CO115" s="249"/>
      <c r="CR115" s="249"/>
      <c r="CU115" s="249"/>
      <c r="CX115" s="249"/>
      <c r="DA115" s="249"/>
      <c r="DD115" s="249"/>
      <c r="DG115" s="249"/>
      <c r="DJ115" s="249"/>
      <c r="DM115" s="249"/>
      <c r="DP115" s="249"/>
      <c r="DS115" s="249"/>
      <c r="DV115" s="249"/>
      <c r="DY115" s="249"/>
      <c r="EB115" s="249"/>
      <c r="EE115" s="249"/>
      <c r="EH115" s="249"/>
      <c r="EK115" s="249"/>
      <c r="EN115" s="249"/>
      <c r="EQ115" s="249"/>
      <c r="ET115" s="249"/>
      <c r="EW115" s="249"/>
      <c r="EZ115" s="249"/>
      <c r="FC115" s="249"/>
      <c r="FF115" s="249"/>
      <c r="FI115" s="249"/>
      <c r="FL115" s="249"/>
      <c r="FO115" s="249"/>
      <c r="FR115" s="249"/>
      <c r="FU115" s="249"/>
      <c r="FX115" s="249"/>
      <c r="GA115" s="249"/>
      <c r="GD115" s="249"/>
      <c r="GG115" s="249"/>
      <c r="GJ115" s="249"/>
      <c r="GM115" s="249"/>
      <c r="GP115" s="249"/>
      <c r="GS115" s="249"/>
      <c r="GV115" s="249"/>
      <c r="GY115" s="249"/>
      <c r="HB115" s="249"/>
      <c r="HE115" s="249"/>
    </row>
    <row r="116" spans="1:213" x14ac:dyDescent="0.2">
      <c r="A116" s="249" t="s">
        <v>366</v>
      </c>
      <c r="B116" s="284">
        <v>1</v>
      </c>
      <c r="C116" s="249" t="s">
        <v>104</v>
      </c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W116" s="249"/>
      <c r="Z116" s="249"/>
      <c r="AC116" s="249"/>
      <c r="AD116" s="249"/>
      <c r="AE116" s="249"/>
      <c r="AF116" s="249"/>
      <c r="AG116" s="249"/>
      <c r="AJ116" s="249"/>
      <c r="AM116" s="249"/>
      <c r="AP116" s="249"/>
      <c r="AS116" s="249"/>
      <c r="AV116" s="249"/>
      <c r="AY116" s="249"/>
      <c r="BB116" s="249"/>
      <c r="BE116" s="249"/>
      <c r="BH116" s="249"/>
      <c r="BK116" s="249"/>
      <c r="BN116" s="249"/>
      <c r="BQ116" s="249"/>
      <c r="BT116" s="249"/>
      <c r="BW116" s="249"/>
      <c r="BZ116" s="249"/>
      <c r="CC116" s="249"/>
      <c r="CF116" s="249"/>
      <c r="CI116" s="249"/>
      <c r="CL116" s="249"/>
      <c r="CO116" s="249"/>
      <c r="CR116" s="249"/>
      <c r="CU116" s="249"/>
      <c r="CX116" s="249"/>
      <c r="DA116" s="249"/>
      <c r="DD116" s="249"/>
      <c r="DG116" s="249"/>
      <c r="DJ116" s="249"/>
      <c r="DM116" s="249"/>
      <c r="DP116" s="249"/>
      <c r="DS116" s="249"/>
      <c r="DV116" s="249"/>
      <c r="DY116" s="249"/>
      <c r="EB116" s="249"/>
      <c r="EE116" s="249"/>
      <c r="EH116" s="249"/>
      <c r="EK116" s="249"/>
      <c r="EN116" s="249"/>
      <c r="EQ116" s="249"/>
      <c r="ET116" s="249"/>
      <c r="EW116" s="249"/>
      <c r="EZ116" s="249"/>
      <c r="FC116" s="249"/>
      <c r="FF116" s="249"/>
      <c r="FI116" s="249"/>
      <c r="FL116" s="249"/>
      <c r="FO116" s="249"/>
      <c r="FR116" s="249"/>
      <c r="FU116" s="249"/>
      <c r="FX116" s="249"/>
      <c r="GA116" s="249"/>
      <c r="GD116" s="249"/>
      <c r="GG116" s="249"/>
      <c r="GJ116" s="249"/>
      <c r="GM116" s="249"/>
      <c r="GP116" s="249"/>
      <c r="GS116" s="249"/>
      <c r="GV116" s="249"/>
      <c r="GY116" s="249"/>
      <c r="HB116" s="249"/>
      <c r="HE116" s="249"/>
    </row>
    <row r="117" spans="1:213" x14ac:dyDescent="0.2">
      <c r="A117" s="249" t="s">
        <v>367</v>
      </c>
      <c r="B117" s="284">
        <v>1</v>
      </c>
      <c r="C117" s="249" t="s">
        <v>104</v>
      </c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W117" s="249"/>
      <c r="Z117" s="249"/>
      <c r="AC117" s="249"/>
      <c r="AD117" s="249"/>
      <c r="AE117" s="249"/>
      <c r="AF117" s="249"/>
      <c r="AG117" s="249"/>
      <c r="AJ117" s="249"/>
      <c r="AM117" s="249"/>
      <c r="AP117" s="249"/>
      <c r="AS117" s="249"/>
      <c r="AV117" s="249"/>
      <c r="AY117" s="249"/>
      <c r="BB117" s="249"/>
      <c r="BE117" s="249"/>
      <c r="BH117" s="249"/>
      <c r="BK117" s="249"/>
      <c r="BN117" s="249"/>
      <c r="BQ117" s="249"/>
      <c r="BT117" s="249"/>
      <c r="BW117" s="249"/>
      <c r="BZ117" s="249"/>
      <c r="CC117" s="249"/>
      <c r="CF117" s="249"/>
      <c r="CI117" s="249"/>
      <c r="CL117" s="249"/>
      <c r="CO117" s="249"/>
      <c r="CR117" s="249"/>
      <c r="CU117" s="249"/>
      <c r="CX117" s="249"/>
      <c r="DA117" s="249"/>
      <c r="DD117" s="249"/>
      <c r="DG117" s="249"/>
      <c r="DJ117" s="249"/>
      <c r="DM117" s="249"/>
      <c r="DP117" s="249"/>
      <c r="DS117" s="249"/>
      <c r="DV117" s="249"/>
      <c r="DY117" s="249"/>
      <c r="EB117" s="249"/>
      <c r="EE117" s="249"/>
      <c r="EH117" s="249"/>
      <c r="EK117" s="249"/>
      <c r="EN117" s="249"/>
      <c r="EQ117" s="249"/>
      <c r="ET117" s="249"/>
      <c r="EW117" s="249"/>
      <c r="EZ117" s="249"/>
      <c r="FC117" s="249"/>
      <c r="FF117" s="249"/>
      <c r="FI117" s="249"/>
      <c r="FL117" s="249"/>
      <c r="FO117" s="249"/>
      <c r="FR117" s="249"/>
      <c r="FU117" s="249"/>
      <c r="FX117" s="249"/>
      <c r="GA117" s="249"/>
      <c r="GD117" s="249"/>
      <c r="GG117" s="249"/>
      <c r="GJ117" s="249"/>
      <c r="GM117" s="249"/>
      <c r="GP117" s="249"/>
      <c r="GS117" s="249"/>
      <c r="GV117" s="249"/>
      <c r="GY117" s="249"/>
      <c r="HB117" s="249"/>
      <c r="HE117" s="249"/>
    </row>
    <row r="118" spans="1:213" x14ac:dyDescent="0.2">
      <c r="A118" s="94" t="s">
        <v>364</v>
      </c>
      <c r="B118" s="284">
        <v>1</v>
      </c>
      <c r="C118" s="92" t="s">
        <v>98</v>
      </c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W118" s="249"/>
      <c r="Z118" s="249"/>
      <c r="AC118" s="249"/>
      <c r="AD118" s="249"/>
      <c r="AE118" s="249"/>
      <c r="AF118" s="249"/>
      <c r="AG118" s="249"/>
      <c r="AJ118" s="249"/>
      <c r="AM118" s="249"/>
      <c r="AP118" s="249"/>
      <c r="AS118" s="249"/>
      <c r="AV118" s="249"/>
      <c r="AY118" s="249"/>
      <c r="BB118" s="249"/>
      <c r="BE118" s="249"/>
      <c r="BH118" s="249"/>
      <c r="BK118" s="249"/>
      <c r="BN118" s="249"/>
      <c r="BQ118" s="249"/>
      <c r="BT118" s="249"/>
      <c r="BW118" s="249"/>
      <c r="BZ118" s="249"/>
      <c r="CC118" s="249"/>
      <c r="CF118" s="249"/>
      <c r="CI118" s="249"/>
      <c r="CL118" s="249"/>
      <c r="CO118" s="249"/>
      <c r="CR118" s="249"/>
      <c r="CU118" s="249"/>
      <c r="CX118" s="249"/>
      <c r="DA118" s="249"/>
      <c r="DD118" s="249"/>
      <c r="DG118" s="249"/>
      <c r="DJ118" s="249"/>
      <c r="DM118" s="249"/>
      <c r="DP118" s="249"/>
      <c r="DS118" s="249"/>
      <c r="DV118" s="249"/>
      <c r="DY118" s="249"/>
      <c r="EB118" s="249"/>
      <c r="EE118" s="249"/>
      <c r="EH118" s="249"/>
      <c r="EK118" s="249"/>
      <c r="EN118" s="249"/>
      <c r="EQ118" s="249"/>
      <c r="ET118" s="249"/>
      <c r="EW118" s="249"/>
      <c r="EZ118" s="249"/>
      <c r="FC118" s="249"/>
      <c r="FF118" s="249"/>
      <c r="FI118" s="249"/>
      <c r="FL118" s="249"/>
      <c r="FO118" s="249"/>
      <c r="FR118" s="249"/>
      <c r="FU118" s="249"/>
      <c r="FX118" s="249"/>
      <c r="GA118" s="249"/>
      <c r="GD118" s="249"/>
      <c r="GG118" s="249"/>
      <c r="GJ118" s="249"/>
      <c r="GM118" s="249"/>
      <c r="GP118" s="249"/>
      <c r="GS118" s="249"/>
      <c r="GV118" s="249"/>
      <c r="GY118" s="249"/>
      <c r="HB118" s="249"/>
      <c r="HE118" s="249"/>
    </row>
    <row r="119" spans="1:213" x14ac:dyDescent="0.2">
      <c r="A119" s="94" t="s">
        <v>365</v>
      </c>
      <c r="B119" s="284">
        <v>1</v>
      </c>
      <c r="C119" s="92" t="s">
        <v>98</v>
      </c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W119" s="249"/>
      <c r="Z119" s="249"/>
      <c r="AC119" s="249"/>
      <c r="AD119" s="249"/>
      <c r="AE119" s="249"/>
      <c r="AF119" s="249"/>
      <c r="AG119" s="249"/>
      <c r="AJ119" s="249"/>
      <c r="AM119" s="249"/>
      <c r="AP119" s="249"/>
      <c r="AS119" s="249"/>
      <c r="AV119" s="249"/>
      <c r="AY119" s="249"/>
      <c r="BB119" s="249"/>
      <c r="BE119" s="249"/>
      <c r="BH119" s="249"/>
      <c r="BK119" s="249"/>
      <c r="BN119" s="249"/>
      <c r="BQ119" s="249"/>
      <c r="BT119" s="249"/>
      <c r="BW119" s="249"/>
      <c r="BZ119" s="249"/>
      <c r="CC119" s="249"/>
      <c r="CF119" s="249"/>
      <c r="CI119" s="249"/>
      <c r="CL119" s="249"/>
      <c r="CO119" s="249"/>
      <c r="CR119" s="249"/>
      <c r="CU119" s="249"/>
      <c r="CX119" s="249"/>
      <c r="DA119" s="249"/>
      <c r="DD119" s="249"/>
      <c r="DG119" s="249"/>
      <c r="DJ119" s="249"/>
      <c r="DM119" s="249"/>
      <c r="DP119" s="249"/>
      <c r="DS119" s="249"/>
      <c r="DV119" s="249"/>
      <c r="DY119" s="249"/>
      <c r="EB119" s="249"/>
      <c r="EE119" s="249"/>
      <c r="EH119" s="249"/>
      <c r="EK119" s="249"/>
      <c r="EN119" s="249"/>
      <c r="EQ119" s="249"/>
      <c r="ET119" s="249"/>
      <c r="EW119" s="249"/>
      <c r="EZ119" s="249"/>
      <c r="FC119" s="249"/>
      <c r="FF119" s="249"/>
      <c r="FI119" s="249"/>
      <c r="FL119" s="249"/>
      <c r="FO119" s="249"/>
      <c r="FR119" s="249"/>
      <c r="FU119" s="249"/>
      <c r="FX119" s="249"/>
      <c r="GA119" s="249"/>
      <c r="GD119" s="249"/>
      <c r="GG119" s="249"/>
      <c r="GJ119" s="249"/>
      <c r="GM119" s="249"/>
      <c r="GP119" s="249"/>
      <c r="GS119" s="249"/>
      <c r="GV119" s="249"/>
      <c r="GY119" s="249"/>
      <c r="HB119" s="249"/>
      <c r="HE119" s="249"/>
    </row>
    <row r="120" spans="1:213" x14ac:dyDescent="0.2">
      <c r="A120" s="263" t="s">
        <v>192</v>
      </c>
      <c r="B120" s="283">
        <v>1</v>
      </c>
      <c r="C120" s="249" t="s">
        <v>283</v>
      </c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W120" s="249"/>
      <c r="Z120" s="249"/>
      <c r="AC120" s="249"/>
      <c r="AD120" s="249"/>
      <c r="AE120" s="249"/>
      <c r="AF120" s="249"/>
      <c r="AG120" s="249"/>
      <c r="AJ120" s="249"/>
      <c r="AM120" s="249"/>
      <c r="AP120" s="249"/>
      <c r="AS120" s="249"/>
      <c r="AV120" s="249"/>
      <c r="AY120" s="249"/>
      <c r="BB120" s="249"/>
      <c r="BE120" s="249"/>
      <c r="BH120" s="249"/>
      <c r="BK120" s="249"/>
      <c r="BN120" s="249"/>
      <c r="BQ120" s="249"/>
      <c r="BT120" s="249"/>
      <c r="BW120" s="249"/>
      <c r="BZ120" s="249"/>
      <c r="CC120" s="249"/>
      <c r="CF120" s="249"/>
      <c r="CI120" s="249"/>
      <c r="CL120" s="249"/>
      <c r="CO120" s="249"/>
      <c r="CR120" s="249"/>
      <c r="CU120" s="249"/>
      <c r="CX120" s="249"/>
      <c r="DA120" s="249"/>
      <c r="DD120" s="249"/>
      <c r="DG120" s="249"/>
      <c r="DJ120" s="249"/>
      <c r="DM120" s="249"/>
      <c r="DP120" s="249"/>
      <c r="DS120" s="249"/>
      <c r="DV120" s="249"/>
      <c r="DY120" s="249"/>
      <c r="EB120" s="249"/>
      <c r="EE120" s="249"/>
      <c r="EH120" s="249"/>
      <c r="EK120" s="249"/>
      <c r="EN120" s="249"/>
      <c r="EQ120" s="249"/>
      <c r="ET120" s="249"/>
      <c r="EW120" s="249"/>
      <c r="EZ120" s="249"/>
      <c r="FC120" s="249"/>
      <c r="FF120" s="249"/>
      <c r="FI120" s="249"/>
      <c r="FL120" s="249"/>
      <c r="FO120" s="249"/>
      <c r="FR120" s="249"/>
      <c r="FU120" s="249"/>
      <c r="FX120" s="249"/>
      <c r="GA120" s="249"/>
      <c r="GD120" s="249"/>
      <c r="GG120" s="249"/>
      <c r="GJ120" s="249"/>
      <c r="GM120" s="249"/>
      <c r="GP120" s="249"/>
      <c r="GS120" s="249"/>
      <c r="GV120" s="249"/>
      <c r="GY120" s="249"/>
      <c r="HB120" s="249"/>
      <c r="HE120" s="249"/>
    </row>
    <row r="121" spans="1:213" x14ac:dyDescent="0.2">
      <c r="A121" s="263" t="s">
        <v>189</v>
      </c>
      <c r="B121" s="283">
        <v>1</v>
      </c>
      <c r="C121" s="249" t="s">
        <v>283</v>
      </c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W121" s="249"/>
      <c r="Z121" s="249"/>
      <c r="AC121" s="249"/>
      <c r="AD121" s="249"/>
      <c r="AE121" s="249"/>
      <c r="AF121" s="249"/>
      <c r="AG121" s="249"/>
      <c r="AJ121" s="249"/>
      <c r="AM121" s="249"/>
      <c r="AP121" s="249"/>
      <c r="AS121" s="249"/>
      <c r="AV121" s="249"/>
      <c r="AY121" s="249"/>
      <c r="BB121" s="249"/>
      <c r="BE121" s="249"/>
      <c r="BH121" s="249"/>
      <c r="BK121" s="249"/>
      <c r="BN121" s="249"/>
      <c r="BQ121" s="249"/>
      <c r="BT121" s="249"/>
      <c r="BW121" s="249"/>
      <c r="BZ121" s="249"/>
      <c r="CC121" s="249"/>
      <c r="CF121" s="249"/>
      <c r="CI121" s="249"/>
      <c r="CL121" s="249"/>
      <c r="CO121" s="249"/>
      <c r="CR121" s="249"/>
      <c r="CU121" s="249"/>
      <c r="CX121" s="249"/>
      <c r="DA121" s="249"/>
      <c r="DD121" s="249"/>
      <c r="DG121" s="249"/>
      <c r="DJ121" s="249"/>
      <c r="DM121" s="249"/>
      <c r="DP121" s="249"/>
      <c r="DS121" s="249"/>
      <c r="DV121" s="249"/>
      <c r="DY121" s="249"/>
      <c r="EB121" s="249"/>
      <c r="EE121" s="249"/>
      <c r="EH121" s="249"/>
      <c r="EK121" s="249"/>
      <c r="EN121" s="249"/>
      <c r="EQ121" s="249"/>
      <c r="ET121" s="249"/>
      <c r="EW121" s="249"/>
      <c r="EZ121" s="249"/>
      <c r="FC121" s="249"/>
      <c r="FF121" s="249"/>
      <c r="FI121" s="249"/>
      <c r="FL121" s="249"/>
      <c r="FO121" s="249"/>
      <c r="FR121" s="249"/>
      <c r="FU121" s="249"/>
      <c r="FX121" s="249"/>
      <c r="GA121" s="249"/>
      <c r="GD121" s="249"/>
      <c r="GG121" s="249"/>
      <c r="GJ121" s="249"/>
      <c r="GM121" s="249"/>
      <c r="GP121" s="249"/>
      <c r="GS121" s="249"/>
      <c r="GV121" s="249"/>
      <c r="GY121" s="249"/>
      <c r="HB121" s="249"/>
      <c r="HE121" s="249"/>
    </row>
    <row r="122" spans="1:213" x14ac:dyDescent="0.2">
      <c r="A122" s="263" t="s">
        <v>190</v>
      </c>
      <c r="B122" s="283">
        <v>1</v>
      </c>
      <c r="C122" s="249" t="s">
        <v>47</v>
      </c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W122" s="249"/>
      <c r="Z122" s="249"/>
      <c r="AC122" s="249"/>
      <c r="AD122" s="249"/>
      <c r="AE122" s="249"/>
      <c r="AF122" s="249"/>
      <c r="AG122" s="249"/>
      <c r="AJ122" s="249"/>
      <c r="AM122" s="249"/>
      <c r="AP122" s="249"/>
      <c r="AS122" s="249"/>
      <c r="AV122" s="249"/>
      <c r="AY122" s="249"/>
      <c r="BB122" s="249"/>
      <c r="BE122" s="249"/>
      <c r="BH122" s="249"/>
      <c r="BK122" s="249"/>
      <c r="BN122" s="249"/>
      <c r="BQ122" s="249"/>
      <c r="BT122" s="249"/>
      <c r="BW122" s="249"/>
      <c r="BZ122" s="249"/>
      <c r="CC122" s="249"/>
      <c r="CF122" s="249"/>
      <c r="CI122" s="249"/>
      <c r="CL122" s="249"/>
      <c r="CO122" s="249"/>
      <c r="CR122" s="249"/>
      <c r="CU122" s="249"/>
      <c r="CX122" s="249"/>
      <c r="DA122" s="249"/>
      <c r="DD122" s="249"/>
      <c r="DG122" s="249"/>
      <c r="DJ122" s="249"/>
      <c r="DM122" s="249"/>
      <c r="DP122" s="249"/>
      <c r="DS122" s="249"/>
      <c r="DV122" s="249"/>
      <c r="DY122" s="249"/>
      <c r="EB122" s="249"/>
      <c r="EE122" s="249"/>
      <c r="EH122" s="249"/>
      <c r="EK122" s="249"/>
      <c r="EN122" s="249"/>
      <c r="EQ122" s="249"/>
      <c r="ET122" s="249"/>
      <c r="EW122" s="249"/>
      <c r="EZ122" s="249"/>
      <c r="FC122" s="249"/>
      <c r="FF122" s="249"/>
      <c r="FI122" s="249"/>
      <c r="FL122" s="249"/>
      <c r="FO122" s="249"/>
      <c r="FR122" s="249"/>
      <c r="FU122" s="249"/>
      <c r="FX122" s="249"/>
      <c r="GA122" s="249"/>
      <c r="GD122" s="249"/>
      <c r="GG122" s="249"/>
      <c r="GJ122" s="249"/>
      <c r="GM122" s="249"/>
      <c r="GP122" s="249"/>
      <c r="GS122" s="249"/>
      <c r="GV122" s="249"/>
      <c r="GY122" s="249"/>
      <c r="HB122" s="249"/>
      <c r="HE122" s="249"/>
    </row>
    <row r="123" spans="1:213" x14ac:dyDescent="0.2">
      <c r="A123" s="263" t="s">
        <v>191</v>
      </c>
      <c r="B123" s="283">
        <v>1</v>
      </c>
      <c r="C123" s="249" t="s">
        <v>47</v>
      </c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W123" s="249"/>
      <c r="Z123" s="249"/>
      <c r="AC123" s="249"/>
      <c r="AD123" s="249"/>
      <c r="AE123" s="249"/>
      <c r="AF123" s="249"/>
      <c r="AG123" s="249"/>
      <c r="AJ123" s="249"/>
      <c r="AM123" s="249"/>
      <c r="AP123" s="249"/>
      <c r="AS123" s="249"/>
      <c r="AV123" s="249"/>
      <c r="AY123" s="249"/>
      <c r="BB123" s="249"/>
      <c r="BE123" s="249"/>
      <c r="BH123" s="249"/>
      <c r="BK123" s="249"/>
      <c r="BN123" s="249"/>
      <c r="BQ123" s="249"/>
      <c r="BT123" s="249"/>
      <c r="BW123" s="249"/>
      <c r="BZ123" s="249"/>
      <c r="CC123" s="249"/>
      <c r="CF123" s="249"/>
      <c r="CI123" s="249"/>
      <c r="CL123" s="249"/>
      <c r="CO123" s="249"/>
      <c r="CR123" s="249"/>
      <c r="CU123" s="249"/>
      <c r="CX123" s="249"/>
      <c r="DA123" s="249"/>
      <c r="DD123" s="249"/>
      <c r="DG123" s="249"/>
      <c r="DJ123" s="249"/>
      <c r="DM123" s="249"/>
      <c r="DP123" s="249"/>
      <c r="DS123" s="249"/>
      <c r="DV123" s="249"/>
      <c r="DY123" s="249"/>
      <c r="EB123" s="249"/>
      <c r="EE123" s="249"/>
      <c r="EH123" s="249"/>
      <c r="EK123" s="249"/>
      <c r="EN123" s="249"/>
      <c r="EQ123" s="249"/>
      <c r="ET123" s="249"/>
      <c r="EW123" s="249"/>
      <c r="EZ123" s="249"/>
      <c r="FC123" s="249"/>
      <c r="FF123" s="249"/>
      <c r="FI123" s="249"/>
      <c r="FL123" s="249"/>
      <c r="FO123" s="249"/>
      <c r="FR123" s="249"/>
      <c r="FU123" s="249"/>
      <c r="FX123" s="249"/>
      <c r="GA123" s="249"/>
      <c r="GD123" s="249"/>
      <c r="GG123" s="249"/>
      <c r="GJ123" s="249"/>
      <c r="GM123" s="249"/>
      <c r="GP123" s="249"/>
      <c r="GS123" s="249"/>
      <c r="GV123" s="249"/>
      <c r="GY123" s="249"/>
      <c r="HB123" s="249"/>
      <c r="HE123" s="249"/>
    </row>
    <row r="124" spans="1:213" x14ac:dyDescent="0.2">
      <c r="A124" s="263" t="s">
        <v>199</v>
      </c>
      <c r="B124" s="283">
        <v>1</v>
      </c>
      <c r="C124" s="249" t="s">
        <v>30</v>
      </c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W124" s="249"/>
      <c r="Z124" s="249"/>
      <c r="AC124" s="249"/>
      <c r="AD124" s="249"/>
      <c r="AE124" s="249"/>
      <c r="AF124" s="249"/>
      <c r="AG124" s="249"/>
      <c r="AJ124" s="249"/>
      <c r="AM124" s="249"/>
      <c r="AP124" s="249"/>
      <c r="AS124" s="249"/>
      <c r="AV124" s="249"/>
      <c r="AY124" s="249"/>
      <c r="BB124" s="249"/>
      <c r="BE124" s="249"/>
      <c r="BH124" s="249"/>
      <c r="BK124" s="249"/>
      <c r="BN124" s="249"/>
      <c r="BQ124" s="249"/>
      <c r="BT124" s="249"/>
      <c r="BW124" s="249"/>
      <c r="BZ124" s="249"/>
      <c r="CC124" s="249"/>
      <c r="CF124" s="249"/>
      <c r="CI124" s="249"/>
      <c r="CL124" s="249"/>
      <c r="CO124" s="249"/>
      <c r="CR124" s="249"/>
      <c r="CU124" s="249"/>
      <c r="CX124" s="249"/>
      <c r="DA124" s="249"/>
      <c r="DD124" s="249"/>
      <c r="DG124" s="249"/>
      <c r="DJ124" s="249"/>
      <c r="DM124" s="249"/>
      <c r="DP124" s="249"/>
      <c r="DS124" s="249"/>
      <c r="DV124" s="249"/>
      <c r="DY124" s="249"/>
      <c r="EB124" s="249"/>
      <c r="EE124" s="249"/>
      <c r="EH124" s="249"/>
      <c r="EK124" s="249"/>
      <c r="EN124" s="249"/>
      <c r="EQ124" s="249"/>
      <c r="ET124" s="249"/>
      <c r="EW124" s="249"/>
      <c r="EZ124" s="249"/>
      <c r="FC124" s="249"/>
      <c r="FF124" s="249"/>
      <c r="FI124" s="249"/>
      <c r="FL124" s="249"/>
      <c r="FO124" s="249"/>
      <c r="FR124" s="249"/>
      <c r="FU124" s="249"/>
      <c r="FX124" s="249"/>
      <c r="GA124" s="249"/>
      <c r="GD124" s="249"/>
      <c r="GG124" s="249"/>
      <c r="GJ124" s="249"/>
      <c r="GM124" s="249"/>
      <c r="GP124" s="249"/>
      <c r="GS124" s="249"/>
      <c r="GV124" s="249"/>
      <c r="GY124" s="249"/>
      <c r="HB124" s="249"/>
      <c r="HE124" s="249"/>
    </row>
    <row r="125" spans="1:213" x14ac:dyDescent="0.2">
      <c r="A125" s="249" t="s">
        <v>193</v>
      </c>
      <c r="B125" s="283">
        <v>1</v>
      </c>
      <c r="C125" s="249" t="s">
        <v>283</v>
      </c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W125" s="249"/>
      <c r="Z125" s="249"/>
      <c r="AC125" s="249"/>
      <c r="AD125" s="249"/>
      <c r="AE125" s="249"/>
      <c r="AF125" s="249"/>
      <c r="AG125" s="249"/>
      <c r="AJ125" s="249"/>
      <c r="AM125" s="249"/>
      <c r="AP125" s="249"/>
      <c r="AS125" s="249"/>
      <c r="AV125" s="249"/>
      <c r="AY125" s="249"/>
      <c r="BB125" s="249"/>
      <c r="BE125" s="249"/>
      <c r="BH125" s="249"/>
      <c r="BK125" s="249"/>
      <c r="BN125" s="249"/>
      <c r="BQ125" s="249"/>
      <c r="BT125" s="249"/>
      <c r="BW125" s="249"/>
      <c r="BZ125" s="249"/>
      <c r="CC125" s="249"/>
      <c r="CF125" s="249"/>
      <c r="CI125" s="249"/>
      <c r="CL125" s="249"/>
      <c r="CO125" s="249"/>
      <c r="CR125" s="249"/>
      <c r="CU125" s="249"/>
      <c r="CX125" s="249"/>
      <c r="DA125" s="249"/>
      <c r="DD125" s="249"/>
      <c r="DG125" s="249"/>
      <c r="DJ125" s="249"/>
      <c r="DM125" s="249"/>
      <c r="DP125" s="249"/>
      <c r="DS125" s="249"/>
      <c r="DV125" s="249"/>
      <c r="DY125" s="249"/>
      <c r="EB125" s="249"/>
      <c r="EE125" s="249"/>
      <c r="EH125" s="249"/>
      <c r="EK125" s="249"/>
      <c r="EN125" s="249"/>
      <c r="EQ125" s="249"/>
      <c r="ET125" s="249"/>
      <c r="EW125" s="249"/>
      <c r="EZ125" s="249"/>
      <c r="FC125" s="249"/>
      <c r="FF125" s="249"/>
      <c r="FI125" s="249"/>
      <c r="FL125" s="249"/>
      <c r="FO125" s="249"/>
      <c r="FR125" s="249"/>
      <c r="FU125" s="249"/>
      <c r="FX125" s="249"/>
      <c r="GA125" s="249"/>
      <c r="GD125" s="249"/>
      <c r="GG125" s="249"/>
      <c r="GJ125" s="249"/>
      <c r="GM125" s="249"/>
      <c r="GP125" s="249"/>
      <c r="GS125" s="249"/>
      <c r="GV125" s="249"/>
      <c r="GY125" s="249"/>
      <c r="HB125" s="249"/>
      <c r="HE125" s="249"/>
    </row>
    <row r="126" spans="1:213" x14ac:dyDescent="0.2">
      <c r="A126" s="249" t="s">
        <v>196</v>
      </c>
      <c r="B126" s="283">
        <v>1</v>
      </c>
      <c r="C126" s="249" t="s">
        <v>283</v>
      </c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W126" s="249"/>
      <c r="Z126" s="249"/>
      <c r="AC126" s="249"/>
      <c r="AD126" s="249"/>
      <c r="AE126" s="249"/>
      <c r="AF126" s="249"/>
      <c r="AG126" s="249"/>
      <c r="AJ126" s="249"/>
      <c r="AM126" s="249"/>
      <c r="AP126" s="249"/>
      <c r="AS126" s="249"/>
      <c r="AV126" s="249"/>
      <c r="AY126" s="249"/>
      <c r="BB126" s="249"/>
      <c r="BE126" s="249"/>
      <c r="BH126" s="249"/>
      <c r="BK126" s="249"/>
      <c r="BN126" s="249"/>
      <c r="BQ126" s="249"/>
      <c r="BT126" s="249"/>
      <c r="BW126" s="249"/>
      <c r="BZ126" s="249"/>
      <c r="CC126" s="249"/>
      <c r="CF126" s="249"/>
      <c r="CI126" s="249"/>
      <c r="CL126" s="249"/>
      <c r="CO126" s="249"/>
      <c r="CR126" s="249"/>
      <c r="CU126" s="249"/>
      <c r="CX126" s="249"/>
      <c r="DA126" s="249"/>
      <c r="DD126" s="249"/>
      <c r="DG126" s="249"/>
      <c r="DJ126" s="249"/>
      <c r="DM126" s="249"/>
      <c r="DP126" s="249"/>
      <c r="DS126" s="249"/>
      <c r="DV126" s="249"/>
      <c r="DY126" s="249"/>
      <c r="EB126" s="249"/>
      <c r="EE126" s="249"/>
      <c r="EH126" s="249"/>
      <c r="EK126" s="249"/>
      <c r="EN126" s="249"/>
      <c r="EQ126" s="249"/>
      <c r="ET126" s="249"/>
      <c r="EW126" s="249"/>
      <c r="EZ126" s="249"/>
      <c r="FC126" s="249"/>
      <c r="FF126" s="249"/>
      <c r="FI126" s="249"/>
      <c r="FL126" s="249"/>
      <c r="FO126" s="249"/>
      <c r="FR126" s="249"/>
      <c r="FU126" s="249"/>
      <c r="FX126" s="249"/>
      <c r="GA126" s="249"/>
      <c r="GD126" s="249"/>
      <c r="GG126" s="249"/>
      <c r="GJ126" s="249"/>
      <c r="GM126" s="249"/>
      <c r="GP126" s="249"/>
      <c r="GS126" s="249"/>
      <c r="GV126" s="249"/>
      <c r="GY126" s="249"/>
      <c r="HB126" s="249"/>
      <c r="HE126" s="249"/>
    </row>
    <row r="127" spans="1:213" x14ac:dyDescent="0.2">
      <c r="A127" s="268" t="s">
        <v>197</v>
      </c>
      <c r="B127" s="283">
        <v>1</v>
      </c>
      <c r="C127" s="249" t="s">
        <v>47</v>
      </c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W127" s="249"/>
      <c r="Z127" s="249"/>
      <c r="AC127" s="249"/>
      <c r="AD127" s="249"/>
      <c r="AE127" s="249"/>
      <c r="AF127" s="249"/>
      <c r="AG127" s="249"/>
      <c r="AJ127" s="249"/>
      <c r="AM127" s="249"/>
      <c r="AP127" s="249"/>
      <c r="AS127" s="249"/>
      <c r="AV127" s="249"/>
      <c r="AY127" s="249"/>
      <c r="BB127" s="249"/>
      <c r="BE127" s="249"/>
      <c r="BH127" s="249"/>
      <c r="BK127" s="249"/>
      <c r="BN127" s="249"/>
      <c r="BQ127" s="249"/>
      <c r="BT127" s="249"/>
      <c r="BW127" s="249"/>
      <c r="BZ127" s="249"/>
      <c r="CC127" s="249"/>
      <c r="CF127" s="249"/>
      <c r="CI127" s="249"/>
      <c r="CL127" s="249"/>
      <c r="CO127" s="249"/>
      <c r="CR127" s="249"/>
      <c r="CU127" s="249"/>
      <c r="CX127" s="249"/>
      <c r="DA127" s="249"/>
      <c r="DD127" s="249"/>
      <c r="DG127" s="249"/>
      <c r="DJ127" s="249"/>
      <c r="DM127" s="249"/>
      <c r="DP127" s="249"/>
      <c r="DS127" s="249"/>
      <c r="DV127" s="249"/>
      <c r="DY127" s="249"/>
      <c r="EB127" s="249"/>
      <c r="EE127" s="249"/>
      <c r="EH127" s="249"/>
      <c r="EK127" s="249"/>
      <c r="EN127" s="249"/>
      <c r="EQ127" s="249"/>
      <c r="ET127" s="249"/>
      <c r="EW127" s="249"/>
      <c r="EZ127" s="249"/>
      <c r="FC127" s="249"/>
      <c r="FF127" s="249"/>
      <c r="FI127" s="249"/>
      <c r="FL127" s="249"/>
      <c r="FO127" s="249"/>
      <c r="FR127" s="249"/>
      <c r="FU127" s="249"/>
      <c r="FX127" s="249"/>
      <c r="GA127" s="249"/>
      <c r="GD127" s="249"/>
      <c r="GG127" s="249"/>
      <c r="GJ127" s="249"/>
      <c r="GM127" s="249"/>
      <c r="GP127" s="249"/>
      <c r="GS127" s="249"/>
      <c r="GV127" s="249"/>
      <c r="GY127" s="249"/>
      <c r="HB127" s="249"/>
      <c r="HE127" s="249"/>
    </row>
    <row r="128" spans="1:213" x14ac:dyDescent="0.2">
      <c r="A128" s="262" t="s">
        <v>198</v>
      </c>
      <c r="B128" s="283">
        <v>1</v>
      </c>
      <c r="C128" s="249" t="s">
        <v>47</v>
      </c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W128" s="249"/>
      <c r="Z128" s="249"/>
      <c r="AC128" s="249"/>
      <c r="AD128" s="249"/>
      <c r="AE128" s="249"/>
      <c r="AF128" s="249"/>
      <c r="AG128" s="249"/>
      <c r="AJ128" s="249"/>
      <c r="AM128" s="249"/>
      <c r="AP128" s="249"/>
      <c r="AS128" s="249"/>
      <c r="AV128" s="249"/>
      <c r="AY128" s="249"/>
      <c r="BB128" s="249"/>
      <c r="BE128" s="249"/>
      <c r="BH128" s="249"/>
      <c r="BK128" s="249"/>
      <c r="BN128" s="249"/>
      <c r="BQ128" s="249"/>
      <c r="BT128" s="249"/>
      <c r="BW128" s="249"/>
      <c r="BZ128" s="249"/>
      <c r="CC128" s="249"/>
      <c r="CF128" s="249"/>
      <c r="CI128" s="249"/>
      <c r="CL128" s="249"/>
      <c r="CO128" s="249"/>
      <c r="CR128" s="249"/>
      <c r="CU128" s="249"/>
      <c r="CX128" s="249"/>
      <c r="DA128" s="249"/>
      <c r="DD128" s="249"/>
      <c r="DG128" s="249"/>
      <c r="DJ128" s="249"/>
      <c r="DM128" s="249"/>
      <c r="DP128" s="249"/>
      <c r="DS128" s="249"/>
      <c r="DV128" s="249"/>
      <c r="DY128" s="249"/>
      <c r="EB128" s="249"/>
      <c r="EE128" s="249"/>
      <c r="EH128" s="249"/>
      <c r="EK128" s="249"/>
      <c r="EN128" s="249"/>
      <c r="EQ128" s="249"/>
      <c r="ET128" s="249"/>
      <c r="EW128" s="249"/>
      <c r="EZ128" s="249"/>
      <c r="FC128" s="249"/>
      <c r="FF128" s="249"/>
      <c r="FI128" s="249"/>
      <c r="FL128" s="249"/>
      <c r="FO128" s="249"/>
      <c r="FR128" s="249"/>
      <c r="FU128" s="249"/>
      <c r="FX128" s="249"/>
      <c r="GA128" s="249"/>
      <c r="GD128" s="249"/>
      <c r="GG128" s="249"/>
      <c r="GJ128" s="249"/>
      <c r="GM128" s="249"/>
      <c r="GP128" s="249"/>
      <c r="GS128" s="249"/>
      <c r="GV128" s="249"/>
      <c r="GY128" s="249"/>
      <c r="HB128" s="249"/>
      <c r="HE128" s="249"/>
    </row>
    <row r="129" spans="1:213" x14ac:dyDescent="0.2">
      <c r="A129" s="263" t="s">
        <v>200</v>
      </c>
      <c r="B129" s="283">
        <v>1</v>
      </c>
      <c r="C129" s="249" t="s">
        <v>30</v>
      </c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W129" s="249"/>
      <c r="Z129" s="249"/>
      <c r="AC129" s="249"/>
      <c r="AD129" s="249"/>
      <c r="AE129" s="249"/>
      <c r="AF129" s="249"/>
      <c r="AG129" s="249"/>
      <c r="AJ129" s="249"/>
      <c r="AM129" s="249"/>
      <c r="AP129" s="249"/>
      <c r="AS129" s="249"/>
      <c r="AV129" s="249"/>
      <c r="AY129" s="249"/>
      <c r="BB129" s="249"/>
      <c r="BE129" s="249"/>
      <c r="BH129" s="249"/>
      <c r="BK129" s="249"/>
      <c r="BN129" s="249"/>
      <c r="BQ129" s="249"/>
      <c r="BT129" s="249"/>
      <c r="BW129" s="249"/>
      <c r="BZ129" s="249"/>
      <c r="CC129" s="249"/>
      <c r="CF129" s="249"/>
      <c r="CI129" s="249"/>
      <c r="CL129" s="249"/>
      <c r="CO129" s="249"/>
      <c r="CR129" s="249"/>
      <c r="CU129" s="249"/>
      <c r="CX129" s="249"/>
      <c r="DA129" s="249"/>
      <c r="DD129" s="249"/>
      <c r="DG129" s="249"/>
      <c r="DJ129" s="249"/>
      <c r="DM129" s="249"/>
      <c r="DP129" s="249"/>
      <c r="DS129" s="249"/>
      <c r="DV129" s="249"/>
      <c r="DY129" s="249"/>
      <c r="EB129" s="249"/>
      <c r="EE129" s="249"/>
      <c r="EH129" s="249"/>
      <c r="EK129" s="249"/>
      <c r="EN129" s="249"/>
      <c r="EQ129" s="249"/>
      <c r="ET129" s="249"/>
      <c r="EW129" s="249"/>
      <c r="EZ129" s="249"/>
      <c r="FC129" s="249"/>
      <c r="FF129" s="249"/>
      <c r="FI129" s="249"/>
      <c r="FL129" s="249"/>
      <c r="FO129" s="249"/>
      <c r="FR129" s="249"/>
      <c r="FU129" s="249"/>
      <c r="FX129" s="249"/>
      <c r="GA129" s="249"/>
      <c r="GD129" s="249"/>
      <c r="GG129" s="249"/>
      <c r="GJ129" s="249"/>
      <c r="GM129" s="249"/>
      <c r="GP129" s="249"/>
      <c r="GS129" s="249"/>
      <c r="GV129" s="249"/>
      <c r="GY129" s="249"/>
      <c r="HB129" s="249"/>
      <c r="HE129" s="249"/>
    </row>
    <row r="130" spans="1:213" x14ac:dyDescent="0.2">
      <c r="A130" s="262" t="s">
        <v>255</v>
      </c>
      <c r="B130" s="284">
        <v>1</v>
      </c>
      <c r="C130" s="249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W130" s="249"/>
      <c r="Z130" s="249"/>
      <c r="AC130" s="249"/>
      <c r="AD130" s="249"/>
      <c r="AE130" s="249"/>
      <c r="AF130" s="249"/>
      <c r="AG130" s="249"/>
      <c r="AJ130" s="249"/>
      <c r="AM130" s="249"/>
      <c r="AP130" s="249"/>
      <c r="AS130" s="249"/>
      <c r="AV130" s="249"/>
      <c r="AY130" s="249"/>
      <c r="BB130" s="249"/>
      <c r="BE130" s="249"/>
      <c r="BH130" s="249"/>
      <c r="BK130" s="249"/>
      <c r="BN130" s="249"/>
      <c r="BQ130" s="249"/>
      <c r="BT130" s="249"/>
      <c r="BW130" s="249"/>
      <c r="BZ130" s="249"/>
      <c r="CC130" s="249"/>
      <c r="CF130" s="249"/>
      <c r="CI130" s="249"/>
      <c r="CL130" s="249"/>
      <c r="CO130" s="249"/>
      <c r="CR130" s="249"/>
      <c r="CU130" s="249"/>
      <c r="CX130" s="249"/>
      <c r="DA130" s="249"/>
      <c r="DD130" s="249"/>
      <c r="DG130" s="249"/>
      <c r="DJ130" s="249"/>
      <c r="DM130" s="249"/>
      <c r="DP130" s="249"/>
      <c r="DS130" s="249"/>
      <c r="DV130" s="249"/>
      <c r="DY130" s="249"/>
      <c r="EB130" s="249"/>
      <c r="EE130" s="249"/>
      <c r="EH130" s="249"/>
      <c r="EK130" s="249"/>
      <c r="EN130" s="249"/>
      <c r="EQ130" s="249"/>
      <c r="ET130" s="249"/>
      <c r="EW130" s="249"/>
      <c r="EZ130" s="249"/>
      <c r="FC130" s="249"/>
      <c r="FF130" s="249"/>
      <c r="FI130" s="249"/>
      <c r="FL130" s="249"/>
      <c r="FO130" s="249"/>
      <c r="FR130" s="249"/>
      <c r="FU130" s="249"/>
      <c r="FX130" s="249"/>
      <c r="GA130" s="249"/>
      <c r="GD130" s="249"/>
      <c r="GG130" s="249"/>
      <c r="GJ130" s="249"/>
      <c r="GM130" s="249"/>
      <c r="GP130" s="249"/>
      <c r="GS130" s="249"/>
      <c r="GV130" s="249"/>
      <c r="GY130" s="249"/>
      <c r="HB130" s="249"/>
      <c r="HE130" s="249"/>
    </row>
    <row r="131" spans="1:213" x14ac:dyDescent="0.2">
      <c r="A131" s="249" t="s">
        <v>83</v>
      </c>
      <c r="B131" s="284">
        <v>0.5</v>
      </c>
      <c r="C131" s="249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W131" s="249"/>
      <c r="Z131" s="249"/>
      <c r="AC131" s="249"/>
      <c r="AD131" s="249"/>
      <c r="AE131" s="249"/>
      <c r="AF131" s="249"/>
      <c r="AG131" s="249"/>
      <c r="AJ131" s="249"/>
      <c r="AM131" s="249"/>
      <c r="AP131" s="249"/>
      <c r="AS131" s="249"/>
      <c r="AV131" s="249"/>
      <c r="AY131" s="249"/>
      <c r="BB131" s="249"/>
      <c r="BE131" s="249"/>
      <c r="BH131" s="249"/>
      <c r="BK131" s="249"/>
      <c r="BN131" s="249"/>
      <c r="BQ131" s="249"/>
      <c r="BT131" s="249"/>
      <c r="BW131" s="249"/>
      <c r="BZ131" s="249"/>
      <c r="CC131" s="249"/>
      <c r="CF131" s="249"/>
      <c r="CI131" s="249"/>
      <c r="CL131" s="249"/>
      <c r="CO131" s="249"/>
      <c r="CR131" s="249"/>
      <c r="CU131" s="249"/>
      <c r="CX131" s="249"/>
      <c r="DA131" s="249"/>
      <c r="DD131" s="249"/>
      <c r="DG131" s="249"/>
      <c r="DJ131" s="249"/>
      <c r="DM131" s="249"/>
      <c r="DP131" s="249"/>
      <c r="DS131" s="249"/>
      <c r="DV131" s="249"/>
      <c r="DY131" s="249"/>
      <c r="EB131" s="249"/>
      <c r="EE131" s="249"/>
      <c r="EH131" s="249"/>
      <c r="EK131" s="249"/>
      <c r="EN131" s="249"/>
      <c r="EQ131" s="249"/>
      <c r="ET131" s="249"/>
      <c r="EW131" s="249"/>
      <c r="EZ131" s="249"/>
      <c r="FC131" s="249"/>
      <c r="FF131" s="249"/>
      <c r="FI131" s="249"/>
      <c r="FL131" s="249"/>
      <c r="FO131" s="249"/>
      <c r="FR131" s="249"/>
      <c r="FU131" s="249"/>
      <c r="FX131" s="249"/>
      <c r="GA131" s="249"/>
      <c r="GD131" s="249"/>
      <c r="GG131" s="249"/>
      <c r="GJ131" s="249"/>
      <c r="GM131" s="249"/>
      <c r="GP131" s="249"/>
      <c r="GS131" s="249"/>
      <c r="GV131" s="249"/>
      <c r="GY131" s="249"/>
      <c r="HB131" s="249"/>
      <c r="HE131" s="249"/>
    </row>
    <row r="132" spans="1:213" ht="15" x14ac:dyDescent="0.2">
      <c r="A132" s="518" t="s">
        <v>180</v>
      </c>
      <c r="B132" s="518"/>
      <c r="C132" s="518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W132" s="249"/>
      <c r="Z132" s="249"/>
      <c r="AC132" s="249"/>
      <c r="AD132" s="249"/>
      <c r="AE132" s="249"/>
      <c r="AF132" s="249"/>
      <c r="AG132" s="249"/>
      <c r="AJ132" s="249"/>
      <c r="AM132" s="249"/>
      <c r="AP132" s="249"/>
      <c r="AS132" s="249"/>
      <c r="AV132" s="249"/>
      <c r="AY132" s="249"/>
      <c r="BB132" s="249"/>
      <c r="BE132" s="249"/>
      <c r="BH132" s="249"/>
      <c r="BK132" s="249"/>
      <c r="BN132" s="249"/>
      <c r="BQ132" s="249"/>
      <c r="BT132" s="249"/>
      <c r="BW132" s="249"/>
      <c r="BZ132" s="249"/>
      <c r="CC132" s="249"/>
      <c r="CF132" s="249"/>
      <c r="CI132" s="249"/>
      <c r="CL132" s="249"/>
      <c r="CO132" s="249"/>
      <c r="CR132" s="249"/>
      <c r="CU132" s="249"/>
      <c r="CX132" s="249"/>
      <c r="DA132" s="249"/>
      <c r="DD132" s="249"/>
      <c r="DG132" s="249"/>
      <c r="DJ132" s="249"/>
      <c r="DM132" s="249"/>
      <c r="DP132" s="249"/>
      <c r="DS132" s="249"/>
      <c r="DV132" s="249"/>
      <c r="DY132" s="249"/>
      <c r="EB132" s="249"/>
      <c r="EE132" s="249"/>
      <c r="EH132" s="249"/>
      <c r="EK132" s="249"/>
      <c r="EN132" s="249"/>
      <c r="EQ132" s="249"/>
      <c r="ET132" s="249"/>
      <c r="EW132" s="249"/>
      <c r="EZ132" s="249"/>
      <c r="FC132" s="249"/>
      <c r="FF132" s="249"/>
      <c r="FI132" s="249"/>
      <c r="FL132" s="249"/>
      <c r="FO132" s="249"/>
      <c r="FR132" s="249"/>
      <c r="FU132" s="249"/>
      <c r="FX132" s="249"/>
      <c r="GA132" s="249"/>
      <c r="GD132" s="249"/>
      <c r="GG132" s="249"/>
      <c r="GJ132" s="249"/>
      <c r="GM132" s="249"/>
      <c r="GP132" s="249"/>
      <c r="GS132" s="249"/>
      <c r="GV132" s="249"/>
      <c r="GY132" s="249"/>
      <c r="HB132" s="249"/>
      <c r="HE132" s="249"/>
    </row>
    <row r="133" spans="1:213" x14ac:dyDescent="0.2">
      <c r="A133" s="262" t="s">
        <v>374</v>
      </c>
      <c r="B133" s="283">
        <v>200</v>
      </c>
      <c r="C133" s="263" t="s">
        <v>54</v>
      </c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W133" s="249"/>
      <c r="Z133" s="249"/>
      <c r="AC133" s="249"/>
      <c r="AD133" s="249"/>
      <c r="AE133" s="249"/>
      <c r="AF133" s="249"/>
      <c r="AG133" s="249"/>
      <c r="AJ133" s="249"/>
      <c r="AM133" s="249"/>
      <c r="AP133" s="249"/>
      <c r="AS133" s="249"/>
      <c r="AV133" s="249"/>
      <c r="AY133" s="249"/>
      <c r="BB133" s="249"/>
      <c r="BE133" s="249"/>
      <c r="BH133" s="249"/>
      <c r="BK133" s="249"/>
      <c r="BN133" s="249"/>
      <c r="BQ133" s="249"/>
      <c r="BT133" s="249"/>
      <c r="BW133" s="249"/>
      <c r="BZ133" s="249"/>
      <c r="CC133" s="249"/>
      <c r="CF133" s="249"/>
      <c r="CI133" s="249"/>
      <c r="CL133" s="249"/>
      <c r="CO133" s="249"/>
      <c r="CR133" s="249"/>
      <c r="CU133" s="249"/>
      <c r="CX133" s="249"/>
      <c r="DA133" s="249"/>
      <c r="DD133" s="249"/>
      <c r="DG133" s="249"/>
      <c r="DJ133" s="249"/>
      <c r="DM133" s="249"/>
      <c r="DP133" s="249"/>
      <c r="DS133" s="249"/>
      <c r="DV133" s="249"/>
      <c r="DY133" s="249"/>
      <c r="EB133" s="249"/>
      <c r="EE133" s="249"/>
      <c r="EH133" s="249"/>
      <c r="EK133" s="249"/>
      <c r="EN133" s="249"/>
      <c r="EQ133" s="249"/>
      <c r="ET133" s="249"/>
      <c r="EW133" s="249"/>
      <c r="EZ133" s="249"/>
      <c r="FC133" s="249"/>
      <c r="FF133" s="249"/>
      <c r="FI133" s="249"/>
      <c r="FL133" s="249"/>
      <c r="FO133" s="249"/>
      <c r="FR133" s="249"/>
      <c r="FU133" s="249"/>
      <c r="FX133" s="249"/>
      <c r="GA133" s="249"/>
      <c r="GD133" s="249"/>
      <c r="GG133" s="249"/>
      <c r="GJ133" s="249"/>
      <c r="GM133" s="249"/>
      <c r="GP133" s="249"/>
      <c r="GS133" s="249"/>
      <c r="GV133" s="249"/>
      <c r="GY133" s="249"/>
      <c r="HB133" s="249"/>
      <c r="HE133" s="249"/>
    </row>
    <row r="134" spans="1:213" x14ac:dyDescent="0.2">
      <c r="A134" s="262" t="s">
        <v>375</v>
      </c>
      <c r="B134" s="283">
        <v>100</v>
      </c>
      <c r="C134" s="263" t="s">
        <v>54</v>
      </c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W134" s="249"/>
      <c r="Z134" s="249"/>
      <c r="AC134" s="249"/>
      <c r="AD134" s="249"/>
      <c r="AE134" s="249"/>
      <c r="AF134" s="249"/>
      <c r="AG134" s="249"/>
      <c r="AJ134" s="249"/>
      <c r="AM134" s="249"/>
      <c r="AP134" s="249"/>
      <c r="AS134" s="249"/>
      <c r="AV134" s="249"/>
      <c r="AY134" s="249"/>
      <c r="BB134" s="249"/>
      <c r="BE134" s="249"/>
      <c r="BH134" s="249"/>
      <c r="BK134" s="249"/>
      <c r="BN134" s="249"/>
      <c r="BQ134" s="249"/>
      <c r="BT134" s="249"/>
      <c r="BW134" s="249"/>
      <c r="BZ134" s="249"/>
      <c r="CC134" s="249"/>
      <c r="CF134" s="249"/>
      <c r="CI134" s="249"/>
      <c r="CL134" s="249"/>
      <c r="CO134" s="249"/>
      <c r="CR134" s="249"/>
      <c r="CU134" s="249"/>
      <c r="CX134" s="249"/>
      <c r="DA134" s="249"/>
      <c r="DD134" s="249"/>
      <c r="DG134" s="249"/>
      <c r="DJ134" s="249"/>
      <c r="DM134" s="249"/>
      <c r="DP134" s="249"/>
      <c r="DS134" s="249"/>
      <c r="DV134" s="249"/>
      <c r="DY134" s="249"/>
      <c r="EB134" s="249"/>
      <c r="EE134" s="249"/>
      <c r="EH134" s="249"/>
      <c r="EK134" s="249"/>
      <c r="EN134" s="249"/>
      <c r="EQ134" s="249"/>
      <c r="ET134" s="249"/>
      <c r="EW134" s="249"/>
      <c r="EZ134" s="249"/>
      <c r="FC134" s="249"/>
      <c r="FF134" s="249"/>
      <c r="FI134" s="249"/>
      <c r="FL134" s="249"/>
      <c r="FO134" s="249"/>
      <c r="FR134" s="249"/>
      <c r="FU134" s="249"/>
      <c r="FX134" s="249"/>
      <c r="GA134" s="249"/>
      <c r="GD134" s="249"/>
      <c r="GG134" s="249"/>
      <c r="GJ134" s="249"/>
      <c r="GM134" s="249"/>
      <c r="GP134" s="249"/>
      <c r="GS134" s="249"/>
      <c r="GV134" s="249"/>
      <c r="GY134" s="249"/>
      <c r="HB134" s="249"/>
      <c r="HE134" s="249"/>
    </row>
    <row r="135" spans="1:213" x14ac:dyDescent="0.2">
      <c r="A135" s="262" t="s">
        <v>376</v>
      </c>
      <c r="B135" s="283">
        <v>10</v>
      </c>
      <c r="C135" s="267" t="s">
        <v>359</v>
      </c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W135" s="249"/>
      <c r="Z135" s="249"/>
      <c r="AC135" s="249"/>
      <c r="AD135" s="249"/>
      <c r="AE135" s="249"/>
      <c r="AF135" s="249"/>
      <c r="AG135" s="249"/>
      <c r="AJ135" s="249"/>
      <c r="AM135" s="249"/>
      <c r="AP135" s="249"/>
      <c r="AS135" s="249"/>
      <c r="AV135" s="249"/>
      <c r="AY135" s="249"/>
      <c r="BB135" s="249"/>
      <c r="BE135" s="249"/>
      <c r="BH135" s="249"/>
      <c r="BK135" s="249"/>
      <c r="BN135" s="249"/>
      <c r="BQ135" s="249"/>
      <c r="BT135" s="249"/>
      <c r="BW135" s="249"/>
      <c r="BZ135" s="249"/>
      <c r="CC135" s="249"/>
      <c r="CF135" s="249"/>
      <c r="CI135" s="249"/>
      <c r="CL135" s="249"/>
      <c r="CO135" s="249"/>
      <c r="CR135" s="249"/>
      <c r="CU135" s="249"/>
      <c r="CX135" s="249"/>
      <c r="DA135" s="249"/>
      <c r="DD135" s="249"/>
      <c r="DG135" s="249"/>
      <c r="DJ135" s="249"/>
      <c r="DM135" s="249"/>
      <c r="DP135" s="249"/>
      <c r="DS135" s="249"/>
      <c r="DV135" s="249"/>
      <c r="DY135" s="249"/>
      <c r="EB135" s="249"/>
      <c r="EE135" s="249"/>
      <c r="EH135" s="249"/>
      <c r="EK135" s="249"/>
      <c r="EN135" s="249"/>
      <c r="EQ135" s="249"/>
      <c r="ET135" s="249"/>
      <c r="EW135" s="249"/>
      <c r="EZ135" s="249"/>
      <c r="FC135" s="249"/>
      <c r="FF135" s="249"/>
      <c r="FI135" s="249"/>
      <c r="FL135" s="249"/>
      <c r="FO135" s="249"/>
      <c r="FR135" s="249"/>
      <c r="FU135" s="249"/>
      <c r="FX135" s="249"/>
      <c r="GA135" s="249"/>
      <c r="GD135" s="249"/>
      <c r="GG135" s="249"/>
      <c r="GJ135" s="249"/>
      <c r="GM135" s="249"/>
      <c r="GP135" s="249"/>
      <c r="GS135" s="249"/>
      <c r="GV135" s="249"/>
      <c r="GY135" s="249"/>
      <c r="HB135" s="249"/>
      <c r="HE135" s="249"/>
    </row>
    <row r="136" spans="1:213" x14ac:dyDescent="0.2">
      <c r="A136" s="262" t="s">
        <v>377</v>
      </c>
      <c r="B136" s="283">
        <v>20</v>
      </c>
      <c r="C136" s="267" t="s">
        <v>359</v>
      </c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W136" s="249"/>
      <c r="Z136" s="249"/>
      <c r="AC136" s="249"/>
      <c r="AD136" s="249"/>
      <c r="AE136" s="249"/>
      <c r="AF136" s="249"/>
      <c r="AG136" s="249"/>
      <c r="AJ136" s="249"/>
      <c r="AM136" s="249"/>
      <c r="AP136" s="249"/>
      <c r="AS136" s="249"/>
      <c r="AV136" s="249"/>
      <c r="AY136" s="249"/>
      <c r="BB136" s="249"/>
      <c r="BE136" s="249"/>
      <c r="BH136" s="249"/>
      <c r="BK136" s="249"/>
      <c r="BN136" s="249"/>
      <c r="BQ136" s="249"/>
      <c r="BT136" s="249"/>
      <c r="BW136" s="249"/>
      <c r="BZ136" s="249"/>
      <c r="CC136" s="249"/>
      <c r="CF136" s="249"/>
      <c r="CI136" s="249"/>
      <c r="CL136" s="249"/>
      <c r="CO136" s="249"/>
      <c r="CR136" s="249"/>
      <c r="CU136" s="249"/>
      <c r="CX136" s="249"/>
      <c r="DA136" s="249"/>
      <c r="DD136" s="249"/>
      <c r="DG136" s="249"/>
      <c r="DJ136" s="249"/>
      <c r="DM136" s="249"/>
      <c r="DP136" s="249"/>
      <c r="DS136" s="249"/>
      <c r="DV136" s="249"/>
      <c r="DY136" s="249"/>
      <c r="EB136" s="249"/>
      <c r="EE136" s="249"/>
      <c r="EH136" s="249"/>
      <c r="EK136" s="249"/>
      <c r="EN136" s="249"/>
      <c r="EQ136" s="249"/>
      <c r="ET136" s="249"/>
      <c r="EW136" s="249"/>
      <c r="EZ136" s="249"/>
      <c r="FC136" s="249"/>
      <c r="FF136" s="249"/>
      <c r="FI136" s="249"/>
      <c r="FL136" s="249"/>
      <c r="FO136" s="249"/>
      <c r="FR136" s="249"/>
      <c r="FU136" s="249"/>
      <c r="FX136" s="249"/>
      <c r="GA136" s="249"/>
      <c r="GD136" s="249"/>
      <c r="GG136" s="249"/>
      <c r="GJ136" s="249"/>
      <c r="GM136" s="249"/>
      <c r="GP136" s="249"/>
      <c r="GS136" s="249"/>
      <c r="GV136" s="249"/>
      <c r="GY136" s="249"/>
      <c r="HB136" s="249"/>
      <c r="HE136" s="249"/>
    </row>
    <row r="137" spans="1:213" x14ac:dyDescent="0.2">
      <c r="A137" s="267" t="s">
        <v>378</v>
      </c>
      <c r="B137" s="284">
        <v>0.78</v>
      </c>
      <c r="C137" s="262" t="s">
        <v>30</v>
      </c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W137" s="249"/>
      <c r="Z137" s="249"/>
      <c r="AC137" s="249"/>
      <c r="AD137" s="249"/>
      <c r="AE137" s="249"/>
      <c r="AF137" s="249"/>
      <c r="AG137" s="249"/>
      <c r="AJ137" s="249"/>
      <c r="AM137" s="249"/>
      <c r="AP137" s="249"/>
      <c r="AS137" s="249"/>
      <c r="AV137" s="249"/>
      <c r="AY137" s="249"/>
      <c r="BB137" s="249"/>
      <c r="BE137" s="249"/>
      <c r="BH137" s="249"/>
      <c r="BK137" s="249"/>
      <c r="BN137" s="249"/>
      <c r="BQ137" s="249"/>
      <c r="BT137" s="249"/>
      <c r="BW137" s="249"/>
      <c r="BZ137" s="249"/>
      <c r="CC137" s="249"/>
      <c r="CF137" s="249"/>
      <c r="CI137" s="249"/>
      <c r="CL137" s="249"/>
      <c r="CO137" s="249"/>
      <c r="CR137" s="249"/>
      <c r="CU137" s="249"/>
      <c r="CX137" s="249"/>
      <c r="DA137" s="249"/>
      <c r="DD137" s="249"/>
      <c r="DG137" s="249"/>
      <c r="DJ137" s="249"/>
      <c r="DM137" s="249"/>
      <c r="DP137" s="249"/>
      <c r="DS137" s="249"/>
      <c r="DV137" s="249"/>
      <c r="DY137" s="249"/>
      <c r="EB137" s="249"/>
      <c r="EE137" s="249"/>
      <c r="EH137" s="249"/>
      <c r="EK137" s="249"/>
      <c r="EN137" s="249"/>
      <c r="EQ137" s="249"/>
      <c r="ET137" s="249"/>
      <c r="EW137" s="249"/>
      <c r="EZ137" s="249"/>
      <c r="FC137" s="249"/>
      <c r="FF137" s="249"/>
      <c r="FI137" s="249"/>
      <c r="FL137" s="249"/>
      <c r="FO137" s="249"/>
      <c r="FR137" s="249"/>
      <c r="FU137" s="249"/>
      <c r="FX137" s="249"/>
      <c r="GA137" s="249"/>
      <c r="GD137" s="249"/>
      <c r="GG137" s="249"/>
      <c r="GJ137" s="249"/>
      <c r="GM137" s="249"/>
      <c r="GP137" s="249"/>
      <c r="GS137" s="249"/>
      <c r="GV137" s="249"/>
      <c r="GY137" s="249"/>
      <c r="HB137" s="249"/>
      <c r="HE137" s="249"/>
    </row>
    <row r="138" spans="1:213" x14ac:dyDescent="0.2">
      <c r="A138" s="267" t="s">
        <v>379</v>
      </c>
      <c r="B138" s="284">
        <v>2.5</v>
      </c>
      <c r="C138" s="262" t="s">
        <v>30</v>
      </c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W138" s="249"/>
      <c r="Z138" s="249"/>
      <c r="AC138" s="249"/>
      <c r="AD138" s="249"/>
      <c r="AE138" s="249"/>
      <c r="AF138" s="249"/>
      <c r="AG138" s="249"/>
      <c r="AJ138" s="249"/>
      <c r="AM138" s="249"/>
      <c r="AP138" s="249"/>
      <c r="AS138" s="249"/>
      <c r="AV138" s="249"/>
      <c r="AY138" s="249"/>
      <c r="BB138" s="249"/>
      <c r="BE138" s="249"/>
      <c r="BH138" s="249"/>
      <c r="BK138" s="249"/>
      <c r="BN138" s="249"/>
      <c r="BQ138" s="249"/>
      <c r="BT138" s="249"/>
      <c r="BW138" s="249"/>
      <c r="BZ138" s="249"/>
      <c r="CC138" s="249"/>
      <c r="CF138" s="249"/>
      <c r="CI138" s="249"/>
      <c r="CL138" s="249"/>
      <c r="CO138" s="249"/>
      <c r="CR138" s="249"/>
      <c r="CU138" s="249"/>
      <c r="CX138" s="249"/>
      <c r="DA138" s="249"/>
      <c r="DD138" s="249"/>
      <c r="DG138" s="249"/>
      <c r="DJ138" s="249"/>
      <c r="DM138" s="249"/>
      <c r="DP138" s="249"/>
      <c r="DS138" s="249"/>
      <c r="DV138" s="249"/>
      <c r="DY138" s="249"/>
      <c r="EB138" s="249"/>
      <c r="EE138" s="249"/>
      <c r="EH138" s="249"/>
      <c r="EK138" s="249"/>
      <c r="EN138" s="249"/>
      <c r="EQ138" s="249"/>
      <c r="ET138" s="249"/>
      <c r="EW138" s="249"/>
      <c r="EZ138" s="249"/>
      <c r="FC138" s="249"/>
      <c r="FF138" s="249"/>
      <c r="FI138" s="249"/>
      <c r="FL138" s="249"/>
      <c r="FO138" s="249"/>
      <c r="FR138" s="249"/>
      <c r="FU138" s="249"/>
      <c r="FX138" s="249"/>
      <c r="GA138" s="249"/>
      <c r="GD138" s="249"/>
      <c r="GG138" s="249"/>
      <c r="GJ138" s="249"/>
      <c r="GM138" s="249"/>
      <c r="GP138" s="249"/>
      <c r="GS138" s="249"/>
      <c r="GV138" s="249"/>
      <c r="GY138" s="249"/>
      <c r="HB138" s="249"/>
      <c r="HE138" s="249"/>
    </row>
    <row r="139" spans="1:213" x14ac:dyDescent="0.2">
      <c r="A139" s="262" t="s">
        <v>380</v>
      </c>
      <c r="B139" s="283">
        <v>68.099999999999994</v>
      </c>
      <c r="C139" s="267" t="s">
        <v>254</v>
      </c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W139" s="249"/>
      <c r="Z139" s="249"/>
      <c r="AC139" s="249"/>
      <c r="AD139" s="249"/>
      <c r="AE139" s="249"/>
      <c r="AF139" s="249"/>
      <c r="AG139" s="249"/>
      <c r="AJ139" s="249"/>
      <c r="AM139" s="249"/>
      <c r="AP139" s="249"/>
      <c r="AS139" s="249"/>
      <c r="AV139" s="249"/>
      <c r="AY139" s="249"/>
      <c r="BB139" s="249"/>
      <c r="BE139" s="249"/>
      <c r="BH139" s="249"/>
      <c r="BK139" s="249"/>
      <c r="BN139" s="249"/>
      <c r="BQ139" s="249"/>
      <c r="BT139" s="249"/>
      <c r="BW139" s="249"/>
      <c r="BZ139" s="249"/>
      <c r="CC139" s="249"/>
      <c r="CF139" s="249"/>
      <c r="CI139" s="249"/>
      <c r="CL139" s="249"/>
      <c r="CO139" s="249"/>
      <c r="CR139" s="249"/>
      <c r="CU139" s="249"/>
      <c r="CX139" s="249"/>
      <c r="DA139" s="249"/>
      <c r="DD139" s="249"/>
      <c r="DG139" s="249"/>
      <c r="DJ139" s="249"/>
      <c r="DM139" s="249"/>
      <c r="DP139" s="249"/>
      <c r="DS139" s="249"/>
      <c r="DV139" s="249"/>
      <c r="DY139" s="249"/>
      <c r="EB139" s="249"/>
      <c r="EE139" s="249"/>
      <c r="EH139" s="249"/>
      <c r="EK139" s="249"/>
      <c r="EN139" s="249"/>
      <c r="EQ139" s="249"/>
      <c r="ET139" s="249"/>
      <c r="EW139" s="249"/>
      <c r="EZ139" s="249"/>
      <c r="FC139" s="249"/>
      <c r="FF139" s="249"/>
      <c r="FI139" s="249"/>
      <c r="FL139" s="249"/>
      <c r="FO139" s="249"/>
      <c r="FR139" s="249"/>
      <c r="FU139" s="249"/>
      <c r="FX139" s="249"/>
      <c r="GA139" s="249"/>
      <c r="GD139" s="249"/>
      <c r="GG139" s="249"/>
      <c r="GJ139" s="249"/>
      <c r="GM139" s="249"/>
      <c r="GP139" s="249"/>
      <c r="GS139" s="249"/>
      <c r="GV139" s="249"/>
      <c r="GY139" s="249"/>
      <c r="HB139" s="249"/>
      <c r="HE139" s="249"/>
    </row>
    <row r="140" spans="1:213" x14ac:dyDescent="0.2">
      <c r="A140" s="262" t="s">
        <v>381</v>
      </c>
      <c r="B140" s="283">
        <v>176.8</v>
      </c>
      <c r="C140" s="267" t="s">
        <v>254</v>
      </c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W140" s="249"/>
      <c r="Z140" s="249"/>
      <c r="AC140" s="249"/>
      <c r="AD140" s="249"/>
      <c r="AE140" s="249"/>
      <c r="AF140" s="249"/>
      <c r="AG140" s="249"/>
      <c r="AJ140" s="249"/>
      <c r="AM140" s="249"/>
      <c r="AP140" s="249"/>
      <c r="AS140" s="249"/>
      <c r="AV140" s="249"/>
      <c r="AY140" s="249"/>
      <c r="BB140" s="249"/>
      <c r="BE140" s="249"/>
      <c r="BH140" s="249"/>
      <c r="BK140" s="249"/>
      <c r="BN140" s="249"/>
      <c r="BQ140" s="249"/>
      <c r="BT140" s="249"/>
      <c r="BW140" s="249"/>
      <c r="BZ140" s="249"/>
      <c r="CC140" s="249"/>
      <c r="CF140" s="249"/>
      <c r="CI140" s="249"/>
      <c r="CL140" s="249"/>
      <c r="CO140" s="249"/>
      <c r="CR140" s="249"/>
      <c r="CU140" s="249"/>
      <c r="CX140" s="249"/>
      <c r="DA140" s="249"/>
      <c r="DD140" s="249"/>
      <c r="DG140" s="249"/>
      <c r="DJ140" s="249"/>
      <c r="DM140" s="249"/>
      <c r="DP140" s="249"/>
      <c r="DS140" s="249"/>
      <c r="DV140" s="249"/>
      <c r="DY140" s="249"/>
      <c r="EB140" s="249"/>
      <c r="EE140" s="249"/>
      <c r="EH140" s="249"/>
      <c r="EK140" s="249"/>
      <c r="EN140" s="249"/>
      <c r="EQ140" s="249"/>
      <c r="ET140" s="249"/>
      <c r="EW140" s="249"/>
      <c r="EZ140" s="249"/>
      <c r="FC140" s="249"/>
      <c r="FF140" s="249"/>
      <c r="FI140" s="249"/>
      <c r="FL140" s="249"/>
      <c r="FO140" s="249"/>
      <c r="FR140" s="249"/>
      <c r="FU140" s="249"/>
      <c r="FX140" s="249"/>
      <c r="GA140" s="249"/>
      <c r="GD140" s="249"/>
      <c r="GG140" s="249"/>
      <c r="GJ140" s="249"/>
      <c r="GM140" s="249"/>
      <c r="GP140" s="249"/>
      <c r="GS140" s="249"/>
      <c r="GV140" s="249"/>
      <c r="GY140" s="249"/>
      <c r="HB140" s="249"/>
      <c r="HE140" s="249"/>
    </row>
    <row r="141" spans="1:213" x14ac:dyDescent="0.2">
      <c r="A141" s="262" t="s">
        <v>382</v>
      </c>
      <c r="B141" s="283">
        <v>41.7</v>
      </c>
      <c r="C141" s="267" t="s">
        <v>254</v>
      </c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W141" s="249"/>
      <c r="Z141" s="249"/>
      <c r="AC141" s="249"/>
      <c r="AD141" s="249"/>
      <c r="AE141" s="249"/>
      <c r="AF141" s="249"/>
      <c r="AG141" s="249"/>
      <c r="AJ141" s="249"/>
      <c r="AM141" s="249"/>
      <c r="AP141" s="249"/>
      <c r="AS141" s="249"/>
      <c r="AV141" s="249"/>
      <c r="AY141" s="249"/>
      <c r="BB141" s="249"/>
      <c r="BE141" s="249"/>
      <c r="BH141" s="249"/>
      <c r="BK141" s="249"/>
      <c r="BN141" s="249"/>
      <c r="BQ141" s="249"/>
      <c r="BT141" s="249"/>
      <c r="BW141" s="249"/>
      <c r="BZ141" s="249"/>
      <c r="CC141" s="249"/>
      <c r="CF141" s="249"/>
      <c r="CI141" s="249"/>
      <c r="CL141" s="249"/>
      <c r="CO141" s="249"/>
      <c r="CR141" s="249"/>
      <c r="CU141" s="249"/>
      <c r="CX141" s="249"/>
      <c r="DA141" s="249"/>
      <c r="DD141" s="249"/>
      <c r="DG141" s="249"/>
      <c r="DJ141" s="249"/>
      <c r="DM141" s="249"/>
      <c r="DP141" s="249"/>
      <c r="DS141" s="249"/>
      <c r="DV141" s="249"/>
      <c r="DY141" s="249"/>
      <c r="EB141" s="249"/>
      <c r="EE141" s="249"/>
      <c r="EH141" s="249"/>
      <c r="EK141" s="249"/>
      <c r="EN141" s="249"/>
      <c r="EQ141" s="249"/>
      <c r="ET141" s="249"/>
      <c r="EW141" s="249"/>
      <c r="EZ141" s="249"/>
      <c r="FC141" s="249"/>
      <c r="FF141" s="249"/>
      <c r="FI141" s="249"/>
      <c r="FL141" s="249"/>
      <c r="FO141" s="249"/>
      <c r="FR141" s="249"/>
      <c r="FU141" s="249"/>
      <c r="FX141" s="249"/>
      <c r="GA141" s="249"/>
      <c r="GD141" s="249"/>
      <c r="GG141" s="249"/>
      <c r="GJ141" s="249"/>
      <c r="GM141" s="249"/>
      <c r="GP141" s="249"/>
      <c r="GS141" s="249"/>
      <c r="GV141" s="249"/>
      <c r="GY141" s="249"/>
      <c r="HB141" s="249"/>
      <c r="HE141" s="249"/>
    </row>
    <row r="142" spans="1:213" x14ac:dyDescent="0.2">
      <c r="A142" s="262" t="s">
        <v>383</v>
      </c>
      <c r="B142" s="283">
        <v>125.7</v>
      </c>
      <c r="C142" s="267" t="s">
        <v>254</v>
      </c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W142" s="249"/>
      <c r="Z142" s="249"/>
      <c r="AC142" s="249"/>
      <c r="AD142" s="249"/>
      <c r="AE142" s="249"/>
      <c r="AF142" s="249"/>
      <c r="AG142" s="249"/>
      <c r="AJ142" s="249"/>
      <c r="AM142" s="249"/>
      <c r="AP142" s="249"/>
      <c r="AS142" s="249"/>
      <c r="AV142" s="249"/>
      <c r="AY142" s="249"/>
      <c r="BB142" s="249"/>
      <c r="BE142" s="249"/>
      <c r="BH142" s="249"/>
      <c r="BK142" s="249"/>
      <c r="BN142" s="249"/>
      <c r="BQ142" s="249"/>
      <c r="BT142" s="249"/>
      <c r="BW142" s="249"/>
      <c r="BZ142" s="249"/>
      <c r="CC142" s="249"/>
      <c r="CF142" s="249"/>
      <c r="CI142" s="249"/>
      <c r="CL142" s="249"/>
      <c r="CO142" s="249"/>
      <c r="CR142" s="249"/>
      <c r="CU142" s="249"/>
      <c r="CX142" s="249"/>
      <c r="DA142" s="249"/>
      <c r="DD142" s="249"/>
      <c r="DG142" s="249"/>
      <c r="DJ142" s="249"/>
      <c r="DM142" s="249"/>
      <c r="DP142" s="249"/>
      <c r="DS142" s="249"/>
      <c r="DV142" s="249"/>
      <c r="DY142" s="249"/>
      <c r="EB142" s="249"/>
      <c r="EE142" s="249"/>
      <c r="EH142" s="249"/>
      <c r="EK142" s="249"/>
      <c r="EN142" s="249"/>
      <c r="EQ142" s="249"/>
      <c r="ET142" s="249"/>
      <c r="EW142" s="249"/>
      <c r="EZ142" s="249"/>
      <c r="FC142" s="249"/>
      <c r="FF142" s="249"/>
      <c r="FI142" s="249"/>
      <c r="FL142" s="249"/>
      <c r="FO142" s="249"/>
      <c r="FR142" s="249"/>
      <c r="FU142" s="249"/>
      <c r="FX142" s="249"/>
      <c r="GA142" s="249"/>
      <c r="GD142" s="249"/>
      <c r="GG142" s="249"/>
      <c r="GJ142" s="249"/>
      <c r="GM142" s="249"/>
      <c r="GP142" s="249"/>
      <c r="GS142" s="249"/>
      <c r="GV142" s="249"/>
      <c r="GY142" s="249"/>
      <c r="HB142" s="249"/>
      <c r="HE142" s="249"/>
    </row>
    <row r="143" spans="1:213" x14ac:dyDescent="0.2">
      <c r="A143" s="262" t="s">
        <v>479</v>
      </c>
      <c r="B143" s="283">
        <v>349.5</v>
      </c>
      <c r="C143" s="267" t="s">
        <v>254</v>
      </c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W143" s="249"/>
      <c r="Z143" s="249"/>
      <c r="AC143" s="249"/>
      <c r="AD143" s="249"/>
      <c r="AE143" s="249"/>
      <c r="AF143" s="249"/>
      <c r="AG143" s="249"/>
      <c r="AJ143" s="249"/>
      <c r="AM143" s="249"/>
      <c r="AP143" s="249"/>
      <c r="AS143" s="249"/>
      <c r="AV143" s="249"/>
      <c r="AY143" s="249"/>
      <c r="BB143" s="249"/>
      <c r="BE143" s="249"/>
      <c r="BH143" s="249"/>
      <c r="BK143" s="249"/>
      <c r="BN143" s="249"/>
      <c r="BQ143" s="249"/>
      <c r="BT143" s="249"/>
      <c r="BW143" s="249"/>
      <c r="BZ143" s="249"/>
      <c r="CC143" s="249"/>
      <c r="CF143" s="249"/>
      <c r="CI143" s="249"/>
      <c r="CL143" s="249"/>
      <c r="CO143" s="249"/>
      <c r="CR143" s="249"/>
      <c r="CU143" s="249"/>
      <c r="CX143" s="249"/>
      <c r="DA143" s="249"/>
      <c r="DD143" s="249"/>
      <c r="DG143" s="249"/>
      <c r="DJ143" s="249"/>
      <c r="DM143" s="249"/>
      <c r="DP143" s="249"/>
      <c r="DS143" s="249"/>
      <c r="DV143" s="249"/>
      <c r="DY143" s="249"/>
      <c r="EB143" s="249"/>
      <c r="EE143" s="249"/>
      <c r="EH143" s="249"/>
      <c r="EK143" s="249"/>
      <c r="EN143" s="249"/>
      <c r="EQ143" s="249"/>
      <c r="ET143" s="249"/>
      <c r="EW143" s="249"/>
      <c r="EZ143" s="249"/>
      <c r="FC143" s="249"/>
      <c r="FF143" s="249"/>
      <c r="FI143" s="249"/>
      <c r="FL143" s="249"/>
      <c r="FO143" s="249"/>
      <c r="FR143" s="249"/>
      <c r="FU143" s="249"/>
      <c r="FX143" s="249"/>
      <c r="GA143" s="249"/>
      <c r="GD143" s="249"/>
      <c r="GG143" s="249"/>
      <c r="GJ143" s="249"/>
      <c r="GM143" s="249"/>
      <c r="GP143" s="249"/>
      <c r="GS143" s="249"/>
      <c r="GV143" s="249"/>
      <c r="GY143" s="249"/>
      <c r="HB143" s="249"/>
      <c r="HE143" s="249"/>
    </row>
    <row r="144" spans="1:213" x14ac:dyDescent="0.2">
      <c r="A144" s="262" t="s">
        <v>480</v>
      </c>
      <c r="B144" s="283">
        <v>445.6</v>
      </c>
      <c r="C144" s="267" t="s">
        <v>254</v>
      </c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W144" s="249"/>
      <c r="Z144" s="249"/>
      <c r="AC144" s="249"/>
      <c r="AD144" s="249"/>
      <c r="AE144" s="249"/>
      <c r="AF144" s="249"/>
      <c r="AG144" s="249"/>
      <c r="AJ144" s="249"/>
      <c r="AM144" s="249"/>
      <c r="AP144" s="249"/>
      <c r="AS144" s="249"/>
      <c r="AV144" s="249"/>
      <c r="AY144" s="249"/>
      <c r="BB144" s="249"/>
      <c r="BE144" s="249"/>
      <c r="BH144" s="249"/>
      <c r="BK144" s="249"/>
      <c r="BN144" s="249"/>
      <c r="BQ144" s="249"/>
      <c r="BT144" s="249"/>
      <c r="BW144" s="249"/>
      <c r="BZ144" s="249"/>
      <c r="CC144" s="249"/>
      <c r="CF144" s="249"/>
      <c r="CI144" s="249"/>
      <c r="CL144" s="249"/>
      <c r="CO144" s="249"/>
      <c r="CR144" s="249"/>
      <c r="CU144" s="249"/>
      <c r="CX144" s="249"/>
      <c r="DA144" s="249"/>
      <c r="DD144" s="249"/>
      <c r="DG144" s="249"/>
      <c r="DJ144" s="249"/>
      <c r="DM144" s="249"/>
      <c r="DP144" s="249"/>
      <c r="DS144" s="249"/>
      <c r="DV144" s="249"/>
      <c r="DY144" s="249"/>
      <c r="EB144" s="249"/>
      <c r="EE144" s="249"/>
      <c r="EH144" s="249"/>
      <c r="EK144" s="249"/>
      <c r="EN144" s="249"/>
      <c r="EQ144" s="249"/>
      <c r="ET144" s="249"/>
      <c r="EW144" s="249"/>
      <c r="EZ144" s="249"/>
      <c r="FC144" s="249"/>
      <c r="FF144" s="249"/>
      <c r="FI144" s="249"/>
      <c r="FL144" s="249"/>
      <c r="FO144" s="249"/>
      <c r="FR144" s="249"/>
      <c r="FU144" s="249"/>
      <c r="FX144" s="249"/>
      <c r="GA144" s="249"/>
      <c r="GD144" s="249"/>
      <c r="GG144" s="249"/>
      <c r="GJ144" s="249"/>
      <c r="GM144" s="249"/>
      <c r="GP144" s="249"/>
      <c r="GS144" s="249"/>
      <c r="GV144" s="249"/>
      <c r="GY144" s="249"/>
      <c r="HB144" s="249"/>
      <c r="HE144" s="249"/>
    </row>
    <row r="145" spans="1:213" x14ac:dyDescent="0.2">
      <c r="A145" s="262" t="s">
        <v>481</v>
      </c>
      <c r="B145" s="283">
        <v>40.1</v>
      </c>
      <c r="C145" s="267" t="s">
        <v>254</v>
      </c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W145" s="249"/>
      <c r="Z145" s="249"/>
      <c r="AC145" s="249"/>
      <c r="AD145" s="249"/>
      <c r="AE145" s="249"/>
      <c r="AF145" s="249"/>
      <c r="AG145" s="249"/>
      <c r="AJ145" s="249"/>
      <c r="AM145" s="249"/>
      <c r="AP145" s="249"/>
      <c r="AS145" s="249"/>
      <c r="AV145" s="249"/>
      <c r="AY145" s="249"/>
      <c r="BB145" s="249"/>
      <c r="BE145" s="249"/>
      <c r="BH145" s="249"/>
      <c r="BK145" s="249"/>
      <c r="BN145" s="249"/>
      <c r="BQ145" s="249"/>
      <c r="BT145" s="249"/>
      <c r="BW145" s="249"/>
      <c r="BZ145" s="249"/>
      <c r="CC145" s="249"/>
      <c r="CF145" s="249"/>
      <c r="CI145" s="249"/>
      <c r="CL145" s="249"/>
      <c r="CO145" s="249"/>
      <c r="CR145" s="249"/>
      <c r="CU145" s="249"/>
      <c r="CX145" s="249"/>
      <c r="DA145" s="249"/>
      <c r="DD145" s="249"/>
      <c r="DG145" s="249"/>
      <c r="DJ145" s="249"/>
      <c r="DM145" s="249"/>
      <c r="DP145" s="249"/>
      <c r="DS145" s="249"/>
      <c r="DV145" s="249"/>
      <c r="DY145" s="249"/>
      <c r="EB145" s="249"/>
      <c r="EE145" s="249"/>
      <c r="EH145" s="249"/>
      <c r="EK145" s="249"/>
      <c r="EN145" s="249"/>
      <c r="EQ145" s="249"/>
      <c r="ET145" s="249"/>
      <c r="EW145" s="249"/>
      <c r="EZ145" s="249"/>
      <c r="FC145" s="249"/>
      <c r="FF145" s="249"/>
      <c r="FI145" s="249"/>
      <c r="FL145" s="249"/>
      <c r="FO145" s="249"/>
      <c r="FR145" s="249"/>
      <c r="FU145" s="249"/>
      <c r="FX145" s="249"/>
      <c r="GA145" s="249"/>
      <c r="GD145" s="249"/>
      <c r="GG145" s="249"/>
      <c r="GJ145" s="249"/>
      <c r="GM145" s="249"/>
      <c r="GP145" s="249"/>
      <c r="GS145" s="249"/>
      <c r="GV145" s="249"/>
      <c r="GY145" s="249"/>
      <c r="HB145" s="249"/>
      <c r="HE145" s="249"/>
    </row>
    <row r="146" spans="1:213" x14ac:dyDescent="0.2">
      <c r="A146" s="262" t="s">
        <v>482</v>
      </c>
      <c r="B146" s="283">
        <v>178</v>
      </c>
      <c r="C146" s="267" t="s">
        <v>254</v>
      </c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W146" s="249"/>
      <c r="Z146" s="249"/>
      <c r="AC146" s="249"/>
      <c r="AD146" s="249"/>
      <c r="AE146" s="249"/>
      <c r="AF146" s="249"/>
      <c r="AG146" s="249"/>
      <c r="AJ146" s="249"/>
      <c r="AM146" s="249"/>
      <c r="AP146" s="249"/>
      <c r="AS146" s="249"/>
      <c r="AV146" s="249"/>
      <c r="AY146" s="249"/>
      <c r="BB146" s="249"/>
      <c r="BE146" s="249"/>
      <c r="BH146" s="249"/>
      <c r="BK146" s="249"/>
      <c r="BN146" s="249"/>
      <c r="BQ146" s="249"/>
      <c r="BT146" s="249"/>
      <c r="BW146" s="249"/>
      <c r="BZ146" s="249"/>
      <c r="CC146" s="249"/>
      <c r="CF146" s="249"/>
      <c r="CI146" s="249"/>
      <c r="CL146" s="249"/>
      <c r="CO146" s="249"/>
      <c r="CR146" s="249"/>
      <c r="CU146" s="249"/>
      <c r="CX146" s="249"/>
      <c r="DA146" s="249"/>
      <c r="DD146" s="249"/>
      <c r="DG146" s="249"/>
      <c r="DJ146" s="249"/>
      <c r="DM146" s="249"/>
      <c r="DP146" s="249"/>
      <c r="DS146" s="249"/>
      <c r="DV146" s="249"/>
      <c r="DY146" s="249"/>
      <c r="EB146" s="249"/>
      <c r="EE146" s="249"/>
      <c r="EH146" s="249"/>
      <c r="EK146" s="249"/>
      <c r="EN146" s="249"/>
      <c r="EQ146" s="249"/>
      <c r="ET146" s="249"/>
      <c r="EW146" s="249"/>
      <c r="EZ146" s="249"/>
      <c r="FC146" s="249"/>
      <c r="FF146" s="249"/>
      <c r="FI146" s="249"/>
      <c r="FL146" s="249"/>
      <c r="FO146" s="249"/>
      <c r="FR146" s="249"/>
      <c r="FU146" s="249"/>
      <c r="FX146" s="249"/>
      <c r="GA146" s="249"/>
      <c r="GD146" s="249"/>
      <c r="GG146" s="249"/>
      <c r="GJ146" s="249"/>
      <c r="GM146" s="249"/>
      <c r="GP146" s="249"/>
      <c r="GS146" s="249"/>
      <c r="GV146" s="249"/>
      <c r="GY146" s="249"/>
      <c r="HB146" s="249"/>
      <c r="HE146" s="249"/>
    </row>
    <row r="147" spans="1:213" x14ac:dyDescent="0.2">
      <c r="A147" s="262" t="s">
        <v>326</v>
      </c>
      <c r="B147" s="283">
        <v>10.95</v>
      </c>
      <c r="C147" s="262" t="s">
        <v>254</v>
      </c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W147" s="249"/>
      <c r="Z147" s="249"/>
      <c r="AC147" s="249"/>
      <c r="AD147" s="249"/>
      <c r="AE147" s="249"/>
      <c r="AF147" s="249"/>
      <c r="AG147" s="249"/>
      <c r="AJ147" s="249"/>
      <c r="AM147" s="249"/>
      <c r="AP147" s="249"/>
      <c r="AS147" s="249"/>
      <c r="AV147" s="249"/>
      <c r="AY147" s="249"/>
      <c r="BB147" s="249"/>
      <c r="BE147" s="249"/>
      <c r="BH147" s="249"/>
      <c r="BK147" s="249"/>
      <c r="BN147" s="249"/>
      <c r="BQ147" s="249"/>
      <c r="BT147" s="249"/>
      <c r="BW147" s="249"/>
      <c r="BZ147" s="249"/>
      <c r="CC147" s="249"/>
      <c r="CF147" s="249"/>
      <c r="CI147" s="249"/>
      <c r="CL147" s="249"/>
      <c r="CO147" s="249"/>
      <c r="CR147" s="249"/>
      <c r="CU147" s="249"/>
      <c r="CX147" s="249"/>
      <c r="DA147" s="249"/>
      <c r="DD147" s="249"/>
      <c r="DG147" s="249"/>
      <c r="DJ147" s="249"/>
      <c r="DM147" s="249"/>
      <c r="DP147" s="249"/>
      <c r="DS147" s="249"/>
      <c r="DV147" s="249"/>
      <c r="DY147" s="249"/>
      <c r="EB147" s="249"/>
      <c r="EE147" s="249"/>
      <c r="EH147" s="249"/>
      <c r="EK147" s="249"/>
      <c r="EN147" s="249"/>
      <c r="EQ147" s="249"/>
      <c r="ET147" s="249"/>
      <c r="EW147" s="249"/>
      <c r="EZ147" s="249"/>
      <c r="FC147" s="249"/>
      <c r="FF147" s="249"/>
      <c r="FI147" s="249"/>
      <c r="FL147" s="249"/>
      <c r="FO147" s="249"/>
      <c r="FR147" s="249"/>
      <c r="FU147" s="249"/>
      <c r="FX147" s="249"/>
      <c r="GA147" s="249"/>
      <c r="GD147" s="249"/>
      <c r="GG147" s="249"/>
      <c r="GJ147" s="249"/>
      <c r="GM147" s="249"/>
      <c r="GP147" s="249"/>
      <c r="GS147" s="249"/>
      <c r="GV147" s="249"/>
      <c r="GY147" s="249"/>
      <c r="HB147" s="249"/>
      <c r="HE147" s="249"/>
    </row>
    <row r="148" spans="1:213" x14ac:dyDescent="0.2">
      <c r="A148" s="262" t="s">
        <v>327</v>
      </c>
      <c r="B148" s="283">
        <v>53.4</v>
      </c>
      <c r="C148" s="262" t="s">
        <v>254</v>
      </c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W148" s="249"/>
      <c r="Z148" s="249"/>
      <c r="AC148" s="249"/>
      <c r="AD148" s="249"/>
      <c r="AE148" s="249"/>
      <c r="AF148" s="249"/>
      <c r="AG148" s="249"/>
      <c r="AJ148" s="249"/>
      <c r="AM148" s="249"/>
      <c r="AP148" s="249"/>
      <c r="AS148" s="249"/>
      <c r="AV148" s="249"/>
      <c r="AY148" s="249"/>
      <c r="BB148" s="249"/>
      <c r="BE148" s="249"/>
      <c r="BH148" s="249"/>
      <c r="BK148" s="249"/>
      <c r="BN148" s="249"/>
      <c r="BQ148" s="249"/>
      <c r="BT148" s="249"/>
      <c r="BW148" s="249"/>
      <c r="BZ148" s="249"/>
      <c r="CC148" s="249"/>
      <c r="CF148" s="249"/>
      <c r="CI148" s="249"/>
      <c r="CL148" s="249"/>
      <c r="CO148" s="249"/>
      <c r="CR148" s="249"/>
      <c r="CU148" s="249"/>
      <c r="CX148" s="249"/>
      <c r="DA148" s="249"/>
      <c r="DD148" s="249"/>
      <c r="DG148" s="249"/>
      <c r="DJ148" s="249"/>
      <c r="DM148" s="249"/>
      <c r="DP148" s="249"/>
      <c r="DS148" s="249"/>
      <c r="DV148" s="249"/>
      <c r="DY148" s="249"/>
      <c r="EB148" s="249"/>
      <c r="EE148" s="249"/>
      <c r="EH148" s="249"/>
      <c r="EK148" s="249"/>
      <c r="EN148" s="249"/>
      <c r="EQ148" s="249"/>
      <c r="ET148" s="249"/>
      <c r="EW148" s="249"/>
      <c r="EZ148" s="249"/>
      <c r="FC148" s="249"/>
      <c r="FF148" s="249"/>
      <c r="FI148" s="249"/>
      <c r="FL148" s="249"/>
      <c r="FO148" s="249"/>
      <c r="FR148" s="249"/>
      <c r="FU148" s="249"/>
      <c r="FX148" s="249"/>
      <c r="GA148" s="249"/>
      <c r="GD148" s="249"/>
      <c r="GG148" s="249"/>
      <c r="GJ148" s="249"/>
      <c r="GM148" s="249"/>
      <c r="GP148" s="249"/>
      <c r="GS148" s="249"/>
      <c r="GV148" s="249"/>
      <c r="GY148" s="249"/>
      <c r="HB148" s="249"/>
      <c r="HE148" s="249"/>
    </row>
    <row r="149" spans="1:213" x14ac:dyDescent="0.2">
      <c r="A149" s="262" t="s">
        <v>483</v>
      </c>
      <c r="B149" s="283">
        <v>32.799999999999997</v>
      </c>
      <c r="C149" s="267" t="s">
        <v>254</v>
      </c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W149" s="249"/>
      <c r="Z149" s="249"/>
      <c r="AC149" s="249"/>
      <c r="AD149" s="249"/>
      <c r="AE149" s="249"/>
      <c r="AF149" s="249"/>
      <c r="AG149" s="249"/>
      <c r="AJ149" s="249"/>
      <c r="AM149" s="249"/>
      <c r="AP149" s="249"/>
      <c r="AS149" s="249"/>
      <c r="AV149" s="249"/>
      <c r="AY149" s="249"/>
      <c r="BB149" s="249"/>
      <c r="BE149" s="249"/>
      <c r="BH149" s="249"/>
      <c r="BK149" s="249"/>
      <c r="BN149" s="249"/>
      <c r="BQ149" s="249"/>
      <c r="BT149" s="249"/>
      <c r="BW149" s="249"/>
      <c r="BZ149" s="249"/>
      <c r="CC149" s="249"/>
      <c r="CF149" s="249"/>
      <c r="CI149" s="249"/>
      <c r="CL149" s="249"/>
      <c r="CO149" s="249"/>
      <c r="CR149" s="249"/>
      <c r="CU149" s="249"/>
      <c r="CX149" s="249"/>
      <c r="DA149" s="249"/>
      <c r="DD149" s="249"/>
      <c r="DG149" s="249"/>
      <c r="DJ149" s="249"/>
      <c r="DM149" s="249"/>
      <c r="DP149" s="249"/>
      <c r="DS149" s="249"/>
      <c r="DV149" s="249"/>
      <c r="DY149" s="249"/>
      <c r="EB149" s="249"/>
      <c r="EE149" s="249"/>
      <c r="EH149" s="249"/>
      <c r="EK149" s="249"/>
      <c r="EN149" s="249"/>
      <c r="EQ149" s="249"/>
      <c r="ET149" s="249"/>
      <c r="EW149" s="249"/>
      <c r="EZ149" s="249"/>
      <c r="FC149" s="249"/>
      <c r="FF149" s="249"/>
      <c r="FI149" s="249"/>
      <c r="FL149" s="249"/>
      <c r="FO149" s="249"/>
      <c r="FR149" s="249"/>
      <c r="FU149" s="249"/>
      <c r="FX149" s="249"/>
      <c r="GA149" s="249"/>
      <c r="GD149" s="249"/>
      <c r="GG149" s="249"/>
      <c r="GJ149" s="249"/>
      <c r="GM149" s="249"/>
      <c r="GP149" s="249"/>
      <c r="GS149" s="249"/>
      <c r="GV149" s="249"/>
      <c r="GY149" s="249"/>
      <c r="HB149" s="249"/>
      <c r="HE149" s="249"/>
    </row>
    <row r="150" spans="1:213" x14ac:dyDescent="0.2">
      <c r="A150" s="262" t="s">
        <v>484</v>
      </c>
      <c r="B150" s="283">
        <v>155.4</v>
      </c>
      <c r="C150" s="267" t="s">
        <v>254</v>
      </c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W150" s="249"/>
      <c r="Z150" s="249"/>
      <c r="AC150" s="249"/>
      <c r="AD150" s="249"/>
      <c r="AE150" s="249"/>
      <c r="AF150" s="249"/>
      <c r="AG150" s="249"/>
      <c r="AJ150" s="249"/>
      <c r="AM150" s="249"/>
      <c r="AP150" s="249"/>
      <c r="AS150" s="249"/>
      <c r="AV150" s="249"/>
      <c r="AY150" s="249"/>
      <c r="BB150" s="249"/>
      <c r="BE150" s="249"/>
      <c r="BH150" s="249"/>
      <c r="BK150" s="249"/>
      <c r="BN150" s="249"/>
      <c r="BQ150" s="249"/>
      <c r="BT150" s="249"/>
      <c r="BW150" s="249"/>
      <c r="BZ150" s="249"/>
      <c r="CC150" s="249"/>
      <c r="CF150" s="249"/>
      <c r="CI150" s="249"/>
      <c r="CL150" s="249"/>
      <c r="CO150" s="249"/>
      <c r="CR150" s="249"/>
      <c r="CU150" s="249"/>
      <c r="CX150" s="249"/>
      <c r="DA150" s="249"/>
      <c r="DD150" s="249"/>
      <c r="DG150" s="249"/>
      <c r="DJ150" s="249"/>
      <c r="DM150" s="249"/>
      <c r="DP150" s="249"/>
      <c r="DS150" s="249"/>
      <c r="DV150" s="249"/>
      <c r="DY150" s="249"/>
      <c r="EB150" s="249"/>
      <c r="EE150" s="249"/>
      <c r="EH150" s="249"/>
      <c r="EK150" s="249"/>
      <c r="EN150" s="249"/>
      <c r="EQ150" s="249"/>
      <c r="ET150" s="249"/>
      <c r="EW150" s="249"/>
      <c r="EZ150" s="249"/>
      <c r="FC150" s="249"/>
      <c r="FF150" s="249"/>
      <c r="FI150" s="249"/>
      <c r="FL150" s="249"/>
      <c r="FO150" s="249"/>
      <c r="FR150" s="249"/>
      <c r="FU150" s="249"/>
      <c r="FX150" s="249"/>
      <c r="GA150" s="249"/>
      <c r="GD150" s="249"/>
      <c r="GG150" s="249"/>
      <c r="GJ150" s="249"/>
      <c r="GM150" s="249"/>
      <c r="GP150" s="249"/>
      <c r="GS150" s="249"/>
      <c r="GV150" s="249"/>
      <c r="GY150" s="249"/>
      <c r="HB150" s="249"/>
      <c r="HE150" s="249"/>
    </row>
    <row r="151" spans="1:213" x14ac:dyDescent="0.2">
      <c r="A151" s="262" t="s">
        <v>324</v>
      </c>
      <c r="B151" s="283">
        <v>23.6</v>
      </c>
      <c r="C151" s="262" t="s">
        <v>254</v>
      </c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W151" s="249"/>
      <c r="Z151" s="249"/>
      <c r="AC151" s="249"/>
      <c r="AD151" s="249"/>
      <c r="AE151" s="249"/>
      <c r="AF151" s="249"/>
      <c r="AG151" s="249"/>
      <c r="AJ151" s="249"/>
      <c r="AM151" s="249"/>
      <c r="AP151" s="249"/>
      <c r="AS151" s="249"/>
      <c r="AV151" s="249"/>
      <c r="AY151" s="249"/>
      <c r="BB151" s="249"/>
      <c r="BE151" s="249"/>
      <c r="BH151" s="249"/>
      <c r="BK151" s="249"/>
      <c r="BN151" s="249"/>
      <c r="BQ151" s="249"/>
      <c r="BT151" s="249"/>
      <c r="BW151" s="249"/>
      <c r="BZ151" s="249"/>
      <c r="CC151" s="249"/>
      <c r="CF151" s="249"/>
      <c r="CI151" s="249"/>
      <c r="CL151" s="249"/>
      <c r="CO151" s="249"/>
      <c r="CR151" s="249"/>
      <c r="CU151" s="249"/>
      <c r="CX151" s="249"/>
      <c r="DA151" s="249"/>
      <c r="DD151" s="249"/>
      <c r="DG151" s="249"/>
      <c r="DJ151" s="249"/>
      <c r="DM151" s="249"/>
      <c r="DP151" s="249"/>
      <c r="DS151" s="249"/>
      <c r="DV151" s="249"/>
      <c r="DY151" s="249"/>
      <c r="EB151" s="249"/>
      <c r="EE151" s="249"/>
      <c r="EH151" s="249"/>
      <c r="EK151" s="249"/>
      <c r="EN151" s="249"/>
      <c r="EQ151" s="249"/>
      <c r="ET151" s="249"/>
      <c r="EW151" s="249"/>
      <c r="EZ151" s="249"/>
      <c r="FC151" s="249"/>
      <c r="FF151" s="249"/>
      <c r="FI151" s="249"/>
      <c r="FL151" s="249"/>
      <c r="FO151" s="249"/>
      <c r="FR151" s="249"/>
      <c r="FU151" s="249"/>
      <c r="FX151" s="249"/>
      <c r="GA151" s="249"/>
      <c r="GD151" s="249"/>
      <c r="GG151" s="249"/>
      <c r="GJ151" s="249"/>
      <c r="GM151" s="249"/>
      <c r="GP151" s="249"/>
      <c r="GS151" s="249"/>
      <c r="GV151" s="249"/>
      <c r="GY151" s="249"/>
      <c r="HB151" s="249"/>
      <c r="HE151" s="249"/>
    </row>
    <row r="152" spans="1:213" x14ac:dyDescent="0.2">
      <c r="A152" s="262" t="s">
        <v>325</v>
      </c>
      <c r="B152" s="283">
        <v>106.6</v>
      </c>
      <c r="C152" s="262" t="s">
        <v>254</v>
      </c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W152" s="249"/>
      <c r="Z152" s="249"/>
      <c r="AC152" s="249"/>
      <c r="AD152" s="249"/>
      <c r="AE152" s="249"/>
      <c r="AF152" s="249"/>
      <c r="AG152" s="249"/>
      <c r="AJ152" s="249"/>
      <c r="AM152" s="249"/>
      <c r="AP152" s="249"/>
      <c r="AS152" s="249"/>
      <c r="AV152" s="249"/>
      <c r="AY152" s="249"/>
      <c r="BB152" s="249"/>
      <c r="BE152" s="249"/>
      <c r="BH152" s="249"/>
      <c r="BK152" s="249"/>
      <c r="BN152" s="249"/>
      <c r="BQ152" s="249"/>
      <c r="BT152" s="249"/>
      <c r="BW152" s="249"/>
      <c r="BZ152" s="249"/>
      <c r="CC152" s="249"/>
      <c r="CF152" s="249"/>
      <c r="CI152" s="249"/>
      <c r="CL152" s="249"/>
      <c r="CO152" s="249"/>
      <c r="CR152" s="249"/>
      <c r="CU152" s="249"/>
      <c r="CX152" s="249"/>
      <c r="DA152" s="249"/>
      <c r="DD152" s="249"/>
      <c r="DG152" s="249"/>
      <c r="DJ152" s="249"/>
      <c r="DM152" s="249"/>
      <c r="DP152" s="249"/>
      <c r="DS152" s="249"/>
      <c r="DV152" s="249"/>
      <c r="DY152" s="249"/>
      <c r="EB152" s="249"/>
      <c r="EE152" s="249"/>
      <c r="EH152" s="249"/>
      <c r="EK152" s="249"/>
      <c r="EN152" s="249"/>
      <c r="EQ152" s="249"/>
      <c r="ET152" s="249"/>
      <c r="EW152" s="249"/>
      <c r="EZ152" s="249"/>
      <c r="FC152" s="249"/>
      <c r="FF152" s="249"/>
      <c r="FI152" s="249"/>
      <c r="FL152" s="249"/>
      <c r="FO152" s="249"/>
      <c r="FR152" s="249"/>
      <c r="FU152" s="249"/>
      <c r="FX152" s="249"/>
      <c r="GA152" s="249"/>
      <c r="GD152" s="249"/>
      <c r="GG152" s="249"/>
      <c r="GJ152" s="249"/>
      <c r="GM152" s="249"/>
      <c r="GP152" s="249"/>
      <c r="GS152" s="249"/>
      <c r="GV152" s="249"/>
      <c r="GY152" s="249"/>
      <c r="HB152" s="249"/>
      <c r="HE152" s="249"/>
    </row>
    <row r="153" spans="1:213" x14ac:dyDescent="0.2">
      <c r="A153" s="262" t="s">
        <v>328</v>
      </c>
      <c r="B153" s="283">
        <v>18.5</v>
      </c>
      <c r="C153" s="262" t="s">
        <v>254</v>
      </c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W153" s="249"/>
      <c r="Z153" s="249"/>
      <c r="AC153" s="249"/>
      <c r="AD153" s="249"/>
      <c r="AE153" s="249"/>
      <c r="AF153" s="249"/>
      <c r="AG153" s="249"/>
      <c r="AJ153" s="249"/>
      <c r="AM153" s="249"/>
      <c r="AP153" s="249"/>
      <c r="AS153" s="249"/>
      <c r="AV153" s="249"/>
      <c r="AY153" s="249"/>
      <c r="BB153" s="249"/>
      <c r="BE153" s="249"/>
      <c r="BH153" s="249"/>
      <c r="BK153" s="249"/>
      <c r="BN153" s="249"/>
      <c r="BQ153" s="249"/>
      <c r="BT153" s="249"/>
      <c r="BW153" s="249"/>
      <c r="BZ153" s="249"/>
      <c r="CC153" s="249"/>
      <c r="CF153" s="249"/>
      <c r="CI153" s="249"/>
      <c r="CL153" s="249"/>
      <c r="CO153" s="249"/>
      <c r="CR153" s="249"/>
      <c r="CU153" s="249"/>
      <c r="CX153" s="249"/>
      <c r="DA153" s="249"/>
      <c r="DD153" s="249"/>
      <c r="DG153" s="249"/>
      <c r="DJ153" s="249"/>
      <c r="DM153" s="249"/>
      <c r="DP153" s="249"/>
      <c r="DS153" s="249"/>
      <c r="DV153" s="249"/>
      <c r="DY153" s="249"/>
      <c r="EB153" s="249"/>
      <c r="EE153" s="249"/>
      <c r="EH153" s="249"/>
      <c r="EK153" s="249"/>
      <c r="EN153" s="249"/>
      <c r="EQ153" s="249"/>
      <c r="ET153" s="249"/>
      <c r="EW153" s="249"/>
      <c r="EZ153" s="249"/>
      <c r="FC153" s="249"/>
      <c r="FF153" s="249"/>
      <c r="FI153" s="249"/>
      <c r="FL153" s="249"/>
      <c r="FO153" s="249"/>
      <c r="FR153" s="249"/>
      <c r="FU153" s="249"/>
      <c r="FX153" s="249"/>
      <c r="GA153" s="249"/>
      <c r="GD153" s="249"/>
      <c r="GG153" s="249"/>
      <c r="GJ153" s="249"/>
      <c r="GM153" s="249"/>
      <c r="GP153" s="249"/>
      <c r="GS153" s="249"/>
      <c r="GV153" s="249"/>
      <c r="GY153" s="249"/>
      <c r="HB153" s="249"/>
      <c r="HE153" s="249"/>
    </row>
    <row r="154" spans="1:213" x14ac:dyDescent="0.2">
      <c r="A154" s="262" t="s">
        <v>329</v>
      </c>
      <c r="B154" s="283">
        <v>97.9</v>
      </c>
      <c r="C154" s="262" t="s">
        <v>254</v>
      </c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W154" s="249"/>
      <c r="Z154" s="249"/>
      <c r="AC154" s="249"/>
      <c r="AD154" s="249"/>
      <c r="AE154" s="249"/>
      <c r="AF154" s="249"/>
      <c r="AG154" s="249"/>
      <c r="AJ154" s="249"/>
      <c r="AM154" s="249"/>
      <c r="AP154" s="249"/>
      <c r="AS154" s="249"/>
      <c r="AV154" s="249"/>
      <c r="AY154" s="249"/>
      <c r="BB154" s="249"/>
      <c r="BE154" s="249"/>
      <c r="BH154" s="249"/>
      <c r="BK154" s="249"/>
      <c r="BN154" s="249"/>
      <c r="BQ154" s="249"/>
      <c r="BT154" s="249"/>
      <c r="BW154" s="249"/>
      <c r="BZ154" s="249"/>
      <c r="CC154" s="249"/>
      <c r="CF154" s="249"/>
      <c r="CI154" s="249"/>
      <c r="CL154" s="249"/>
      <c r="CO154" s="249"/>
      <c r="CR154" s="249"/>
      <c r="CU154" s="249"/>
      <c r="CX154" s="249"/>
      <c r="DA154" s="249"/>
      <c r="DD154" s="249"/>
      <c r="DG154" s="249"/>
      <c r="DJ154" s="249"/>
      <c r="DM154" s="249"/>
      <c r="DP154" s="249"/>
      <c r="DS154" s="249"/>
      <c r="DV154" s="249"/>
      <c r="DY154" s="249"/>
      <c r="EB154" s="249"/>
      <c r="EE154" s="249"/>
      <c r="EH154" s="249"/>
      <c r="EK154" s="249"/>
      <c r="EN154" s="249"/>
      <c r="EQ154" s="249"/>
      <c r="ET154" s="249"/>
      <c r="EW154" s="249"/>
      <c r="EZ154" s="249"/>
      <c r="FC154" s="249"/>
      <c r="FF154" s="249"/>
      <c r="FI154" s="249"/>
      <c r="FL154" s="249"/>
      <c r="FO154" s="249"/>
      <c r="FR154" s="249"/>
      <c r="FU154" s="249"/>
      <c r="FX154" s="249"/>
      <c r="GA154" s="249"/>
      <c r="GD154" s="249"/>
      <c r="GG154" s="249"/>
      <c r="GJ154" s="249"/>
      <c r="GM154" s="249"/>
      <c r="GP154" s="249"/>
      <c r="GS154" s="249"/>
      <c r="GV154" s="249"/>
      <c r="GY154" s="249"/>
      <c r="HB154" s="249"/>
      <c r="HE154" s="249"/>
    </row>
    <row r="155" spans="1:213" x14ac:dyDescent="0.2">
      <c r="A155" s="262" t="s">
        <v>384</v>
      </c>
      <c r="B155" s="284">
        <v>6</v>
      </c>
      <c r="C155" s="93" t="s">
        <v>69</v>
      </c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W155" s="249"/>
      <c r="Z155" s="249"/>
      <c r="AC155" s="249"/>
      <c r="AD155" s="249"/>
      <c r="AE155" s="249"/>
      <c r="AF155" s="249"/>
      <c r="AG155" s="249"/>
      <c r="AJ155" s="249"/>
      <c r="AM155" s="249"/>
      <c r="AP155" s="249"/>
      <c r="AS155" s="249"/>
      <c r="AV155" s="249"/>
      <c r="AY155" s="249"/>
      <c r="BB155" s="249"/>
      <c r="BE155" s="249"/>
      <c r="BH155" s="249"/>
      <c r="BK155" s="249"/>
      <c r="BN155" s="249"/>
      <c r="BQ155" s="249"/>
      <c r="BT155" s="249"/>
      <c r="BW155" s="249"/>
      <c r="BZ155" s="249"/>
      <c r="CC155" s="249"/>
      <c r="CF155" s="249"/>
      <c r="CI155" s="249"/>
      <c r="CL155" s="249"/>
      <c r="CO155" s="249"/>
      <c r="CR155" s="249"/>
      <c r="CU155" s="249"/>
      <c r="CX155" s="249"/>
      <c r="DA155" s="249"/>
      <c r="DD155" s="249"/>
      <c r="DG155" s="249"/>
      <c r="DJ155" s="249"/>
      <c r="DM155" s="249"/>
      <c r="DP155" s="249"/>
      <c r="DS155" s="249"/>
      <c r="DV155" s="249"/>
      <c r="DY155" s="249"/>
      <c r="EB155" s="249"/>
      <c r="EE155" s="249"/>
      <c r="EH155" s="249"/>
      <c r="EK155" s="249"/>
      <c r="EN155" s="249"/>
      <c r="EQ155" s="249"/>
      <c r="ET155" s="249"/>
      <c r="EW155" s="249"/>
      <c r="EZ155" s="249"/>
      <c r="FC155" s="249"/>
      <c r="FF155" s="249"/>
      <c r="FI155" s="249"/>
      <c r="FL155" s="249"/>
      <c r="FO155" s="249"/>
      <c r="FR155" s="249"/>
      <c r="FU155" s="249"/>
      <c r="FX155" s="249"/>
      <c r="GA155" s="249"/>
      <c r="GD155" s="249"/>
      <c r="GG155" s="249"/>
      <c r="GJ155" s="249"/>
      <c r="GM155" s="249"/>
      <c r="GP155" s="249"/>
      <c r="GS155" s="249"/>
      <c r="GV155" s="249"/>
      <c r="GY155" s="249"/>
      <c r="HB155" s="249"/>
      <c r="HE155" s="249"/>
    </row>
    <row r="156" spans="1:213" x14ac:dyDescent="0.2">
      <c r="A156" s="262" t="s">
        <v>385</v>
      </c>
      <c r="B156" s="284">
        <v>34</v>
      </c>
      <c r="C156" s="93" t="s">
        <v>69</v>
      </c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W156" s="249"/>
      <c r="Z156" s="249"/>
      <c r="AC156" s="249"/>
      <c r="AD156" s="249"/>
      <c r="AE156" s="249"/>
      <c r="AF156" s="249"/>
      <c r="AG156" s="249"/>
      <c r="AJ156" s="249"/>
      <c r="AM156" s="249"/>
      <c r="AP156" s="249"/>
      <c r="AS156" s="249"/>
      <c r="AV156" s="249"/>
      <c r="AY156" s="249"/>
      <c r="BB156" s="249"/>
      <c r="BE156" s="249"/>
      <c r="BH156" s="249"/>
      <c r="BK156" s="249"/>
      <c r="BN156" s="249"/>
      <c r="BQ156" s="249"/>
      <c r="BT156" s="249"/>
      <c r="BW156" s="249"/>
      <c r="BZ156" s="249"/>
      <c r="CC156" s="249"/>
      <c r="CF156" s="249"/>
      <c r="CI156" s="249"/>
      <c r="CL156" s="249"/>
      <c r="CO156" s="249"/>
      <c r="CR156" s="249"/>
      <c r="CU156" s="249"/>
      <c r="CX156" s="249"/>
      <c r="DA156" s="249"/>
      <c r="DD156" s="249"/>
      <c r="DG156" s="249"/>
      <c r="DJ156" s="249"/>
      <c r="DM156" s="249"/>
      <c r="DP156" s="249"/>
      <c r="DS156" s="249"/>
      <c r="DV156" s="249"/>
      <c r="DY156" s="249"/>
      <c r="EB156" s="249"/>
      <c r="EE156" s="249"/>
      <c r="EH156" s="249"/>
      <c r="EK156" s="249"/>
      <c r="EN156" s="249"/>
      <c r="EQ156" s="249"/>
      <c r="ET156" s="249"/>
      <c r="EW156" s="249"/>
      <c r="EZ156" s="249"/>
      <c r="FC156" s="249"/>
      <c r="FF156" s="249"/>
      <c r="FI156" s="249"/>
      <c r="FL156" s="249"/>
      <c r="FO156" s="249"/>
      <c r="FR156" s="249"/>
      <c r="FU156" s="249"/>
      <c r="FX156" s="249"/>
      <c r="GA156" s="249"/>
      <c r="GD156" s="249"/>
      <c r="GG156" s="249"/>
      <c r="GJ156" s="249"/>
      <c r="GM156" s="249"/>
      <c r="GP156" s="249"/>
      <c r="GS156" s="249"/>
      <c r="GV156" s="249"/>
      <c r="GY156" s="249"/>
      <c r="HB156" s="249"/>
      <c r="HE156" s="249"/>
    </row>
    <row r="157" spans="1:213" x14ac:dyDescent="0.2">
      <c r="A157" s="262" t="s">
        <v>386</v>
      </c>
      <c r="B157" s="284">
        <v>40</v>
      </c>
      <c r="C157" s="93" t="s">
        <v>69</v>
      </c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W157" s="249"/>
      <c r="Z157" s="249"/>
      <c r="AC157" s="249"/>
      <c r="AD157" s="249"/>
      <c r="AE157" s="249"/>
      <c r="AF157" s="249"/>
      <c r="AG157" s="249"/>
      <c r="AJ157" s="249"/>
      <c r="AM157" s="249"/>
      <c r="AP157" s="249"/>
      <c r="AS157" s="249"/>
      <c r="AV157" s="249"/>
      <c r="AY157" s="249"/>
      <c r="BB157" s="249"/>
      <c r="BE157" s="249"/>
      <c r="BH157" s="249"/>
      <c r="BK157" s="249"/>
      <c r="BN157" s="249"/>
      <c r="BQ157" s="249"/>
      <c r="BT157" s="249"/>
      <c r="BW157" s="249"/>
      <c r="BZ157" s="249"/>
      <c r="CC157" s="249"/>
      <c r="CF157" s="249"/>
      <c r="CI157" s="249"/>
      <c r="CL157" s="249"/>
      <c r="CO157" s="249"/>
      <c r="CR157" s="249"/>
      <c r="CU157" s="249"/>
      <c r="CX157" s="249"/>
      <c r="DA157" s="249"/>
      <c r="DD157" s="249"/>
      <c r="DG157" s="249"/>
      <c r="DJ157" s="249"/>
      <c r="DM157" s="249"/>
      <c r="DP157" s="249"/>
      <c r="DS157" s="249"/>
      <c r="DV157" s="249"/>
      <c r="DY157" s="249"/>
      <c r="EB157" s="249"/>
      <c r="EE157" s="249"/>
      <c r="EH157" s="249"/>
      <c r="EK157" s="249"/>
      <c r="EN157" s="249"/>
      <c r="EQ157" s="249"/>
      <c r="ET157" s="249"/>
      <c r="EW157" s="249"/>
      <c r="EZ157" s="249"/>
      <c r="FC157" s="249"/>
      <c r="FF157" s="249"/>
      <c r="FI157" s="249"/>
      <c r="FL157" s="249"/>
      <c r="FO157" s="249"/>
      <c r="FR157" s="249"/>
      <c r="FU157" s="249"/>
      <c r="FX157" s="249"/>
      <c r="GA157" s="249"/>
      <c r="GD157" s="249"/>
      <c r="GG157" s="249"/>
      <c r="GJ157" s="249"/>
      <c r="GM157" s="249"/>
      <c r="GP157" s="249"/>
      <c r="GS157" s="249"/>
      <c r="GV157" s="249"/>
      <c r="GY157" s="249"/>
      <c r="HB157" s="249"/>
      <c r="HE157" s="249"/>
    </row>
    <row r="158" spans="1:213" x14ac:dyDescent="0.2">
      <c r="A158" s="262" t="s">
        <v>387</v>
      </c>
      <c r="B158" s="284">
        <v>350</v>
      </c>
      <c r="C158" s="262" t="s">
        <v>26</v>
      </c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W158" s="249"/>
      <c r="Z158" s="249"/>
      <c r="AC158" s="249"/>
      <c r="AD158" s="249"/>
      <c r="AE158" s="249"/>
      <c r="AF158" s="249"/>
      <c r="AG158" s="249"/>
      <c r="AJ158" s="249"/>
      <c r="AM158" s="249"/>
      <c r="AP158" s="249"/>
      <c r="AS158" s="249"/>
      <c r="AV158" s="249"/>
      <c r="AY158" s="249"/>
      <c r="BB158" s="249"/>
      <c r="BE158" s="249"/>
      <c r="BH158" s="249"/>
      <c r="BK158" s="249"/>
      <c r="BN158" s="249"/>
      <c r="BQ158" s="249"/>
      <c r="BT158" s="249"/>
      <c r="BW158" s="249"/>
      <c r="BZ158" s="249"/>
      <c r="CC158" s="249"/>
      <c r="CF158" s="249"/>
      <c r="CI158" s="249"/>
      <c r="CL158" s="249"/>
      <c r="CO158" s="249"/>
      <c r="CR158" s="249"/>
      <c r="CU158" s="249"/>
      <c r="CX158" s="249"/>
      <c r="DA158" s="249"/>
      <c r="DD158" s="249"/>
      <c r="DG158" s="249"/>
      <c r="DJ158" s="249"/>
      <c r="DM158" s="249"/>
      <c r="DP158" s="249"/>
      <c r="DS158" s="249"/>
      <c r="DV158" s="249"/>
      <c r="DY158" s="249"/>
      <c r="EB158" s="249"/>
      <c r="EE158" s="249"/>
      <c r="EH158" s="249"/>
      <c r="EK158" s="249"/>
      <c r="EN158" s="249"/>
      <c r="EQ158" s="249"/>
      <c r="ET158" s="249"/>
      <c r="EW158" s="249"/>
      <c r="EZ158" s="249"/>
      <c r="FC158" s="249"/>
      <c r="FF158" s="249"/>
      <c r="FI158" s="249"/>
      <c r="FL158" s="249"/>
      <c r="FO158" s="249"/>
      <c r="FR158" s="249"/>
      <c r="FU158" s="249"/>
      <c r="FX158" s="249"/>
      <c r="GA158" s="249"/>
      <c r="GD158" s="249"/>
      <c r="GG158" s="249"/>
      <c r="GJ158" s="249"/>
      <c r="GM158" s="249"/>
      <c r="GP158" s="249"/>
      <c r="GS158" s="249"/>
      <c r="GV158" s="249"/>
      <c r="GY158" s="249"/>
      <c r="HB158" s="249"/>
      <c r="HE158" s="249"/>
    </row>
    <row r="159" spans="1:213" x14ac:dyDescent="0.2">
      <c r="A159" s="262" t="s">
        <v>388</v>
      </c>
      <c r="B159" s="284">
        <v>350</v>
      </c>
      <c r="C159" s="262" t="s">
        <v>26</v>
      </c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W159" s="249"/>
      <c r="Z159" s="249"/>
      <c r="AC159" s="249"/>
      <c r="AD159" s="249"/>
      <c r="AE159" s="249"/>
      <c r="AF159" s="249"/>
      <c r="AG159" s="249"/>
      <c r="AJ159" s="249"/>
      <c r="AM159" s="249"/>
      <c r="AP159" s="249"/>
      <c r="AS159" s="249"/>
      <c r="AV159" s="249"/>
      <c r="AY159" s="249"/>
      <c r="BB159" s="249"/>
      <c r="BE159" s="249"/>
      <c r="BH159" s="249"/>
      <c r="BK159" s="249"/>
      <c r="BN159" s="249"/>
      <c r="BQ159" s="249"/>
      <c r="BT159" s="249"/>
      <c r="BW159" s="249"/>
      <c r="BZ159" s="249"/>
      <c r="CC159" s="249"/>
      <c r="CF159" s="249"/>
      <c r="CI159" s="249"/>
      <c r="CL159" s="249"/>
      <c r="CO159" s="249"/>
      <c r="CR159" s="249"/>
      <c r="CU159" s="249"/>
      <c r="CX159" s="249"/>
      <c r="DA159" s="249"/>
      <c r="DD159" s="249"/>
      <c r="DG159" s="249"/>
      <c r="DJ159" s="249"/>
      <c r="DM159" s="249"/>
      <c r="DP159" s="249"/>
      <c r="DS159" s="249"/>
      <c r="DV159" s="249"/>
      <c r="DY159" s="249"/>
      <c r="EB159" s="249"/>
      <c r="EE159" s="249"/>
      <c r="EH159" s="249"/>
      <c r="EK159" s="249"/>
      <c r="EN159" s="249"/>
      <c r="EQ159" s="249"/>
      <c r="ET159" s="249"/>
      <c r="EW159" s="249"/>
      <c r="EZ159" s="249"/>
      <c r="FC159" s="249"/>
      <c r="FF159" s="249"/>
      <c r="FI159" s="249"/>
      <c r="FL159" s="249"/>
      <c r="FO159" s="249"/>
      <c r="FR159" s="249"/>
      <c r="FU159" s="249"/>
      <c r="FX159" s="249"/>
      <c r="GA159" s="249"/>
      <c r="GD159" s="249"/>
      <c r="GG159" s="249"/>
      <c r="GJ159" s="249"/>
      <c r="GM159" s="249"/>
      <c r="GP159" s="249"/>
      <c r="GS159" s="249"/>
      <c r="GV159" s="249"/>
      <c r="GY159" s="249"/>
      <c r="HB159" s="249"/>
      <c r="HE159" s="249"/>
    </row>
    <row r="160" spans="1:213" x14ac:dyDescent="0.2">
      <c r="A160" s="262" t="s">
        <v>389</v>
      </c>
      <c r="B160" s="283">
        <v>24</v>
      </c>
      <c r="C160" s="263" t="s">
        <v>224</v>
      </c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W160" s="249"/>
      <c r="Z160" s="249"/>
      <c r="AC160" s="249"/>
      <c r="AD160" s="249"/>
      <c r="AE160" s="249"/>
      <c r="AF160" s="249"/>
      <c r="AG160" s="249"/>
      <c r="AJ160" s="249"/>
      <c r="AM160" s="249"/>
      <c r="AP160" s="249"/>
      <c r="AS160" s="249"/>
      <c r="AV160" s="249"/>
      <c r="AY160" s="249"/>
      <c r="BB160" s="249"/>
      <c r="BE160" s="249"/>
      <c r="BH160" s="249"/>
      <c r="BK160" s="249"/>
      <c r="BN160" s="249"/>
      <c r="BQ160" s="249"/>
      <c r="BT160" s="249"/>
      <c r="BW160" s="249"/>
      <c r="BZ160" s="249"/>
      <c r="CC160" s="249"/>
      <c r="CF160" s="249"/>
      <c r="CI160" s="249"/>
      <c r="CL160" s="249"/>
      <c r="CO160" s="249"/>
      <c r="CR160" s="249"/>
      <c r="CU160" s="249"/>
      <c r="CX160" s="249"/>
      <c r="DA160" s="249"/>
      <c r="DD160" s="249"/>
      <c r="DG160" s="249"/>
      <c r="DJ160" s="249"/>
      <c r="DM160" s="249"/>
      <c r="DP160" s="249"/>
      <c r="DS160" s="249"/>
      <c r="DV160" s="249"/>
      <c r="DY160" s="249"/>
      <c r="EB160" s="249"/>
      <c r="EE160" s="249"/>
      <c r="EH160" s="249"/>
      <c r="EK160" s="249"/>
      <c r="EN160" s="249"/>
      <c r="EQ160" s="249"/>
      <c r="ET160" s="249"/>
      <c r="EW160" s="249"/>
      <c r="EZ160" s="249"/>
      <c r="FC160" s="249"/>
      <c r="FF160" s="249"/>
      <c r="FI160" s="249"/>
      <c r="FL160" s="249"/>
      <c r="FO160" s="249"/>
      <c r="FR160" s="249"/>
      <c r="FU160" s="249"/>
      <c r="FX160" s="249"/>
      <c r="GA160" s="249"/>
      <c r="GD160" s="249"/>
      <c r="GG160" s="249"/>
      <c r="GJ160" s="249"/>
      <c r="GM160" s="249"/>
      <c r="GP160" s="249"/>
      <c r="GS160" s="249"/>
      <c r="GV160" s="249"/>
      <c r="GY160" s="249"/>
      <c r="HB160" s="249"/>
      <c r="HE160" s="249"/>
    </row>
    <row r="161" spans="1:213" x14ac:dyDescent="0.2">
      <c r="A161" s="262" t="s">
        <v>390</v>
      </c>
      <c r="B161" s="283">
        <v>24</v>
      </c>
      <c r="C161" s="263" t="s">
        <v>224</v>
      </c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W161" s="249"/>
      <c r="Z161" s="249"/>
      <c r="AC161" s="249"/>
      <c r="AD161" s="249"/>
      <c r="AE161" s="249"/>
      <c r="AF161" s="249"/>
      <c r="AG161" s="249"/>
      <c r="AJ161" s="249"/>
      <c r="AM161" s="249"/>
      <c r="AP161" s="249"/>
      <c r="AS161" s="249"/>
      <c r="AV161" s="249"/>
      <c r="AY161" s="249"/>
      <c r="BB161" s="249"/>
      <c r="BE161" s="249"/>
      <c r="BH161" s="249"/>
      <c r="BK161" s="249"/>
      <c r="BN161" s="249"/>
      <c r="BQ161" s="249"/>
      <c r="BT161" s="249"/>
      <c r="BW161" s="249"/>
      <c r="BZ161" s="249"/>
      <c r="CC161" s="249"/>
      <c r="CF161" s="249"/>
      <c r="CI161" s="249"/>
      <c r="CL161" s="249"/>
      <c r="CO161" s="249"/>
      <c r="CR161" s="249"/>
      <c r="CU161" s="249"/>
      <c r="CX161" s="249"/>
      <c r="DA161" s="249"/>
      <c r="DD161" s="249"/>
      <c r="DG161" s="249"/>
      <c r="DJ161" s="249"/>
      <c r="DM161" s="249"/>
      <c r="DP161" s="249"/>
      <c r="DS161" s="249"/>
      <c r="DV161" s="249"/>
      <c r="DY161" s="249"/>
      <c r="EB161" s="249"/>
      <c r="EE161" s="249"/>
      <c r="EH161" s="249"/>
      <c r="EK161" s="249"/>
      <c r="EN161" s="249"/>
      <c r="EQ161" s="249"/>
      <c r="ET161" s="249"/>
      <c r="EW161" s="249"/>
      <c r="EZ161" s="249"/>
      <c r="FC161" s="249"/>
      <c r="FF161" s="249"/>
      <c r="FI161" s="249"/>
      <c r="FL161" s="249"/>
      <c r="FO161" s="249"/>
      <c r="FR161" s="249"/>
      <c r="FU161" s="249"/>
      <c r="FX161" s="249"/>
      <c r="GA161" s="249"/>
      <c r="GD161" s="249"/>
      <c r="GG161" s="249"/>
      <c r="GJ161" s="249"/>
      <c r="GM161" s="249"/>
      <c r="GP161" s="249"/>
      <c r="GS161" s="249"/>
      <c r="GV161" s="249"/>
      <c r="GY161" s="249"/>
      <c r="HB161" s="249"/>
      <c r="HE161" s="249"/>
    </row>
    <row r="162" spans="1:213" x14ac:dyDescent="0.2">
      <c r="A162" s="262" t="s">
        <v>396</v>
      </c>
      <c r="B162" s="283">
        <v>24</v>
      </c>
      <c r="C162" s="263" t="s">
        <v>224</v>
      </c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W162" s="249"/>
      <c r="Z162" s="249"/>
      <c r="AC162" s="249"/>
      <c r="AD162" s="249"/>
      <c r="AE162" s="249"/>
      <c r="AF162" s="249"/>
      <c r="AG162" s="249"/>
      <c r="AJ162" s="249"/>
      <c r="AM162" s="249"/>
      <c r="AP162" s="249"/>
      <c r="AS162" s="249"/>
      <c r="AV162" s="249"/>
      <c r="AY162" s="249"/>
      <c r="BB162" s="249"/>
      <c r="BE162" s="249"/>
      <c r="BH162" s="249"/>
      <c r="BK162" s="249"/>
      <c r="BN162" s="249"/>
      <c r="BQ162" s="249"/>
      <c r="BT162" s="249"/>
      <c r="BW162" s="249"/>
      <c r="BZ162" s="249"/>
      <c r="CC162" s="249"/>
      <c r="CF162" s="249"/>
      <c r="CI162" s="249"/>
      <c r="CL162" s="249"/>
      <c r="CO162" s="249"/>
      <c r="CR162" s="249"/>
      <c r="CU162" s="249"/>
      <c r="CX162" s="249"/>
      <c r="DA162" s="249"/>
      <c r="DD162" s="249"/>
      <c r="DG162" s="249"/>
      <c r="DJ162" s="249"/>
      <c r="DM162" s="249"/>
      <c r="DP162" s="249"/>
      <c r="DS162" s="249"/>
      <c r="DV162" s="249"/>
      <c r="DY162" s="249"/>
      <c r="EB162" s="249"/>
      <c r="EE162" s="249"/>
      <c r="EH162" s="249"/>
      <c r="EK162" s="249"/>
      <c r="EN162" s="249"/>
      <c r="EQ162" s="249"/>
      <c r="ET162" s="249"/>
      <c r="EW162" s="249"/>
      <c r="EZ162" s="249"/>
      <c r="FC162" s="249"/>
      <c r="FF162" s="249"/>
      <c r="FI162" s="249"/>
      <c r="FL162" s="249"/>
      <c r="FO162" s="249"/>
      <c r="FR162" s="249"/>
      <c r="FU162" s="249"/>
      <c r="FX162" s="249"/>
      <c r="GA162" s="249"/>
      <c r="GD162" s="249"/>
      <c r="GG162" s="249"/>
      <c r="GJ162" s="249"/>
      <c r="GM162" s="249"/>
      <c r="GP162" s="249"/>
      <c r="GS162" s="249"/>
      <c r="GV162" s="249"/>
      <c r="GY162" s="249"/>
      <c r="HB162" s="249"/>
      <c r="HE162" s="249"/>
    </row>
    <row r="163" spans="1:213" x14ac:dyDescent="0.2">
      <c r="A163" s="249" t="s">
        <v>393</v>
      </c>
      <c r="B163" s="283">
        <v>0.54</v>
      </c>
      <c r="C163" s="267" t="s">
        <v>395</v>
      </c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W163" s="249"/>
      <c r="Z163" s="249"/>
      <c r="AC163" s="249"/>
      <c r="AD163" s="249"/>
      <c r="AE163" s="249"/>
      <c r="AF163" s="249"/>
      <c r="AG163" s="249"/>
      <c r="AJ163" s="249"/>
      <c r="AM163" s="249"/>
      <c r="AP163" s="249"/>
      <c r="AS163" s="249"/>
      <c r="AV163" s="249"/>
      <c r="AY163" s="249"/>
      <c r="BB163" s="249"/>
      <c r="BE163" s="249"/>
      <c r="BH163" s="249"/>
      <c r="BK163" s="249"/>
      <c r="BN163" s="249"/>
      <c r="BQ163" s="249"/>
      <c r="BT163" s="249"/>
      <c r="BW163" s="249"/>
      <c r="BZ163" s="249"/>
      <c r="CC163" s="249"/>
      <c r="CF163" s="249"/>
      <c r="CI163" s="249"/>
      <c r="CL163" s="249"/>
      <c r="CO163" s="249"/>
      <c r="CR163" s="249"/>
      <c r="CU163" s="249"/>
      <c r="CX163" s="249"/>
      <c r="DA163" s="249"/>
      <c r="DD163" s="249"/>
      <c r="DG163" s="249"/>
      <c r="DJ163" s="249"/>
      <c r="DM163" s="249"/>
      <c r="DP163" s="249"/>
      <c r="DS163" s="249"/>
      <c r="DV163" s="249"/>
      <c r="DY163" s="249"/>
      <c r="EB163" s="249"/>
      <c r="EE163" s="249"/>
      <c r="EH163" s="249"/>
      <c r="EK163" s="249"/>
      <c r="EN163" s="249"/>
      <c r="EQ163" s="249"/>
      <c r="ET163" s="249"/>
      <c r="EW163" s="249"/>
      <c r="EZ163" s="249"/>
      <c r="FC163" s="249"/>
      <c r="FF163" s="249"/>
      <c r="FI163" s="249"/>
      <c r="FL163" s="249"/>
      <c r="FO163" s="249"/>
      <c r="FR163" s="249"/>
      <c r="FU163" s="249"/>
      <c r="FX163" s="249"/>
      <c r="GA163" s="249"/>
      <c r="GD163" s="249"/>
      <c r="GG163" s="249"/>
      <c r="GJ163" s="249"/>
      <c r="GM163" s="249"/>
      <c r="GP163" s="249"/>
      <c r="GS163" s="249"/>
      <c r="GV163" s="249"/>
      <c r="GY163" s="249"/>
      <c r="HB163" s="249"/>
      <c r="HE163" s="249"/>
    </row>
    <row r="164" spans="1:213" x14ac:dyDescent="0.2">
      <c r="A164" s="249" t="s">
        <v>394</v>
      </c>
      <c r="B164" s="283">
        <v>0.71</v>
      </c>
      <c r="C164" s="267" t="s">
        <v>395</v>
      </c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W164" s="249"/>
      <c r="Z164" s="249"/>
      <c r="AC164" s="249"/>
      <c r="AD164" s="249"/>
      <c r="AE164" s="249"/>
      <c r="AF164" s="249"/>
      <c r="AG164" s="249"/>
      <c r="AJ164" s="249"/>
      <c r="AM164" s="249"/>
      <c r="AP164" s="249"/>
      <c r="AS164" s="249"/>
      <c r="AV164" s="249"/>
      <c r="AY164" s="249"/>
      <c r="BB164" s="249"/>
      <c r="BE164" s="249"/>
      <c r="BH164" s="249"/>
      <c r="BK164" s="249"/>
      <c r="BN164" s="249"/>
      <c r="BQ164" s="249"/>
      <c r="BT164" s="249"/>
      <c r="BW164" s="249"/>
      <c r="BZ164" s="249"/>
      <c r="CC164" s="249"/>
      <c r="CF164" s="249"/>
      <c r="CI164" s="249"/>
      <c r="CL164" s="249"/>
      <c r="CO164" s="249"/>
      <c r="CR164" s="249"/>
      <c r="CU164" s="249"/>
      <c r="CX164" s="249"/>
      <c r="DA164" s="249"/>
      <c r="DD164" s="249"/>
      <c r="DG164" s="249"/>
      <c r="DJ164" s="249"/>
      <c r="DM164" s="249"/>
      <c r="DP164" s="249"/>
      <c r="DS164" s="249"/>
      <c r="DV164" s="249"/>
      <c r="DY164" s="249"/>
      <c r="EB164" s="249"/>
      <c r="EE164" s="249"/>
      <c r="EH164" s="249"/>
      <c r="EK164" s="249"/>
      <c r="EN164" s="249"/>
      <c r="EQ164" s="249"/>
      <c r="ET164" s="249"/>
      <c r="EW164" s="249"/>
      <c r="EZ164" s="249"/>
      <c r="FC164" s="249"/>
      <c r="FF164" s="249"/>
      <c r="FI164" s="249"/>
      <c r="FL164" s="249"/>
      <c r="FO164" s="249"/>
      <c r="FR164" s="249"/>
      <c r="FU164" s="249"/>
      <c r="FX164" s="249"/>
      <c r="GA164" s="249"/>
      <c r="GD164" s="249"/>
      <c r="GG164" s="249"/>
      <c r="GJ164" s="249"/>
      <c r="GM164" s="249"/>
      <c r="GP164" s="249"/>
      <c r="GS164" s="249"/>
      <c r="GV164" s="249"/>
      <c r="GY164" s="249"/>
      <c r="HB164" s="249"/>
      <c r="HE164" s="249"/>
    </row>
    <row r="165" spans="1:213" x14ac:dyDescent="0.2">
      <c r="A165" s="262" t="s">
        <v>391</v>
      </c>
      <c r="B165" s="283">
        <v>12.167999999999999</v>
      </c>
      <c r="C165" s="263" t="s">
        <v>224</v>
      </c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W165" s="249"/>
      <c r="Z165" s="249"/>
      <c r="AC165" s="249"/>
      <c r="AD165" s="249"/>
      <c r="AE165" s="249"/>
      <c r="AF165" s="249"/>
      <c r="AG165" s="249"/>
      <c r="AJ165" s="249"/>
      <c r="AM165" s="249"/>
      <c r="AP165" s="249"/>
      <c r="AS165" s="249"/>
      <c r="AV165" s="249"/>
      <c r="AY165" s="249"/>
      <c r="BB165" s="249"/>
      <c r="BE165" s="249"/>
      <c r="BH165" s="249"/>
      <c r="BK165" s="249"/>
      <c r="BN165" s="249"/>
      <c r="BQ165" s="249"/>
      <c r="BT165" s="249"/>
      <c r="BW165" s="249"/>
      <c r="BZ165" s="249"/>
      <c r="CC165" s="249"/>
      <c r="CF165" s="249"/>
      <c r="CI165" s="249"/>
      <c r="CL165" s="249"/>
      <c r="CO165" s="249"/>
      <c r="CR165" s="249"/>
      <c r="CU165" s="249"/>
      <c r="CX165" s="249"/>
      <c r="DA165" s="249"/>
      <c r="DD165" s="249"/>
      <c r="DG165" s="249"/>
      <c r="DJ165" s="249"/>
      <c r="DM165" s="249"/>
      <c r="DP165" s="249"/>
      <c r="DS165" s="249"/>
      <c r="DV165" s="249"/>
      <c r="DY165" s="249"/>
      <c r="EB165" s="249"/>
      <c r="EE165" s="249"/>
      <c r="EH165" s="249"/>
      <c r="EK165" s="249"/>
      <c r="EN165" s="249"/>
      <c r="EQ165" s="249"/>
      <c r="ET165" s="249"/>
      <c r="EW165" s="249"/>
      <c r="EZ165" s="249"/>
      <c r="FC165" s="249"/>
      <c r="FF165" s="249"/>
      <c r="FI165" s="249"/>
      <c r="FL165" s="249"/>
      <c r="FO165" s="249"/>
      <c r="FR165" s="249"/>
      <c r="FU165" s="249"/>
      <c r="FX165" s="249"/>
      <c r="GA165" s="249"/>
      <c r="GD165" s="249"/>
      <c r="GG165" s="249"/>
      <c r="GJ165" s="249"/>
      <c r="GM165" s="249"/>
      <c r="GP165" s="249"/>
      <c r="GS165" s="249"/>
      <c r="GV165" s="249"/>
      <c r="GY165" s="249"/>
      <c r="HB165" s="249"/>
      <c r="HE165" s="249"/>
    </row>
    <row r="166" spans="1:213" x14ac:dyDescent="0.2">
      <c r="A166" s="262" t="s">
        <v>392</v>
      </c>
      <c r="B166" s="283">
        <v>10.007999999999999</v>
      </c>
      <c r="C166" s="263" t="s">
        <v>224</v>
      </c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W166" s="249"/>
      <c r="Z166" s="249"/>
      <c r="AC166" s="249"/>
      <c r="AD166" s="249"/>
      <c r="AE166" s="249"/>
      <c r="AF166" s="249"/>
      <c r="AG166" s="249"/>
      <c r="AJ166" s="249"/>
      <c r="AM166" s="249"/>
      <c r="AP166" s="249"/>
      <c r="AS166" s="249"/>
      <c r="AV166" s="249"/>
      <c r="AY166" s="249"/>
      <c r="BB166" s="249"/>
      <c r="BE166" s="249"/>
      <c r="BH166" s="249"/>
      <c r="BK166" s="249"/>
      <c r="BN166" s="249"/>
      <c r="BQ166" s="249"/>
      <c r="BT166" s="249"/>
      <c r="BW166" s="249"/>
      <c r="BZ166" s="249"/>
      <c r="CC166" s="249"/>
      <c r="CF166" s="249"/>
      <c r="CI166" s="249"/>
      <c r="CL166" s="249"/>
      <c r="CO166" s="249"/>
      <c r="CR166" s="249"/>
      <c r="CU166" s="249"/>
      <c r="CX166" s="249"/>
      <c r="DA166" s="249"/>
      <c r="DD166" s="249"/>
      <c r="DG166" s="249"/>
      <c r="DJ166" s="249"/>
      <c r="DM166" s="249"/>
      <c r="DP166" s="249"/>
      <c r="DS166" s="249"/>
      <c r="DV166" s="249"/>
      <c r="DY166" s="249"/>
      <c r="EB166" s="249"/>
      <c r="EE166" s="249"/>
      <c r="EH166" s="249"/>
      <c r="EK166" s="249"/>
      <c r="EN166" s="249"/>
      <c r="EQ166" s="249"/>
      <c r="ET166" s="249"/>
      <c r="EW166" s="249"/>
      <c r="EZ166" s="249"/>
      <c r="FC166" s="249"/>
      <c r="FF166" s="249"/>
      <c r="FI166" s="249"/>
      <c r="FL166" s="249"/>
      <c r="FO166" s="249"/>
      <c r="FR166" s="249"/>
      <c r="FU166" s="249"/>
      <c r="FX166" s="249"/>
      <c r="GA166" s="249"/>
      <c r="GD166" s="249"/>
      <c r="GG166" s="249"/>
      <c r="GJ166" s="249"/>
      <c r="GM166" s="249"/>
      <c r="GP166" s="249"/>
      <c r="GS166" s="249"/>
      <c r="GV166" s="249"/>
      <c r="GY166" s="249"/>
      <c r="HB166" s="249"/>
      <c r="HE166" s="249"/>
    </row>
    <row r="167" spans="1:213" x14ac:dyDescent="0.2">
      <c r="A167" s="262" t="s">
        <v>397</v>
      </c>
      <c r="B167" s="283">
        <v>1</v>
      </c>
      <c r="C167" s="267" t="s">
        <v>166</v>
      </c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W167" s="249"/>
      <c r="Z167" s="249"/>
      <c r="AC167" s="249"/>
      <c r="AD167" s="249"/>
      <c r="AE167" s="249"/>
      <c r="AF167" s="249"/>
      <c r="AG167" s="249"/>
      <c r="AJ167" s="249"/>
      <c r="AM167" s="249"/>
      <c r="AP167" s="249"/>
      <c r="AS167" s="249"/>
      <c r="AV167" s="249"/>
      <c r="AY167" s="249"/>
      <c r="BB167" s="249"/>
      <c r="BE167" s="249"/>
      <c r="BH167" s="249"/>
      <c r="BK167" s="249"/>
      <c r="BN167" s="249"/>
      <c r="BQ167" s="249"/>
      <c r="BT167" s="249"/>
      <c r="BW167" s="249"/>
      <c r="BZ167" s="249"/>
      <c r="CC167" s="249"/>
      <c r="CF167" s="249"/>
      <c r="CI167" s="249"/>
      <c r="CL167" s="249"/>
      <c r="CO167" s="249"/>
      <c r="CR167" s="249"/>
      <c r="CU167" s="249"/>
      <c r="CX167" s="249"/>
      <c r="DA167" s="249"/>
      <c r="DD167" s="249"/>
      <c r="DG167" s="249"/>
      <c r="DJ167" s="249"/>
      <c r="DM167" s="249"/>
      <c r="DP167" s="249"/>
      <c r="DS167" s="249"/>
      <c r="DV167" s="249"/>
      <c r="DY167" s="249"/>
      <c r="EB167" s="249"/>
      <c r="EE167" s="249"/>
      <c r="EH167" s="249"/>
      <c r="EK167" s="249"/>
      <c r="EN167" s="249"/>
      <c r="EQ167" s="249"/>
      <c r="ET167" s="249"/>
      <c r="EW167" s="249"/>
      <c r="EZ167" s="249"/>
      <c r="FC167" s="249"/>
      <c r="FF167" s="249"/>
      <c r="FI167" s="249"/>
      <c r="FL167" s="249"/>
      <c r="FO167" s="249"/>
      <c r="FR167" s="249"/>
      <c r="FU167" s="249"/>
      <c r="FX167" s="249"/>
      <c r="GA167" s="249"/>
      <c r="GD167" s="249"/>
      <c r="GG167" s="249"/>
      <c r="GJ167" s="249"/>
      <c r="GM167" s="249"/>
      <c r="GP167" s="249"/>
      <c r="GS167" s="249"/>
      <c r="GV167" s="249"/>
      <c r="GY167" s="249"/>
      <c r="HB167" s="249"/>
      <c r="HE167" s="249"/>
    </row>
    <row r="168" spans="1:213" x14ac:dyDescent="0.2">
      <c r="A168" s="262" t="s">
        <v>398</v>
      </c>
      <c r="B168" s="283">
        <v>1</v>
      </c>
      <c r="C168" s="267" t="s">
        <v>166</v>
      </c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W168" s="249"/>
      <c r="Z168" s="249"/>
      <c r="AC168" s="249"/>
      <c r="AD168" s="249"/>
      <c r="AE168" s="249"/>
      <c r="AF168" s="249"/>
      <c r="AG168" s="249"/>
      <c r="AJ168" s="249"/>
      <c r="AM168" s="249"/>
      <c r="AP168" s="249"/>
      <c r="AS168" s="249"/>
      <c r="AV168" s="249"/>
      <c r="AY168" s="249"/>
      <c r="BB168" s="249"/>
      <c r="BE168" s="249"/>
      <c r="BH168" s="249"/>
      <c r="BK168" s="249"/>
      <c r="BN168" s="249"/>
      <c r="BQ168" s="249"/>
      <c r="BT168" s="249"/>
      <c r="BW168" s="249"/>
      <c r="BZ168" s="249"/>
      <c r="CC168" s="249"/>
      <c r="CF168" s="249"/>
      <c r="CI168" s="249"/>
      <c r="CL168" s="249"/>
      <c r="CO168" s="249"/>
      <c r="CR168" s="249"/>
      <c r="CU168" s="249"/>
      <c r="CX168" s="249"/>
      <c r="DA168" s="249"/>
      <c r="DD168" s="249"/>
      <c r="DG168" s="249"/>
      <c r="DJ168" s="249"/>
      <c r="DM168" s="249"/>
      <c r="DP168" s="249"/>
      <c r="DS168" s="249"/>
      <c r="DV168" s="249"/>
      <c r="DY168" s="249"/>
      <c r="EB168" s="249"/>
      <c r="EE168" s="249"/>
      <c r="EH168" s="249"/>
      <c r="EK168" s="249"/>
      <c r="EN168" s="249"/>
      <c r="EQ168" s="249"/>
      <c r="ET168" s="249"/>
      <c r="EW168" s="249"/>
      <c r="EZ168" s="249"/>
      <c r="FC168" s="249"/>
      <c r="FF168" s="249"/>
      <c r="FI168" s="249"/>
      <c r="FL168" s="249"/>
      <c r="FO168" s="249"/>
      <c r="FR168" s="249"/>
      <c r="FU168" s="249"/>
      <c r="FX168" s="249"/>
      <c r="GA168" s="249"/>
      <c r="GD168" s="249"/>
      <c r="GG168" s="249"/>
      <c r="GJ168" s="249"/>
      <c r="GM168" s="249"/>
      <c r="GP168" s="249"/>
      <c r="GS168" s="249"/>
      <c r="GV168" s="249"/>
      <c r="GY168" s="249"/>
      <c r="HB168" s="249"/>
      <c r="HE168" s="249"/>
    </row>
    <row r="169" spans="1:213" x14ac:dyDescent="0.2">
      <c r="A169" s="262" t="s">
        <v>103</v>
      </c>
      <c r="B169" s="283">
        <v>0.4</v>
      </c>
      <c r="C169" s="247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W169" s="249"/>
      <c r="Z169" s="249"/>
      <c r="AC169" s="249"/>
      <c r="AD169" s="249"/>
      <c r="AE169" s="249"/>
      <c r="AF169" s="249"/>
      <c r="AG169" s="249"/>
      <c r="AJ169" s="249"/>
      <c r="AM169" s="249"/>
      <c r="AP169" s="249"/>
      <c r="AS169" s="249"/>
      <c r="AV169" s="249"/>
      <c r="AY169" s="249"/>
      <c r="BB169" s="249"/>
      <c r="BE169" s="249"/>
      <c r="BH169" s="249"/>
      <c r="BK169" s="249"/>
      <c r="BN169" s="249"/>
      <c r="BQ169" s="249"/>
      <c r="BT169" s="249"/>
      <c r="BW169" s="249"/>
      <c r="BZ169" s="249"/>
      <c r="CC169" s="249"/>
      <c r="CF169" s="249"/>
      <c r="CI169" s="249"/>
      <c r="CL169" s="249"/>
      <c r="CO169" s="249"/>
      <c r="CR169" s="249"/>
      <c r="CU169" s="249"/>
      <c r="CX169" s="249"/>
      <c r="DA169" s="249"/>
      <c r="DD169" s="249"/>
      <c r="DG169" s="249"/>
      <c r="DJ169" s="249"/>
      <c r="DM169" s="249"/>
      <c r="DP169" s="249"/>
      <c r="DS169" s="249"/>
      <c r="DV169" s="249"/>
      <c r="DY169" s="249"/>
      <c r="EB169" s="249"/>
      <c r="EE169" s="249"/>
      <c r="EH169" s="249"/>
      <c r="EK169" s="249"/>
      <c r="EN169" s="249"/>
      <c r="EQ169" s="249"/>
      <c r="ET169" s="249"/>
      <c r="EW169" s="249"/>
      <c r="EZ169" s="249"/>
      <c r="FC169" s="249"/>
      <c r="FF169" s="249"/>
      <c r="FI169" s="249"/>
      <c r="FL169" s="249"/>
      <c r="FO169" s="249"/>
      <c r="FR169" s="249"/>
      <c r="FU169" s="249"/>
      <c r="FX169" s="249"/>
      <c r="GA169" s="249"/>
      <c r="GD169" s="249"/>
      <c r="GG169" s="249"/>
      <c r="GJ169" s="249"/>
      <c r="GM169" s="249"/>
      <c r="GP169" s="249"/>
      <c r="GS169" s="249"/>
      <c r="GV169" s="249"/>
      <c r="GY169" s="249"/>
      <c r="HB169" s="249"/>
      <c r="HE169" s="249"/>
    </row>
    <row r="170" spans="1:213" x14ac:dyDescent="0.2">
      <c r="A170" s="262" t="s">
        <v>158</v>
      </c>
      <c r="B170" s="283">
        <v>0.4</v>
      </c>
      <c r="C170" s="247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W170" s="249"/>
      <c r="Z170" s="249"/>
      <c r="AC170" s="249"/>
      <c r="AD170" s="249"/>
      <c r="AE170" s="249"/>
      <c r="AF170" s="249"/>
      <c r="AG170" s="249"/>
      <c r="AJ170" s="249"/>
      <c r="AM170" s="249"/>
      <c r="AP170" s="249"/>
      <c r="AS170" s="249"/>
      <c r="AV170" s="249"/>
      <c r="AY170" s="249"/>
      <c r="BB170" s="249"/>
      <c r="BE170" s="249"/>
      <c r="BH170" s="249"/>
      <c r="BK170" s="249"/>
      <c r="BN170" s="249"/>
      <c r="BQ170" s="249"/>
      <c r="BT170" s="249"/>
      <c r="BW170" s="249"/>
      <c r="BZ170" s="249"/>
      <c r="CC170" s="249"/>
      <c r="CF170" s="249"/>
      <c r="CI170" s="249"/>
      <c r="CL170" s="249"/>
      <c r="CO170" s="249"/>
      <c r="CR170" s="249"/>
      <c r="CU170" s="249"/>
      <c r="CX170" s="249"/>
      <c r="DA170" s="249"/>
      <c r="DD170" s="249"/>
      <c r="DG170" s="249"/>
      <c r="DJ170" s="249"/>
      <c r="DM170" s="249"/>
      <c r="DP170" s="249"/>
      <c r="DS170" s="249"/>
      <c r="DV170" s="249"/>
      <c r="DY170" s="249"/>
      <c r="EB170" s="249"/>
      <c r="EE170" s="249"/>
      <c r="EH170" s="249"/>
      <c r="EK170" s="249"/>
      <c r="EN170" s="249"/>
      <c r="EQ170" s="249"/>
      <c r="ET170" s="249"/>
      <c r="EW170" s="249"/>
      <c r="EZ170" s="249"/>
      <c r="FC170" s="249"/>
      <c r="FF170" s="249"/>
      <c r="FI170" s="249"/>
      <c r="FL170" s="249"/>
      <c r="FO170" s="249"/>
      <c r="FR170" s="249"/>
      <c r="FU170" s="249"/>
      <c r="FX170" s="249"/>
      <c r="GA170" s="249"/>
      <c r="GD170" s="249"/>
      <c r="GG170" s="249"/>
      <c r="GJ170" s="249"/>
      <c r="GM170" s="249"/>
      <c r="GP170" s="249"/>
      <c r="GS170" s="249"/>
      <c r="GV170" s="249"/>
      <c r="GY170" s="249"/>
      <c r="HB170" s="249"/>
      <c r="HE170" s="249"/>
    </row>
    <row r="171" spans="1:213" x14ac:dyDescent="0.2">
      <c r="A171" s="262" t="s">
        <v>159</v>
      </c>
      <c r="B171" s="283">
        <v>1</v>
      </c>
      <c r="C171" s="247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W171" s="249"/>
      <c r="Z171" s="249"/>
      <c r="AC171" s="249"/>
      <c r="AD171" s="249"/>
      <c r="AE171" s="249"/>
      <c r="AF171" s="249"/>
      <c r="AG171" s="249"/>
      <c r="AJ171" s="249"/>
      <c r="AM171" s="249"/>
      <c r="AP171" s="249"/>
      <c r="AS171" s="249"/>
      <c r="AV171" s="249"/>
      <c r="AY171" s="249"/>
      <c r="BB171" s="249"/>
      <c r="BE171" s="249"/>
      <c r="BH171" s="249"/>
      <c r="BK171" s="249"/>
      <c r="BN171" s="249"/>
      <c r="BQ171" s="249"/>
      <c r="BT171" s="249"/>
      <c r="BW171" s="249"/>
      <c r="BZ171" s="249"/>
      <c r="CC171" s="249"/>
      <c r="CF171" s="249"/>
      <c r="CI171" s="249"/>
      <c r="CL171" s="249"/>
      <c r="CO171" s="249"/>
      <c r="CR171" s="249"/>
      <c r="CU171" s="249"/>
      <c r="CX171" s="249"/>
      <c r="DA171" s="249"/>
      <c r="DD171" s="249"/>
      <c r="DG171" s="249"/>
      <c r="DJ171" s="249"/>
      <c r="DM171" s="249"/>
      <c r="DP171" s="249"/>
      <c r="DS171" s="249"/>
      <c r="DV171" s="249"/>
      <c r="DY171" s="249"/>
      <c r="EB171" s="249"/>
      <c r="EE171" s="249"/>
      <c r="EH171" s="249"/>
      <c r="EK171" s="249"/>
      <c r="EN171" s="249"/>
      <c r="EQ171" s="249"/>
      <c r="ET171" s="249"/>
      <c r="EW171" s="249"/>
      <c r="EZ171" s="249"/>
      <c r="FC171" s="249"/>
      <c r="FF171" s="249"/>
      <c r="FI171" s="249"/>
      <c r="FL171" s="249"/>
      <c r="FO171" s="249"/>
      <c r="FR171" s="249"/>
      <c r="FU171" s="249"/>
      <c r="FX171" s="249"/>
      <c r="GA171" s="249"/>
      <c r="GD171" s="249"/>
      <c r="GG171" s="249"/>
      <c r="GJ171" s="249"/>
      <c r="GM171" s="249"/>
      <c r="GP171" s="249"/>
      <c r="GS171" s="249"/>
      <c r="GV171" s="249"/>
      <c r="GY171" s="249"/>
      <c r="HB171" s="249"/>
      <c r="HE171" s="249"/>
    </row>
    <row r="172" spans="1:213" x14ac:dyDescent="0.2">
      <c r="A172" s="262" t="s">
        <v>62</v>
      </c>
      <c r="B172" s="283">
        <v>1</v>
      </c>
      <c r="C172" s="247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W172" s="249"/>
      <c r="Z172" s="249"/>
      <c r="AC172" s="249"/>
      <c r="AD172" s="249"/>
      <c r="AE172" s="249"/>
      <c r="AF172" s="249"/>
      <c r="AG172" s="249"/>
      <c r="AJ172" s="249"/>
      <c r="AM172" s="249"/>
      <c r="AP172" s="249"/>
      <c r="AS172" s="249"/>
      <c r="AV172" s="249"/>
      <c r="AY172" s="249"/>
      <c r="BB172" s="249"/>
      <c r="BE172" s="249"/>
      <c r="BH172" s="249"/>
      <c r="BK172" s="249"/>
      <c r="BN172" s="249"/>
      <c r="BQ172" s="249"/>
      <c r="BT172" s="249"/>
      <c r="BW172" s="249"/>
      <c r="BZ172" s="249"/>
      <c r="CC172" s="249"/>
      <c r="CF172" s="249"/>
      <c r="CI172" s="249"/>
      <c r="CL172" s="249"/>
      <c r="CO172" s="249"/>
      <c r="CR172" s="249"/>
      <c r="CU172" s="249"/>
      <c r="CX172" s="249"/>
      <c r="DA172" s="249"/>
      <c r="DD172" s="249"/>
      <c r="DG172" s="249"/>
      <c r="DJ172" s="249"/>
      <c r="DM172" s="249"/>
      <c r="DP172" s="249"/>
      <c r="DS172" s="249"/>
      <c r="DV172" s="249"/>
      <c r="DY172" s="249"/>
      <c r="EB172" s="249"/>
      <c r="EE172" s="249"/>
      <c r="EH172" s="249"/>
      <c r="EK172" s="249"/>
      <c r="EN172" s="249"/>
      <c r="EQ172" s="249"/>
      <c r="ET172" s="249"/>
      <c r="EW172" s="249"/>
      <c r="EZ172" s="249"/>
      <c r="FC172" s="249"/>
      <c r="FF172" s="249"/>
      <c r="FI172" s="249"/>
      <c r="FL172" s="249"/>
      <c r="FO172" s="249"/>
      <c r="FR172" s="249"/>
      <c r="FU172" s="249"/>
      <c r="FX172" s="249"/>
      <c r="GA172" s="249"/>
      <c r="GD172" s="249"/>
      <c r="GG172" s="249"/>
      <c r="GJ172" s="249"/>
      <c r="GM172" s="249"/>
      <c r="GP172" s="249"/>
      <c r="GS172" s="249"/>
      <c r="GV172" s="249"/>
      <c r="GY172" s="249"/>
      <c r="HB172" s="249"/>
      <c r="HE172" s="249"/>
    </row>
    <row r="173" spans="1:213" x14ac:dyDescent="0.2">
      <c r="A173" s="262" t="s">
        <v>255</v>
      </c>
      <c r="B173" s="284">
        <v>1</v>
      </c>
      <c r="C173" s="247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W173" s="249"/>
      <c r="Z173" s="249"/>
      <c r="AC173" s="249"/>
      <c r="AD173" s="249"/>
      <c r="AE173" s="249"/>
      <c r="AF173" s="249"/>
      <c r="AG173" s="249"/>
      <c r="AJ173" s="249"/>
      <c r="AM173" s="249"/>
      <c r="AP173" s="249"/>
      <c r="AS173" s="249"/>
      <c r="AV173" s="249"/>
      <c r="AY173" s="249"/>
      <c r="BB173" s="249"/>
      <c r="BE173" s="249"/>
      <c r="BH173" s="249"/>
      <c r="BK173" s="249"/>
      <c r="BN173" s="249"/>
      <c r="BQ173" s="249"/>
      <c r="BT173" s="249"/>
      <c r="BW173" s="249"/>
      <c r="BZ173" s="249"/>
      <c r="CC173" s="249"/>
      <c r="CF173" s="249"/>
      <c r="CI173" s="249"/>
      <c r="CL173" s="249"/>
      <c r="CO173" s="249"/>
      <c r="CR173" s="249"/>
      <c r="CU173" s="249"/>
      <c r="CX173" s="249"/>
      <c r="DA173" s="249"/>
      <c r="DD173" s="249"/>
      <c r="DG173" s="249"/>
      <c r="DJ173" s="249"/>
      <c r="DM173" s="249"/>
      <c r="DP173" s="249"/>
      <c r="DS173" s="249"/>
      <c r="DV173" s="249"/>
      <c r="DY173" s="249"/>
      <c r="EB173" s="249"/>
      <c r="EE173" s="249"/>
      <c r="EH173" s="249"/>
      <c r="EK173" s="249"/>
      <c r="EN173" s="249"/>
      <c r="EQ173" s="249"/>
      <c r="ET173" s="249"/>
      <c r="EW173" s="249"/>
      <c r="EZ173" s="249"/>
      <c r="FC173" s="249"/>
      <c r="FF173" s="249"/>
      <c r="FI173" s="249"/>
      <c r="FL173" s="249"/>
      <c r="FO173" s="249"/>
      <c r="FR173" s="249"/>
      <c r="FU173" s="249"/>
      <c r="FX173" s="249"/>
      <c r="GA173" s="249"/>
      <c r="GD173" s="249"/>
      <c r="GG173" s="249"/>
      <c r="GJ173" s="249"/>
      <c r="GM173" s="249"/>
      <c r="GP173" s="249"/>
      <c r="GS173" s="249"/>
      <c r="GV173" s="249"/>
      <c r="GY173" s="249"/>
      <c r="HB173" s="249"/>
      <c r="HE173" s="249"/>
    </row>
    <row r="174" spans="1:213" x14ac:dyDescent="0.2">
      <c r="A174" s="267" t="s">
        <v>399</v>
      </c>
      <c r="B174" s="283">
        <v>1</v>
      </c>
      <c r="C174" s="247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W174" s="249"/>
      <c r="Z174" s="249"/>
      <c r="AC174" s="249"/>
      <c r="AD174" s="249"/>
      <c r="AE174" s="249"/>
      <c r="AF174" s="249"/>
      <c r="AG174" s="249"/>
      <c r="AJ174" s="249"/>
      <c r="AM174" s="249"/>
      <c r="AP174" s="249"/>
      <c r="AS174" s="249"/>
      <c r="AV174" s="249"/>
      <c r="AY174" s="249"/>
      <c r="BB174" s="249"/>
      <c r="BE174" s="249"/>
      <c r="BH174" s="249"/>
      <c r="BK174" s="249"/>
      <c r="BN174" s="249"/>
      <c r="BQ174" s="249"/>
      <c r="BT174" s="249"/>
      <c r="BW174" s="249"/>
      <c r="BZ174" s="249"/>
      <c r="CC174" s="249"/>
      <c r="CF174" s="249"/>
      <c r="CI174" s="249"/>
      <c r="CL174" s="249"/>
      <c r="CO174" s="249"/>
      <c r="CR174" s="249"/>
      <c r="CU174" s="249"/>
      <c r="CX174" s="249"/>
      <c r="DA174" s="249"/>
      <c r="DD174" s="249"/>
      <c r="DG174" s="249"/>
      <c r="DJ174" s="249"/>
      <c r="DM174" s="249"/>
      <c r="DP174" s="249"/>
      <c r="DS174" s="249"/>
      <c r="DV174" s="249"/>
      <c r="DY174" s="249"/>
      <c r="EB174" s="249"/>
      <c r="EE174" s="249"/>
      <c r="EH174" s="249"/>
      <c r="EK174" s="249"/>
      <c r="EN174" s="249"/>
      <c r="EQ174" s="249"/>
      <c r="ET174" s="249"/>
      <c r="EW174" s="249"/>
      <c r="EZ174" s="249"/>
      <c r="FC174" s="249"/>
      <c r="FF174" s="249"/>
      <c r="FI174" s="249"/>
      <c r="FL174" s="249"/>
      <c r="FO174" s="249"/>
      <c r="FR174" s="249"/>
      <c r="FU174" s="249"/>
      <c r="FX174" s="249"/>
      <c r="GA174" s="249"/>
      <c r="GD174" s="249"/>
      <c r="GG174" s="249"/>
      <c r="GJ174" s="249"/>
      <c r="GM174" s="249"/>
      <c r="GP174" s="249"/>
      <c r="GS174" s="249"/>
      <c r="GV174" s="249"/>
      <c r="GY174" s="249"/>
      <c r="HB174" s="249"/>
      <c r="HE174" s="249"/>
    </row>
    <row r="175" spans="1:213" x14ac:dyDescent="0.2">
      <c r="A175" s="267" t="s">
        <v>400</v>
      </c>
      <c r="B175" s="283">
        <v>1</v>
      </c>
      <c r="C175" s="247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W175" s="249"/>
      <c r="Z175" s="249"/>
      <c r="AC175" s="249"/>
      <c r="AD175" s="249"/>
      <c r="AE175" s="249"/>
      <c r="AF175" s="249"/>
      <c r="AG175" s="249"/>
      <c r="AJ175" s="249"/>
      <c r="AM175" s="249"/>
      <c r="AP175" s="249"/>
      <c r="AS175" s="249"/>
      <c r="AV175" s="249"/>
      <c r="AY175" s="249"/>
      <c r="BB175" s="249"/>
      <c r="BE175" s="249"/>
      <c r="BH175" s="249"/>
      <c r="BK175" s="249"/>
      <c r="BN175" s="249"/>
      <c r="BQ175" s="249"/>
      <c r="BT175" s="249"/>
      <c r="BW175" s="249"/>
      <c r="BZ175" s="249"/>
      <c r="CC175" s="249"/>
      <c r="CF175" s="249"/>
      <c r="CI175" s="249"/>
      <c r="CL175" s="249"/>
      <c r="CO175" s="249"/>
      <c r="CR175" s="249"/>
      <c r="CU175" s="249"/>
      <c r="CX175" s="249"/>
      <c r="DA175" s="249"/>
      <c r="DD175" s="249"/>
      <c r="DG175" s="249"/>
      <c r="DJ175" s="249"/>
      <c r="DM175" s="249"/>
      <c r="DP175" s="249"/>
      <c r="DS175" s="249"/>
      <c r="DV175" s="249"/>
      <c r="DY175" s="249"/>
      <c r="EB175" s="249"/>
      <c r="EE175" s="249"/>
      <c r="EH175" s="249"/>
      <c r="EK175" s="249"/>
      <c r="EN175" s="249"/>
      <c r="EQ175" s="249"/>
      <c r="ET175" s="249"/>
      <c r="EW175" s="249"/>
      <c r="EZ175" s="249"/>
      <c r="FC175" s="249"/>
      <c r="FF175" s="249"/>
      <c r="FI175" s="249"/>
      <c r="FL175" s="249"/>
      <c r="FO175" s="249"/>
      <c r="FR175" s="249"/>
      <c r="FU175" s="249"/>
      <c r="FX175" s="249"/>
      <c r="GA175" s="249"/>
      <c r="GD175" s="249"/>
      <c r="GG175" s="249"/>
      <c r="GJ175" s="249"/>
      <c r="GM175" s="249"/>
      <c r="GP175" s="249"/>
      <c r="GS175" s="249"/>
      <c r="GV175" s="249"/>
      <c r="GY175" s="249"/>
      <c r="HB175" s="249"/>
      <c r="HE175" s="249"/>
    </row>
    <row r="176" spans="1:213" x14ac:dyDescent="0.2">
      <c r="A176" s="267" t="s">
        <v>401</v>
      </c>
      <c r="B176" s="283">
        <v>1</v>
      </c>
      <c r="C176" s="247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W176" s="249"/>
      <c r="Z176" s="249"/>
      <c r="AC176" s="249"/>
      <c r="AD176" s="249"/>
      <c r="AE176" s="249"/>
      <c r="AF176" s="249"/>
      <c r="AG176" s="249"/>
      <c r="AJ176" s="249"/>
      <c r="AM176" s="249"/>
      <c r="AP176" s="249"/>
      <c r="AS176" s="249"/>
      <c r="AV176" s="249"/>
      <c r="AY176" s="249"/>
      <c r="BB176" s="249"/>
      <c r="BE176" s="249"/>
      <c r="BH176" s="249"/>
      <c r="BK176" s="249"/>
      <c r="BN176" s="249"/>
      <c r="BQ176" s="249"/>
      <c r="BT176" s="249"/>
      <c r="BW176" s="249"/>
      <c r="BZ176" s="249"/>
      <c r="CC176" s="249"/>
      <c r="CF176" s="249"/>
      <c r="CI176" s="249"/>
      <c r="CL176" s="249"/>
      <c r="CO176" s="249"/>
      <c r="CR176" s="249"/>
      <c r="CU176" s="249"/>
      <c r="CX176" s="249"/>
      <c r="DA176" s="249"/>
      <c r="DD176" s="249"/>
      <c r="DG176" s="249"/>
      <c r="DJ176" s="249"/>
      <c r="DM176" s="249"/>
      <c r="DP176" s="249"/>
      <c r="DS176" s="249"/>
      <c r="DV176" s="249"/>
      <c r="DY176" s="249"/>
      <c r="EB176" s="249"/>
      <c r="EE176" s="249"/>
      <c r="EH176" s="249"/>
      <c r="EK176" s="249"/>
      <c r="EN176" s="249"/>
      <c r="EQ176" s="249"/>
      <c r="ET176" s="249"/>
      <c r="EW176" s="249"/>
      <c r="EZ176" s="249"/>
      <c r="FC176" s="249"/>
      <c r="FF176" s="249"/>
      <c r="FI176" s="249"/>
      <c r="FL176" s="249"/>
      <c r="FO176" s="249"/>
      <c r="FR176" s="249"/>
      <c r="FU176" s="249"/>
      <c r="FX176" s="249"/>
      <c r="GA176" s="249"/>
      <c r="GD176" s="249"/>
      <c r="GG176" s="249"/>
      <c r="GJ176" s="249"/>
      <c r="GM176" s="249"/>
      <c r="GP176" s="249"/>
      <c r="GS176" s="249"/>
      <c r="GV176" s="249"/>
      <c r="GY176" s="249"/>
      <c r="HB176" s="249"/>
      <c r="HE176" s="249"/>
    </row>
    <row r="177" spans="1:213" x14ac:dyDescent="0.2">
      <c r="A177" s="267" t="s">
        <v>402</v>
      </c>
      <c r="B177" s="283">
        <v>1</v>
      </c>
      <c r="C177" s="247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W177" s="249"/>
      <c r="Z177" s="249"/>
      <c r="AC177" s="249"/>
      <c r="AD177" s="249"/>
      <c r="AE177" s="249"/>
      <c r="AF177" s="249"/>
      <c r="AG177" s="249"/>
      <c r="AJ177" s="249"/>
      <c r="AM177" s="249"/>
      <c r="AP177" s="249"/>
      <c r="AS177" s="249"/>
      <c r="AV177" s="249"/>
      <c r="AY177" s="249"/>
      <c r="BB177" s="249"/>
      <c r="BE177" s="249"/>
      <c r="BH177" s="249"/>
      <c r="BK177" s="249"/>
      <c r="BN177" s="249"/>
      <c r="BQ177" s="249"/>
      <c r="BT177" s="249"/>
      <c r="BW177" s="249"/>
      <c r="BZ177" s="249"/>
      <c r="CC177" s="249"/>
      <c r="CF177" s="249"/>
      <c r="CI177" s="249"/>
      <c r="CL177" s="249"/>
      <c r="CO177" s="249"/>
      <c r="CR177" s="249"/>
      <c r="CU177" s="249"/>
      <c r="CX177" s="249"/>
      <c r="DA177" s="249"/>
      <c r="DD177" s="249"/>
      <c r="DG177" s="249"/>
      <c r="DJ177" s="249"/>
      <c r="DM177" s="249"/>
      <c r="DP177" s="249"/>
      <c r="DS177" s="249"/>
      <c r="DV177" s="249"/>
      <c r="DY177" s="249"/>
      <c r="EB177" s="249"/>
      <c r="EE177" s="249"/>
      <c r="EH177" s="249"/>
      <c r="EK177" s="249"/>
      <c r="EN177" s="249"/>
      <c r="EQ177" s="249"/>
      <c r="ET177" s="249"/>
      <c r="EW177" s="249"/>
      <c r="EZ177" s="249"/>
      <c r="FC177" s="249"/>
      <c r="FF177" s="249"/>
      <c r="FI177" s="249"/>
      <c r="FL177" s="249"/>
      <c r="FO177" s="249"/>
      <c r="FR177" s="249"/>
      <c r="FU177" s="249"/>
      <c r="FX177" s="249"/>
      <c r="GA177" s="249"/>
      <c r="GD177" s="249"/>
      <c r="GG177" s="249"/>
      <c r="GJ177" s="249"/>
      <c r="GM177" s="249"/>
      <c r="GP177" s="249"/>
      <c r="GS177" s="249"/>
      <c r="GV177" s="249"/>
      <c r="GY177" s="249"/>
      <c r="HB177" s="249"/>
      <c r="HE177" s="249"/>
    </row>
    <row r="178" spans="1:213" x14ac:dyDescent="0.2">
      <c r="A178" s="267" t="s">
        <v>403</v>
      </c>
      <c r="B178" s="283">
        <v>1</v>
      </c>
      <c r="C178" s="247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W178" s="249"/>
      <c r="Z178" s="249"/>
      <c r="AC178" s="249"/>
      <c r="AD178" s="249"/>
      <c r="AE178" s="249"/>
      <c r="AF178" s="249"/>
      <c r="AG178" s="249"/>
      <c r="AJ178" s="249"/>
      <c r="AM178" s="249"/>
      <c r="AP178" s="249"/>
      <c r="AS178" s="249"/>
      <c r="AV178" s="249"/>
      <c r="AY178" s="249"/>
      <c r="BB178" s="249"/>
      <c r="BE178" s="249"/>
      <c r="BH178" s="249"/>
      <c r="BK178" s="249"/>
      <c r="BN178" s="249"/>
      <c r="BQ178" s="249"/>
      <c r="BT178" s="249"/>
      <c r="BW178" s="249"/>
      <c r="BZ178" s="249"/>
      <c r="CC178" s="249"/>
      <c r="CF178" s="249"/>
      <c r="CI178" s="249"/>
      <c r="CL178" s="249"/>
      <c r="CO178" s="249"/>
      <c r="CR178" s="249"/>
      <c r="CU178" s="249"/>
      <c r="CX178" s="249"/>
      <c r="DA178" s="249"/>
      <c r="DD178" s="249"/>
      <c r="DG178" s="249"/>
      <c r="DJ178" s="249"/>
      <c r="DM178" s="249"/>
      <c r="DP178" s="249"/>
      <c r="DS178" s="249"/>
      <c r="DV178" s="249"/>
      <c r="DY178" s="249"/>
      <c r="EB178" s="249"/>
      <c r="EE178" s="249"/>
      <c r="EH178" s="249"/>
      <c r="EK178" s="249"/>
      <c r="EN178" s="249"/>
      <c r="EQ178" s="249"/>
      <c r="ET178" s="249"/>
      <c r="EW178" s="249"/>
      <c r="EZ178" s="249"/>
      <c r="FC178" s="249"/>
      <c r="FF178" s="249"/>
      <c r="FI178" s="249"/>
      <c r="FL178" s="249"/>
      <c r="FO178" s="249"/>
      <c r="FR178" s="249"/>
      <c r="FU178" s="249"/>
      <c r="FX178" s="249"/>
      <c r="GA178" s="249"/>
      <c r="GD178" s="249"/>
      <c r="GG178" s="249"/>
      <c r="GJ178" s="249"/>
      <c r="GM178" s="249"/>
      <c r="GP178" s="249"/>
      <c r="GS178" s="249"/>
      <c r="GV178" s="249"/>
      <c r="GY178" s="249"/>
      <c r="HB178" s="249"/>
      <c r="HE178" s="249"/>
    </row>
    <row r="179" spans="1:213" x14ac:dyDescent="0.2">
      <c r="A179" s="267" t="s">
        <v>404</v>
      </c>
      <c r="B179" s="283">
        <v>1</v>
      </c>
      <c r="C179" s="247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W179" s="249"/>
      <c r="Z179" s="249"/>
      <c r="AC179" s="249"/>
      <c r="AD179" s="249"/>
      <c r="AE179" s="249"/>
      <c r="AF179" s="249"/>
      <c r="AG179" s="249"/>
      <c r="AJ179" s="249"/>
      <c r="AM179" s="249"/>
      <c r="AP179" s="249"/>
      <c r="AS179" s="249"/>
      <c r="AV179" s="249"/>
      <c r="AY179" s="249"/>
      <c r="BB179" s="249"/>
      <c r="BE179" s="249"/>
      <c r="BH179" s="249"/>
      <c r="BK179" s="249"/>
      <c r="BN179" s="249"/>
      <c r="BQ179" s="249"/>
      <c r="BT179" s="249"/>
      <c r="BW179" s="249"/>
      <c r="BZ179" s="249"/>
      <c r="CC179" s="249"/>
      <c r="CF179" s="249"/>
      <c r="CI179" s="249"/>
      <c r="CL179" s="249"/>
      <c r="CO179" s="249"/>
      <c r="CR179" s="249"/>
      <c r="CU179" s="249"/>
      <c r="CX179" s="249"/>
      <c r="DA179" s="249"/>
      <c r="DD179" s="249"/>
      <c r="DG179" s="249"/>
      <c r="DJ179" s="249"/>
      <c r="DM179" s="249"/>
      <c r="DP179" s="249"/>
      <c r="DS179" s="249"/>
      <c r="DV179" s="249"/>
      <c r="DY179" s="249"/>
      <c r="EB179" s="249"/>
      <c r="EE179" s="249"/>
      <c r="EH179" s="249"/>
      <c r="EK179" s="249"/>
      <c r="EN179" s="249"/>
      <c r="EQ179" s="249"/>
      <c r="ET179" s="249"/>
      <c r="EW179" s="249"/>
      <c r="EZ179" s="249"/>
      <c r="FC179" s="249"/>
      <c r="FF179" s="249"/>
      <c r="FI179" s="249"/>
      <c r="FL179" s="249"/>
      <c r="FO179" s="249"/>
      <c r="FR179" s="249"/>
      <c r="FU179" s="249"/>
      <c r="FX179" s="249"/>
      <c r="GA179" s="249"/>
      <c r="GD179" s="249"/>
      <c r="GG179" s="249"/>
      <c r="GJ179" s="249"/>
      <c r="GM179" s="249"/>
      <c r="GP179" s="249"/>
      <c r="GS179" s="249"/>
      <c r="GV179" s="249"/>
      <c r="GY179" s="249"/>
      <c r="HB179" s="249"/>
      <c r="HE179" s="249"/>
    </row>
    <row r="180" spans="1:213" x14ac:dyDescent="0.2">
      <c r="A180" s="267" t="s">
        <v>405</v>
      </c>
      <c r="B180" s="284">
        <v>1</v>
      </c>
      <c r="C180" s="247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W180" s="249"/>
      <c r="Z180" s="249"/>
      <c r="AC180" s="249"/>
      <c r="AD180" s="249"/>
      <c r="AE180" s="249"/>
      <c r="AF180" s="249"/>
      <c r="AG180" s="249"/>
      <c r="AJ180" s="249"/>
      <c r="AM180" s="249"/>
      <c r="AP180" s="249"/>
      <c r="AS180" s="249"/>
      <c r="AV180" s="249"/>
      <c r="AY180" s="249"/>
      <c r="BB180" s="249"/>
      <c r="BE180" s="249"/>
      <c r="BH180" s="249"/>
      <c r="BK180" s="249"/>
      <c r="BN180" s="249"/>
      <c r="BQ180" s="249"/>
      <c r="BT180" s="249"/>
      <c r="BW180" s="249"/>
      <c r="BZ180" s="249"/>
      <c r="CC180" s="249"/>
      <c r="CF180" s="249"/>
      <c r="CI180" s="249"/>
      <c r="CL180" s="249"/>
      <c r="CO180" s="249"/>
      <c r="CR180" s="249"/>
      <c r="CU180" s="249"/>
      <c r="CX180" s="249"/>
      <c r="DA180" s="249"/>
      <c r="DD180" s="249"/>
      <c r="DG180" s="249"/>
      <c r="DJ180" s="249"/>
      <c r="DM180" s="249"/>
      <c r="DP180" s="249"/>
      <c r="DS180" s="249"/>
      <c r="DV180" s="249"/>
      <c r="DY180" s="249"/>
      <c r="EB180" s="249"/>
      <c r="EE180" s="249"/>
      <c r="EH180" s="249"/>
      <c r="EK180" s="249"/>
      <c r="EN180" s="249"/>
      <c r="EQ180" s="249"/>
      <c r="ET180" s="249"/>
      <c r="EW180" s="249"/>
      <c r="EZ180" s="249"/>
      <c r="FC180" s="249"/>
      <c r="FF180" s="249"/>
      <c r="FI180" s="249"/>
      <c r="FL180" s="249"/>
      <c r="FO180" s="249"/>
      <c r="FR180" s="249"/>
      <c r="FU180" s="249"/>
      <c r="FX180" s="249"/>
      <c r="GA180" s="249"/>
      <c r="GD180" s="249"/>
      <c r="GG180" s="249"/>
      <c r="GJ180" s="249"/>
      <c r="GM180" s="249"/>
      <c r="GP180" s="249"/>
      <c r="GS180" s="249"/>
      <c r="GV180" s="249"/>
      <c r="GY180" s="249"/>
      <c r="HB180" s="249"/>
      <c r="HE180" s="249"/>
    </row>
    <row r="181" spans="1:213" x14ac:dyDescent="0.2">
      <c r="A181" s="262" t="s">
        <v>41</v>
      </c>
      <c r="B181" s="284">
        <v>3.62</v>
      </c>
      <c r="C181" s="249" t="s">
        <v>42</v>
      </c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W181" s="249"/>
      <c r="Z181" s="249"/>
      <c r="AC181" s="249"/>
      <c r="AD181" s="249"/>
      <c r="AE181" s="249"/>
      <c r="AF181" s="249"/>
      <c r="AG181" s="249"/>
      <c r="AJ181" s="249"/>
      <c r="AM181" s="249"/>
      <c r="AP181" s="249"/>
      <c r="AS181" s="249"/>
      <c r="AV181" s="249"/>
      <c r="AY181" s="249"/>
      <c r="BB181" s="249"/>
      <c r="BE181" s="249"/>
      <c r="BH181" s="249"/>
      <c r="BK181" s="249"/>
      <c r="BN181" s="249"/>
      <c r="BQ181" s="249"/>
      <c r="BT181" s="249"/>
      <c r="BW181" s="249"/>
      <c r="BZ181" s="249"/>
      <c r="CC181" s="249"/>
      <c r="CF181" s="249"/>
      <c r="CI181" s="249"/>
      <c r="CL181" s="249"/>
      <c r="CO181" s="249"/>
      <c r="CR181" s="249"/>
      <c r="CU181" s="249"/>
      <c r="CX181" s="249"/>
      <c r="DA181" s="249"/>
      <c r="DD181" s="249"/>
      <c r="DG181" s="249"/>
      <c r="DJ181" s="249"/>
      <c r="DM181" s="249"/>
      <c r="DP181" s="249"/>
      <c r="DS181" s="249"/>
      <c r="DV181" s="249"/>
      <c r="DY181" s="249"/>
      <c r="EB181" s="249"/>
      <c r="EE181" s="249"/>
      <c r="EH181" s="249"/>
      <c r="EK181" s="249"/>
      <c r="EN181" s="249"/>
      <c r="EQ181" s="249"/>
      <c r="ET181" s="249"/>
      <c r="EW181" s="249"/>
      <c r="EZ181" s="249"/>
      <c r="FC181" s="249"/>
      <c r="FF181" s="249"/>
      <c r="FI181" s="249"/>
      <c r="FL181" s="249"/>
      <c r="FO181" s="249"/>
      <c r="FR181" s="249"/>
      <c r="FU181" s="249"/>
      <c r="FX181" s="249"/>
      <c r="GA181" s="249"/>
      <c r="GD181" s="249"/>
      <c r="GG181" s="249"/>
      <c r="GJ181" s="249"/>
      <c r="GM181" s="249"/>
      <c r="GP181" s="249"/>
      <c r="GS181" s="249"/>
      <c r="GV181" s="249"/>
      <c r="GY181" s="249"/>
      <c r="HB181" s="249"/>
      <c r="HE181" s="249"/>
    </row>
    <row r="182" spans="1:213" x14ac:dyDescent="0.2">
      <c r="A182" s="262" t="s">
        <v>46</v>
      </c>
      <c r="B182" s="284">
        <v>0.25</v>
      </c>
      <c r="C182" s="249" t="s">
        <v>47</v>
      </c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W182" s="249"/>
      <c r="Z182" s="249"/>
      <c r="AC182" s="249"/>
      <c r="AD182" s="249"/>
      <c r="AE182" s="249"/>
      <c r="AF182" s="249"/>
      <c r="AG182" s="249"/>
      <c r="AJ182" s="249"/>
      <c r="AM182" s="249"/>
      <c r="AP182" s="249"/>
      <c r="AS182" s="249"/>
      <c r="AV182" s="249"/>
      <c r="AY182" s="249"/>
      <c r="BB182" s="249"/>
      <c r="BE182" s="249"/>
      <c r="BH182" s="249"/>
      <c r="BK182" s="249"/>
      <c r="BN182" s="249"/>
      <c r="BQ182" s="249"/>
      <c r="BT182" s="249"/>
      <c r="BW182" s="249"/>
      <c r="BZ182" s="249"/>
      <c r="CC182" s="249"/>
      <c r="CF182" s="249"/>
      <c r="CI182" s="249"/>
      <c r="CL182" s="249"/>
      <c r="CO182" s="249"/>
      <c r="CR182" s="249"/>
      <c r="CU182" s="249"/>
      <c r="CX182" s="249"/>
      <c r="DA182" s="249"/>
      <c r="DD182" s="249"/>
      <c r="DG182" s="249"/>
      <c r="DJ182" s="249"/>
      <c r="DM182" s="249"/>
      <c r="DP182" s="249"/>
      <c r="DS182" s="249"/>
      <c r="DV182" s="249"/>
      <c r="DY182" s="249"/>
      <c r="EB182" s="249"/>
      <c r="EE182" s="249"/>
      <c r="EH182" s="249"/>
      <c r="EK182" s="249"/>
      <c r="EN182" s="249"/>
      <c r="EQ182" s="249"/>
      <c r="ET182" s="249"/>
      <c r="EW182" s="249"/>
      <c r="EZ182" s="249"/>
      <c r="FC182" s="249"/>
      <c r="FF182" s="249"/>
      <c r="FI182" s="249"/>
      <c r="FL182" s="249"/>
      <c r="FO182" s="249"/>
      <c r="FR182" s="249"/>
      <c r="FU182" s="249"/>
      <c r="FX182" s="249"/>
      <c r="GA182" s="249"/>
      <c r="GD182" s="249"/>
      <c r="GG182" s="249"/>
      <c r="GJ182" s="249"/>
      <c r="GM182" s="249"/>
      <c r="GP182" s="249"/>
      <c r="GS182" s="249"/>
      <c r="GV182" s="249"/>
      <c r="GY182" s="249"/>
      <c r="HB182" s="249"/>
      <c r="HE182" s="249"/>
    </row>
    <row r="183" spans="1:213" x14ac:dyDescent="0.2">
      <c r="A183" s="267" t="s">
        <v>60</v>
      </c>
      <c r="B183" s="284">
        <v>10950</v>
      </c>
      <c r="C183" s="249" t="s">
        <v>61</v>
      </c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W183" s="249"/>
      <c r="Z183" s="249"/>
      <c r="AC183" s="249"/>
      <c r="AD183" s="249"/>
      <c r="AE183" s="249"/>
      <c r="AF183" s="249"/>
      <c r="AG183" s="249"/>
      <c r="AJ183" s="249"/>
      <c r="AM183" s="249"/>
      <c r="AP183" s="249"/>
      <c r="AS183" s="249"/>
      <c r="AV183" s="249"/>
      <c r="AY183" s="249"/>
      <c r="BB183" s="249"/>
      <c r="BE183" s="249"/>
      <c r="BH183" s="249"/>
      <c r="BK183" s="249"/>
      <c r="BN183" s="249"/>
      <c r="BQ183" s="249"/>
      <c r="BT183" s="249"/>
      <c r="BW183" s="249"/>
      <c r="BZ183" s="249"/>
      <c r="CC183" s="249"/>
      <c r="CF183" s="249"/>
      <c r="CI183" s="249"/>
      <c r="CL183" s="249"/>
      <c r="CO183" s="249"/>
      <c r="CR183" s="249"/>
      <c r="CU183" s="249"/>
      <c r="CX183" s="249"/>
      <c r="DA183" s="249"/>
      <c r="DD183" s="249"/>
      <c r="DG183" s="249"/>
      <c r="DJ183" s="249"/>
      <c r="DM183" s="249"/>
      <c r="DP183" s="249"/>
      <c r="DS183" s="249"/>
      <c r="DV183" s="249"/>
      <c r="DY183" s="249"/>
      <c r="EB183" s="249"/>
      <c r="EE183" s="249"/>
      <c r="EH183" s="249"/>
      <c r="EK183" s="249"/>
      <c r="EN183" s="249"/>
      <c r="EQ183" s="249"/>
      <c r="ET183" s="249"/>
      <c r="EW183" s="249"/>
      <c r="EZ183" s="249"/>
      <c r="FC183" s="249"/>
      <c r="FF183" s="249"/>
      <c r="FI183" s="249"/>
      <c r="FL183" s="249"/>
      <c r="FO183" s="249"/>
      <c r="FR183" s="249"/>
      <c r="FU183" s="249"/>
      <c r="FX183" s="249"/>
      <c r="GA183" s="249"/>
      <c r="GD183" s="249"/>
      <c r="GG183" s="249"/>
      <c r="GJ183" s="249"/>
      <c r="GM183" s="249"/>
      <c r="GP183" s="249"/>
      <c r="GS183" s="249"/>
      <c r="GV183" s="249"/>
      <c r="GY183" s="249"/>
      <c r="HB183" s="249"/>
      <c r="HE183" s="249"/>
    </row>
    <row r="184" spans="1:213" x14ac:dyDescent="0.2">
      <c r="A184" s="267" t="s">
        <v>65</v>
      </c>
      <c r="B184" s="284">
        <v>240</v>
      </c>
      <c r="C184" s="249" t="s">
        <v>66</v>
      </c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W184" s="249"/>
      <c r="Z184" s="249"/>
      <c r="AC184" s="249"/>
      <c r="AD184" s="249"/>
      <c r="AE184" s="249"/>
      <c r="AF184" s="249"/>
      <c r="AG184" s="249"/>
      <c r="AJ184" s="249"/>
      <c r="AM184" s="249"/>
      <c r="AP184" s="249"/>
      <c r="AS184" s="249"/>
      <c r="AV184" s="249"/>
      <c r="AY184" s="249"/>
      <c r="BB184" s="249"/>
      <c r="BE184" s="249"/>
      <c r="BH184" s="249"/>
      <c r="BK184" s="249"/>
      <c r="BN184" s="249"/>
      <c r="BQ184" s="249"/>
      <c r="BT184" s="249"/>
      <c r="BW184" s="249"/>
      <c r="BZ184" s="249"/>
      <c r="CC184" s="249"/>
      <c r="CF184" s="249"/>
      <c r="CI184" s="249"/>
      <c r="CL184" s="249"/>
      <c r="CO184" s="249"/>
      <c r="CR184" s="249"/>
      <c r="CU184" s="249"/>
      <c r="CX184" s="249"/>
      <c r="DA184" s="249"/>
      <c r="DD184" s="249"/>
      <c r="DG184" s="249"/>
      <c r="DJ184" s="249"/>
      <c r="DM184" s="249"/>
      <c r="DP184" s="249"/>
      <c r="DS184" s="249"/>
      <c r="DV184" s="249"/>
      <c r="DY184" s="249"/>
      <c r="EB184" s="249"/>
      <c r="EE184" s="249"/>
      <c r="EH184" s="249"/>
      <c r="EK184" s="249"/>
      <c r="EN184" s="249"/>
      <c r="EQ184" s="249"/>
      <c r="ET184" s="249"/>
      <c r="EW184" s="249"/>
      <c r="EZ184" s="249"/>
      <c r="FC184" s="249"/>
      <c r="FF184" s="249"/>
      <c r="FI184" s="249"/>
      <c r="FL184" s="249"/>
      <c r="FO184" s="249"/>
      <c r="FR184" s="249"/>
      <c r="FU184" s="249"/>
      <c r="FX184" s="249"/>
      <c r="GA184" s="249"/>
      <c r="GD184" s="249"/>
      <c r="GG184" s="249"/>
      <c r="GJ184" s="249"/>
      <c r="GM184" s="249"/>
      <c r="GP184" s="249"/>
      <c r="GS184" s="249"/>
      <c r="GV184" s="249"/>
      <c r="GY184" s="249"/>
      <c r="HB184" s="249"/>
      <c r="HE184" s="249"/>
    </row>
    <row r="185" spans="1:213" x14ac:dyDescent="0.2">
      <c r="A185" s="267" t="s">
        <v>76</v>
      </c>
      <c r="B185" s="284">
        <v>0.42</v>
      </c>
      <c r="C185" s="249" t="s">
        <v>47</v>
      </c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W185" s="249"/>
      <c r="Z185" s="249"/>
      <c r="AC185" s="249"/>
      <c r="AD185" s="249"/>
      <c r="AE185" s="249"/>
      <c r="AF185" s="249"/>
      <c r="AG185" s="249"/>
      <c r="AJ185" s="249"/>
      <c r="AM185" s="249"/>
      <c r="AP185" s="249"/>
      <c r="AS185" s="249"/>
      <c r="AV185" s="249"/>
      <c r="AY185" s="249"/>
      <c r="BB185" s="249"/>
      <c r="BE185" s="249"/>
      <c r="BH185" s="249"/>
      <c r="BK185" s="249"/>
      <c r="BN185" s="249"/>
      <c r="BQ185" s="249"/>
      <c r="BT185" s="249"/>
      <c r="BW185" s="249"/>
      <c r="BZ185" s="249"/>
      <c r="CC185" s="249"/>
      <c r="CF185" s="249"/>
      <c r="CI185" s="249"/>
      <c r="CL185" s="249"/>
      <c r="CO185" s="249"/>
      <c r="CR185" s="249"/>
      <c r="CU185" s="249"/>
      <c r="CX185" s="249"/>
      <c r="DA185" s="249"/>
      <c r="DD185" s="249"/>
      <c r="DG185" s="249"/>
      <c r="DJ185" s="249"/>
      <c r="DM185" s="249"/>
      <c r="DP185" s="249"/>
      <c r="DS185" s="249"/>
      <c r="DV185" s="249"/>
      <c r="DY185" s="249"/>
      <c r="EB185" s="249"/>
      <c r="EE185" s="249"/>
      <c r="EH185" s="249"/>
      <c r="EK185" s="249"/>
      <c r="EN185" s="249"/>
      <c r="EQ185" s="249"/>
      <c r="ET185" s="249"/>
      <c r="EW185" s="249"/>
      <c r="EZ185" s="249"/>
      <c r="FC185" s="249"/>
      <c r="FF185" s="249"/>
      <c r="FI185" s="249"/>
      <c r="FL185" s="249"/>
      <c r="FO185" s="249"/>
      <c r="FR185" s="249"/>
      <c r="FU185" s="249"/>
      <c r="FX185" s="249"/>
      <c r="GA185" s="249"/>
      <c r="GD185" s="249"/>
      <c r="GG185" s="249"/>
      <c r="GJ185" s="249"/>
      <c r="GM185" s="249"/>
      <c r="GP185" s="249"/>
      <c r="GS185" s="249"/>
      <c r="GV185" s="249"/>
      <c r="GY185" s="249"/>
      <c r="HB185" s="249"/>
      <c r="HE185" s="249"/>
    </row>
    <row r="186" spans="1:213" x14ac:dyDescent="0.2">
      <c r="A186" s="267" t="s">
        <v>85</v>
      </c>
      <c r="B186" s="284">
        <v>60</v>
      </c>
      <c r="C186" s="262" t="s">
        <v>61</v>
      </c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W186" s="249"/>
      <c r="Z186" s="249"/>
      <c r="AC186" s="249"/>
      <c r="AD186" s="249"/>
      <c r="AE186" s="249"/>
      <c r="AF186" s="249"/>
      <c r="AG186" s="249"/>
      <c r="AJ186" s="249"/>
      <c r="AM186" s="249"/>
      <c r="AP186" s="249"/>
      <c r="AS186" s="249"/>
      <c r="AV186" s="249"/>
      <c r="AY186" s="249"/>
      <c r="BB186" s="249"/>
      <c r="BE186" s="249"/>
      <c r="BH186" s="249"/>
      <c r="BK186" s="249"/>
      <c r="BN186" s="249"/>
      <c r="BQ186" s="249"/>
      <c r="BT186" s="249"/>
      <c r="BW186" s="249"/>
      <c r="BZ186" s="249"/>
      <c r="CC186" s="249"/>
      <c r="CF186" s="249"/>
      <c r="CI186" s="249"/>
      <c r="CL186" s="249"/>
      <c r="CO186" s="249"/>
      <c r="CR186" s="249"/>
      <c r="CU186" s="249"/>
      <c r="CX186" s="249"/>
      <c r="DA186" s="249"/>
      <c r="DD186" s="249"/>
      <c r="DG186" s="249"/>
      <c r="DJ186" s="249"/>
      <c r="DM186" s="249"/>
      <c r="DP186" s="249"/>
      <c r="DS186" s="249"/>
      <c r="DV186" s="249"/>
      <c r="DY186" s="249"/>
      <c r="EB186" s="249"/>
      <c r="EE186" s="249"/>
      <c r="EH186" s="249"/>
      <c r="EK186" s="249"/>
      <c r="EN186" s="249"/>
      <c r="EQ186" s="249"/>
      <c r="ET186" s="249"/>
      <c r="EW186" s="249"/>
      <c r="EZ186" s="249"/>
      <c r="FC186" s="249"/>
      <c r="FF186" s="249"/>
      <c r="FI186" s="249"/>
      <c r="FL186" s="249"/>
      <c r="FO186" s="249"/>
      <c r="FR186" s="249"/>
      <c r="FU186" s="249"/>
      <c r="FX186" s="249"/>
      <c r="GA186" s="249"/>
      <c r="GD186" s="249"/>
      <c r="GG186" s="249"/>
      <c r="GJ186" s="249"/>
      <c r="GM186" s="249"/>
      <c r="GP186" s="249"/>
      <c r="GS186" s="249"/>
      <c r="GV186" s="249"/>
      <c r="GY186" s="249"/>
      <c r="HB186" s="249"/>
      <c r="HE186" s="249"/>
    </row>
    <row r="187" spans="1:213" x14ac:dyDescent="0.2">
      <c r="A187" s="267" t="s">
        <v>87</v>
      </c>
      <c r="B187" s="284">
        <v>2</v>
      </c>
      <c r="C187" s="262" t="s">
        <v>66</v>
      </c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W187" s="249"/>
      <c r="Z187" s="249"/>
      <c r="AC187" s="249"/>
      <c r="AD187" s="249"/>
      <c r="AE187" s="249"/>
      <c r="AF187" s="249"/>
      <c r="AG187" s="249"/>
      <c r="AJ187" s="249"/>
      <c r="AM187" s="249"/>
      <c r="AP187" s="249"/>
      <c r="AS187" s="249"/>
      <c r="AV187" s="249"/>
      <c r="AY187" s="249"/>
      <c r="BB187" s="249"/>
      <c r="BE187" s="249"/>
      <c r="BH187" s="249"/>
      <c r="BK187" s="249"/>
      <c r="BN187" s="249"/>
      <c r="BQ187" s="249"/>
      <c r="BT187" s="249"/>
      <c r="BW187" s="249"/>
      <c r="BZ187" s="249"/>
      <c r="CC187" s="249"/>
      <c r="CF187" s="249"/>
      <c r="CI187" s="249"/>
      <c r="CL187" s="249"/>
      <c r="CO187" s="249"/>
      <c r="CR187" s="249"/>
      <c r="CU187" s="249"/>
      <c r="CX187" s="249"/>
      <c r="DA187" s="249"/>
      <c r="DD187" s="249"/>
      <c r="DG187" s="249"/>
      <c r="DJ187" s="249"/>
      <c r="DM187" s="249"/>
      <c r="DP187" s="249"/>
      <c r="DS187" s="249"/>
      <c r="DV187" s="249"/>
      <c r="DY187" s="249"/>
      <c r="EB187" s="249"/>
      <c r="EE187" s="249"/>
      <c r="EH187" s="249"/>
      <c r="EK187" s="249"/>
      <c r="EN187" s="249"/>
      <c r="EQ187" s="249"/>
      <c r="ET187" s="249"/>
      <c r="EW187" s="249"/>
      <c r="EZ187" s="249"/>
      <c r="FC187" s="249"/>
      <c r="FF187" s="249"/>
      <c r="FI187" s="249"/>
      <c r="FL187" s="249"/>
      <c r="FO187" s="249"/>
      <c r="FR187" s="249"/>
      <c r="FU187" s="249"/>
      <c r="FX187" s="249"/>
      <c r="GA187" s="249"/>
      <c r="GD187" s="249"/>
      <c r="GG187" s="249"/>
      <c r="GJ187" s="249"/>
      <c r="GM187" s="249"/>
      <c r="GP187" s="249"/>
      <c r="GS187" s="249"/>
      <c r="GV187" s="249"/>
      <c r="GY187" s="249"/>
      <c r="HB187" s="249"/>
      <c r="HE187" s="249"/>
    </row>
    <row r="188" spans="1:213" x14ac:dyDescent="0.2">
      <c r="A188" s="267" t="s">
        <v>89</v>
      </c>
      <c r="B188" s="284">
        <v>2.6999999999999999E-5</v>
      </c>
      <c r="C188" s="249" t="s">
        <v>82</v>
      </c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W188" s="249"/>
      <c r="Z188" s="249"/>
      <c r="AC188" s="249"/>
      <c r="AD188" s="249"/>
      <c r="AE188" s="249"/>
      <c r="AF188" s="249"/>
      <c r="AG188" s="249"/>
      <c r="AJ188" s="249"/>
      <c r="AM188" s="249"/>
      <c r="AP188" s="249"/>
      <c r="AS188" s="249"/>
      <c r="AV188" s="249"/>
      <c r="AY188" s="249"/>
      <c r="BB188" s="249"/>
      <c r="BE188" s="249"/>
      <c r="BH188" s="249"/>
      <c r="BK188" s="249"/>
      <c r="BN188" s="249"/>
      <c r="BQ188" s="249"/>
      <c r="BT188" s="249"/>
      <c r="BW188" s="249"/>
      <c r="BZ188" s="249"/>
      <c r="CC188" s="249"/>
      <c r="CF188" s="249"/>
      <c r="CI188" s="249"/>
      <c r="CL188" s="249"/>
      <c r="CO188" s="249"/>
      <c r="CR188" s="249"/>
      <c r="CU188" s="249"/>
      <c r="CX188" s="249"/>
      <c r="DA188" s="249"/>
      <c r="DD188" s="249"/>
      <c r="DG188" s="249"/>
      <c r="DJ188" s="249"/>
      <c r="DM188" s="249"/>
      <c r="DP188" s="249"/>
      <c r="DS188" s="249"/>
      <c r="DV188" s="249"/>
      <c r="DY188" s="249"/>
      <c r="EB188" s="249"/>
      <c r="EE188" s="249"/>
      <c r="EH188" s="249"/>
      <c r="EK188" s="249"/>
      <c r="EN188" s="249"/>
      <c r="EQ188" s="249"/>
      <c r="ET188" s="249"/>
      <c r="EW188" s="249"/>
      <c r="EZ188" s="249"/>
      <c r="FC188" s="249"/>
      <c r="FF188" s="249"/>
      <c r="FI188" s="249"/>
      <c r="FL188" s="249"/>
      <c r="FO188" s="249"/>
      <c r="FR188" s="249"/>
      <c r="FU188" s="249"/>
      <c r="FX188" s="249"/>
      <c r="GA188" s="249"/>
      <c r="GD188" s="249"/>
      <c r="GG188" s="249"/>
      <c r="GJ188" s="249"/>
      <c r="GM188" s="249"/>
      <c r="GP188" s="249"/>
      <c r="GS188" s="249"/>
      <c r="GV188" s="249"/>
      <c r="GY188" s="249"/>
      <c r="HB188" s="249"/>
      <c r="HE188" s="249"/>
    </row>
    <row r="189" spans="1:213" x14ac:dyDescent="0.2">
      <c r="A189" s="267" t="s">
        <v>91</v>
      </c>
      <c r="B189" s="284">
        <v>1</v>
      </c>
      <c r="C189" s="249" t="s">
        <v>47</v>
      </c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W189" s="249"/>
      <c r="Z189" s="249"/>
      <c r="AC189" s="249"/>
      <c r="AD189" s="249"/>
      <c r="AE189" s="249"/>
      <c r="AF189" s="249"/>
      <c r="AG189" s="249"/>
      <c r="AJ189" s="249"/>
      <c r="AM189" s="249"/>
      <c r="AP189" s="249"/>
      <c r="AS189" s="249"/>
      <c r="AV189" s="249"/>
      <c r="AY189" s="249"/>
      <c r="BB189" s="249"/>
      <c r="BE189" s="249"/>
      <c r="BH189" s="249"/>
      <c r="BK189" s="249"/>
      <c r="BN189" s="249"/>
      <c r="BQ189" s="249"/>
      <c r="BT189" s="249"/>
      <c r="BW189" s="249"/>
      <c r="BZ189" s="249"/>
      <c r="CC189" s="249"/>
      <c r="CF189" s="249"/>
      <c r="CI189" s="249"/>
      <c r="CL189" s="249"/>
      <c r="CO189" s="249"/>
      <c r="CR189" s="249"/>
      <c r="CU189" s="249"/>
      <c r="CX189" s="249"/>
      <c r="DA189" s="249"/>
      <c r="DD189" s="249"/>
      <c r="DG189" s="249"/>
      <c r="DJ189" s="249"/>
      <c r="DM189" s="249"/>
      <c r="DP189" s="249"/>
      <c r="DS189" s="249"/>
      <c r="DV189" s="249"/>
      <c r="DY189" s="249"/>
      <c r="EB189" s="249"/>
      <c r="EE189" s="249"/>
      <c r="EH189" s="249"/>
      <c r="EK189" s="249"/>
      <c r="EN189" s="249"/>
      <c r="EQ189" s="249"/>
      <c r="ET189" s="249"/>
      <c r="EW189" s="249"/>
      <c r="EZ189" s="249"/>
      <c r="FC189" s="249"/>
      <c r="FF189" s="249"/>
      <c r="FI189" s="249"/>
      <c r="FL189" s="249"/>
      <c r="FO189" s="249"/>
      <c r="FR189" s="249"/>
      <c r="FU189" s="249"/>
      <c r="FX189" s="249"/>
      <c r="GA189" s="249"/>
      <c r="GD189" s="249"/>
      <c r="GG189" s="249"/>
      <c r="GJ189" s="249"/>
      <c r="GM189" s="249"/>
      <c r="GP189" s="249"/>
      <c r="GS189" s="249"/>
      <c r="GV189" s="249"/>
      <c r="GY189" s="249"/>
      <c r="HB189" s="249"/>
      <c r="HE189" s="249"/>
    </row>
    <row r="190" spans="1:213" x14ac:dyDescent="0.2">
      <c r="A190" s="267" t="s">
        <v>92</v>
      </c>
      <c r="B190" s="284">
        <v>14</v>
      </c>
      <c r="C190" s="249" t="s">
        <v>93</v>
      </c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W190" s="249"/>
      <c r="Z190" s="249"/>
      <c r="AC190" s="249"/>
      <c r="AD190" s="249"/>
      <c r="AE190" s="249"/>
      <c r="AF190" s="249"/>
      <c r="AG190" s="249"/>
      <c r="AJ190" s="249"/>
      <c r="AM190" s="249"/>
      <c r="AP190" s="249"/>
      <c r="AS190" s="249"/>
      <c r="AV190" s="249"/>
      <c r="AY190" s="249"/>
      <c r="BB190" s="249"/>
      <c r="BE190" s="249"/>
      <c r="BH190" s="249"/>
      <c r="BK190" s="249"/>
      <c r="BN190" s="249"/>
      <c r="BQ190" s="249"/>
      <c r="BT190" s="249"/>
      <c r="BW190" s="249"/>
      <c r="BZ190" s="249"/>
      <c r="CC190" s="249"/>
      <c r="CF190" s="249"/>
      <c r="CI190" s="249"/>
      <c r="CL190" s="249"/>
      <c r="CO190" s="249"/>
      <c r="CR190" s="249"/>
      <c r="CU190" s="249"/>
      <c r="CX190" s="249"/>
      <c r="DA190" s="249"/>
      <c r="DD190" s="249"/>
      <c r="DG190" s="249"/>
      <c r="DJ190" s="249"/>
      <c r="DM190" s="249"/>
      <c r="DP190" s="249"/>
      <c r="DS190" s="249"/>
      <c r="DV190" s="249"/>
      <c r="DY190" s="249"/>
      <c r="EB190" s="249"/>
      <c r="EE190" s="249"/>
      <c r="EH190" s="249"/>
      <c r="EK190" s="249"/>
      <c r="EN190" s="249"/>
      <c r="EQ190" s="249"/>
      <c r="ET190" s="249"/>
      <c r="EW190" s="249"/>
      <c r="EZ190" s="249"/>
      <c r="FC190" s="249"/>
      <c r="FF190" s="249"/>
      <c r="FI190" s="249"/>
      <c r="FL190" s="249"/>
      <c r="FO190" s="249"/>
      <c r="FR190" s="249"/>
      <c r="FU190" s="249"/>
      <c r="FX190" s="249"/>
      <c r="GA190" s="249"/>
      <c r="GD190" s="249"/>
      <c r="GG190" s="249"/>
      <c r="GJ190" s="249"/>
      <c r="GM190" s="249"/>
      <c r="GP190" s="249"/>
      <c r="GS190" s="249"/>
      <c r="GV190" s="249"/>
      <c r="GY190" s="249"/>
      <c r="HB190" s="249"/>
      <c r="HE190" s="249"/>
    </row>
    <row r="191" spans="1:213" x14ac:dyDescent="0.2">
      <c r="A191" s="262" t="s">
        <v>29</v>
      </c>
      <c r="B191" s="284">
        <v>92</v>
      </c>
      <c r="C191" s="262" t="s">
        <v>30</v>
      </c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W191" s="249"/>
      <c r="Z191" s="249"/>
      <c r="AC191" s="249"/>
      <c r="AD191" s="249"/>
      <c r="AE191" s="249"/>
      <c r="AF191" s="249"/>
      <c r="AG191" s="249"/>
      <c r="AJ191" s="249"/>
      <c r="AM191" s="249"/>
      <c r="AP191" s="249"/>
      <c r="AS191" s="249"/>
      <c r="AV191" s="249"/>
      <c r="AY191" s="249"/>
      <c r="BB191" s="249"/>
      <c r="BE191" s="249"/>
      <c r="BH191" s="249"/>
      <c r="BK191" s="249"/>
      <c r="BN191" s="249"/>
      <c r="BQ191" s="249"/>
      <c r="BT191" s="249"/>
      <c r="BW191" s="249"/>
      <c r="BZ191" s="249"/>
      <c r="CC191" s="249"/>
      <c r="CF191" s="249"/>
      <c r="CI191" s="249"/>
      <c r="CL191" s="249"/>
      <c r="CO191" s="249"/>
      <c r="CR191" s="249"/>
      <c r="CU191" s="249"/>
      <c r="CX191" s="249"/>
      <c r="DA191" s="249"/>
      <c r="DD191" s="249"/>
      <c r="DG191" s="249"/>
      <c r="DJ191" s="249"/>
      <c r="DM191" s="249"/>
      <c r="DP191" s="249"/>
      <c r="DS191" s="249"/>
      <c r="DV191" s="249"/>
      <c r="DY191" s="249"/>
      <c r="EB191" s="249"/>
      <c r="EE191" s="249"/>
      <c r="EH191" s="249"/>
      <c r="EK191" s="249"/>
      <c r="EN191" s="249"/>
      <c r="EQ191" s="249"/>
      <c r="ET191" s="249"/>
      <c r="EW191" s="249"/>
      <c r="EZ191" s="249"/>
      <c r="FC191" s="249"/>
      <c r="FF191" s="249"/>
      <c r="FI191" s="249"/>
      <c r="FL191" s="249"/>
      <c r="FO191" s="249"/>
      <c r="FR191" s="249"/>
      <c r="FU191" s="249"/>
      <c r="FX191" s="249"/>
      <c r="GA191" s="249"/>
      <c r="GD191" s="249"/>
      <c r="GG191" s="249"/>
      <c r="GJ191" s="249"/>
      <c r="GM191" s="249"/>
      <c r="GP191" s="249"/>
      <c r="GS191" s="249"/>
      <c r="GV191" s="249"/>
      <c r="GY191" s="249"/>
      <c r="HB191" s="249"/>
      <c r="HE191" s="249"/>
    </row>
    <row r="192" spans="1:213" x14ac:dyDescent="0.2">
      <c r="A192" s="249" t="s">
        <v>287</v>
      </c>
      <c r="B192" s="283">
        <v>1.03</v>
      </c>
      <c r="C192" s="249" t="s">
        <v>288</v>
      </c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W192" s="249"/>
      <c r="Z192" s="249"/>
      <c r="AC192" s="249"/>
      <c r="AD192" s="249"/>
      <c r="AE192" s="249"/>
      <c r="AF192" s="249"/>
      <c r="AG192" s="249"/>
      <c r="AJ192" s="249"/>
      <c r="AM192" s="249"/>
      <c r="AP192" s="249"/>
      <c r="AS192" s="249"/>
      <c r="AV192" s="249"/>
      <c r="AY192" s="249"/>
      <c r="BB192" s="249"/>
      <c r="BE192" s="249"/>
      <c r="BH192" s="249"/>
      <c r="BK192" s="249"/>
      <c r="BN192" s="249"/>
      <c r="BQ192" s="249"/>
      <c r="BT192" s="249"/>
      <c r="BW192" s="249"/>
      <c r="BZ192" s="249"/>
      <c r="CC192" s="249"/>
      <c r="CF192" s="249"/>
      <c r="CI192" s="249"/>
      <c r="CL192" s="249"/>
      <c r="CO192" s="249"/>
      <c r="CR192" s="249"/>
      <c r="CU192" s="249"/>
      <c r="CX192" s="249"/>
      <c r="DA192" s="249"/>
      <c r="DD192" s="249"/>
      <c r="DG192" s="249"/>
      <c r="DJ192" s="249"/>
      <c r="DM192" s="249"/>
      <c r="DP192" s="249"/>
      <c r="DS192" s="249"/>
      <c r="DV192" s="249"/>
      <c r="DY192" s="249"/>
      <c r="EB192" s="249"/>
      <c r="EE192" s="249"/>
      <c r="EH192" s="249"/>
      <c r="EK192" s="249"/>
      <c r="EN192" s="249"/>
      <c r="EQ192" s="249"/>
      <c r="ET192" s="249"/>
      <c r="EW192" s="249"/>
      <c r="EZ192" s="249"/>
      <c r="FC192" s="249"/>
      <c r="FF192" s="249"/>
      <c r="FI192" s="249"/>
      <c r="FL192" s="249"/>
      <c r="FO192" s="249"/>
      <c r="FR192" s="249"/>
      <c r="FU192" s="249"/>
      <c r="FX192" s="249"/>
      <c r="GA192" s="249"/>
      <c r="GD192" s="249"/>
      <c r="GG192" s="249"/>
      <c r="GJ192" s="249"/>
      <c r="GM192" s="249"/>
      <c r="GP192" s="249"/>
      <c r="GS192" s="249"/>
      <c r="GV192" s="249"/>
      <c r="GY192" s="249"/>
      <c r="HB192" s="249"/>
      <c r="HE192" s="249"/>
    </row>
    <row r="193" spans="1:213" x14ac:dyDescent="0.2">
      <c r="A193" s="262" t="s">
        <v>406</v>
      </c>
      <c r="B193" s="284">
        <v>20.3</v>
      </c>
      <c r="C193" s="249" t="s">
        <v>283</v>
      </c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W193" s="249"/>
      <c r="Z193" s="249"/>
      <c r="AC193" s="249"/>
      <c r="AD193" s="249"/>
      <c r="AE193" s="249"/>
      <c r="AF193" s="249"/>
      <c r="AG193" s="249"/>
      <c r="AJ193" s="249"/>
      <c r="AM193" s="249"/>
      <c r="AP193" s="249"/>
      <c r="AS193" s="249"/>
      <c r="AV193" s="249"/>
      <c r="AY193" s="249"/>
      <c r="BB193" s="249"/>
      <c r="BE193" s="249"/>
      <c r="BH193" s="249"/>
      <c r="BK193" s="249"/>
      <c r="BN193" s="249"/>
      <c r="BQ193" s="249"/>
      <c r="BT193" s="249"/>
      <c r="BW193" s="249"/>
      <c r="BZ193" s="249"/>
      <c r="CC193" s="249"/>
      <c r="CF193" s="249"/>
      <c r="CI193" s="249"/>
      <c r="CL193" s="249"/>
      <c r="CO193" s="249"/>
      <c r="CR193" s="249"/>
      <c r="CU193" s="249"/>
      <c r="CX193" s="249"/>
      <c r="DA193" s="249"/>
      <c r="DD193" s="249"/>
      <c r="DG193" s="249"/>
      <c r="DJ193" s="249"/>
      <c r="DM193" s="249"/>
      <c r="DP193" s="249"/>
      <c r="DS193" s="249"/>
      <c r="DV193" s="249"/>
      <c r="DY193" s="249"/>
      <c r="EB193" s="249"/>
      <c r="EE193" s="249"/>
      <c r="EH193" s="249"/>
      <c r="EK193" s="249"/>
      <c r="EN193" s="249"/>
      <c r="EQ193" s="249"/>
      <c r="ET193" s="249"/>
      <c r="EW193" s="249"/>
      <c r="EZ193" s="249"/>
      <c r="FC193" s="249"/>
      <c r="FF193" s="249"/>
      <c r="FI193" s="249"/>
      <c r="FL193" s="249"/>
      <c r="FO193" s="249"/>
      <c r="FR193" s="249"/>
      <c r="FU193" s="249"/>
      <c r="FX193" s="249"/>
      <c r="GA193" s="249"/>
      <c r="GD193" s="249"/>
      <c r="GG193" s="249"/>
      <c r="GJ193" s="249"/>
      <c r="GM193" s="249"/>
      <c r="GP193" s="249"/>
      <c r="GS193" s="249"/>
      <c r="GV193" s="249"/>
      <c r="GY193" s="249"/>
      <c r="HB193" s="249"/>
      <c r="HE193" s="249"/>
    </row>
    <row r="194" spans="1:213" x14ac:dyDescent="0.2">
      <c r="A194" s="262" t="s">
        <v>407</v>
      </c>
      <c r="B194" s="284">
        <v>0.4</v>
      </c>
      <c r="C194" s="249" t="s">
        <v>283</v>
      </c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W194" s="249"/>
      <c r="Z194" s="249"/>
      <c r="AC194" s="249"/>
      <c r="AD194" s="249"/>
      <c r="AE194" s="249"/>
      <c r="AF194" s="249"/>
      <c r="AG194" s="249"/>
      <c r="AJ194" s="249"/>
      <c r="AM194" s="249"/>
      <c r="AP194" s="249"/>
      <c r="AS194" s="249"/>
      <c r="AV194" s="249"/>
      <c r="AY194" s="249"/>
      <c r="BB194" s="249"/>
      <c r="BE194" s="249"/>
      <c r="BH194" s="249"/>
      <c r="BK194" s="249"/>
      <c r="BN194" s="249"/>
      <c r="BQ194" s="249"/>
      <c r="BT194" s="249"/>
      <c r="BW194" s="249"/>
      <c r="BZ194" s="249"/>
      <c r="CC194" s="249"/>
      <c r="CF194" s="249"/>
      <c r="CI194" s="249"/>
      <c r="CL194" s="249"/>
      <c r="CO194" s="249"/>
      <c r="CR194" s="249"/>
      <c r="CU194" s="249"/>
      <c r="CX194" s="249"/>
      <c r="DA194" s="249"/>
      <c r="DD194" s="249"/>
      <c r="DG194" s="249"/>
      <c r="DJ194" s="249"/>
      <c r="DM194" s="249"/>
      <c r="DP194" s="249"/>
      <c r="DS194" s="249"/>
      <c r="DV194" s="249"/>
      <c r="DY194" s="249"/>
      <c r="EB194" s="249"/>
      <c r="EE194" s="249"/>
      <c r="EH194" s="249"/>
      <c r="EK194" s="249"/>
      <c r="EN194" s="249"/>
      <c r="EQ194" s="249"/>
      <c r="ET194" s="249"/>
      <c r="EW194" s="249"/>
      <c r="EZ194" s="249"/>
      <c r="FC194" s="249"/>
      <c r="FF194" s="249"/>
      <c r="FI194" s="249"/>
      <c r="FL194" s="249"/>
      <c r="FO194" s="249"/>
      <c r="FR194" s="249"/>
      <c r="FU194" s="249"/>
      <c r="FX194" s="249"/>
      <c r="GA194" s="249"/>
      <c r="GD194" s="249"/>
      <c r="GG194" s="249"/>
      <c r="GJ194" s="249"/>
      <c r="GM194" s="249"/>
      <c r="GP194" s="249"/>
      <c r="GS194" s="249"/>
      <c r="GV194" s="249"/>
      <c r="GY194" s="249"/>
      <c r="HB194" s="249"/>
      <c r="HE194" s="249"/>
    </row>
    <row r="195" spans="1:213" x14ac:dyDescent="0.2">
      <c r="A195" s="262" t="s">
        <v>408</v>
      </c>
      <c r="B195" s="284">
        <v>1</v>
      </c>
      <c r="C195" s="247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W195" s="249"/>
      <c r="Z195" s="249"/>
      <c r="AC195" s="249"/>
      <c r="AD195" s="249"/>
      <c r="AE195" s="249"/>
      <c r="AF195" s="249"/>
      <c r="AG195" s="249"/>
      <c r="AJ195" s="249"/>
      <c r="AM195" s="249"/>
      <c r="AP195" s="249"/>
      <c r="AS195" s="249"/>
      <c r="AV195" s="249"/>
      <c r="AY195" s="249"/>
      <c r="BB195" s="249"/>
      <c r="BE195" s="249"/>
      <c r="BH195" s="249"/>
      <c r="BK195" s="249"/>
      <c r="BN195" s="249"/>
      <c r="BQ195" s="249"/>
      <c r="BT195" s="249"/>
      <c r="BW195" s="249"/>
      <c r="BZ195" s="249"/>
      <c r="CC195" s="249"/>
      <c r="CF195" s="249"/>
      <c r="CI195" s="249"/>
      <c r="CL195" s="249"/>
      <c r="CO195" s="249"/>
      <c r="CR195" s="249"/>
      <c r="CU195" s="249"/>
      <c r="CX195" s="249"/>
      <c r="DA195" s="249"/>
      <c r="DD195" s="249"/>
      <c r="DG195" s="249"/>
      <c r="DJ195" s="249"/>
      <c r="DM195" s="249"/>
      <c r="DP195" s="249"/>
      <c r="DS195" s="249"/>
      <c r="DV195" s="249"/>
      <c r="DY195" s="249"/>
      <c r="EB195" s="249"/>
      <c r="EE195" s="249"/>
      <c r="EH195" s="249"/>
      <c r="EK195" s="249"/>
      <c r="EN195" s="249"/>
      <c r="EQ195" s="249"/>
      <c r="ET195" s="249"/>
      <c r="EW195" s="249"/>
      <c r="EZ195" s="249"/>
      <c r="FC195" s="249"/>
      <c r="FF195" s="249"/>
      <c r="FI195" s="249"/>
      <c r="FL195" s="249"/>
      <c r="FO195" s="249"/>
      <c r="FR195" s="249"/>
      <c r="FU195" s="249"/>
      <c r="FX195" s="249"/>
      <c r="GA195" s="249"/>
      <c r="GD195" s="249"/>
      <c r="GG195" s="249"/>
      <c r="GJ195" s="249"/>
      <c r="GM195" s="249"/>
      <c r="GP195" s="249"/>
      <c r="GS195" s="249"/>
      <c r="GV195" s="249"/>
      <c r="GY195" s="249"/>
      <c r="HB195" s="249"/>
      <c r="HE195" s="249"/>
    </row>
    <row r="196" spans="1:213" x14ac:dyDescent="0.2">
      <c r="A196" s="262" t="s">
        <v>409</v>
      </c>
      <c r="B196" s="284">
        <v>1</v>
      </c>
      <c r="C196" s="247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W196" s="249"/>
      <c r="Z196" s="249"/>
      <c r="AC196" s="249"/>
      <c r="AD196" s="249"/>
      <c r="AE196" s="249"/>
      <c r="AF196" s="249"/>
      <c r="AG196" s="249"/>
      <c r="AJ196" s="249"/>
      <c r="AM196" s="249"/>
      <c r="AP196" s="249"/>
      <c r="AS196" s="249"/>
      <c r="AV196" s="249"/>
      <c r="AY196" s="249"/>
      <c r="BB196" s="249"/>
      <c r="BE196" s="249"/>
      <c r="BH196" s="249"/>
      <c r="BK196" s="249"/>
      <c r="BN196" s="249"/>
      <c r="BQ196" s="249"/>
      <c r="BT196" s="249"/>
      <c r="BW196" s="249"/>
      <c r="BZ196" s="249"/>
      <c r="CC196" s="249"/>
      <c r="CF196" s="249"/>
      <c r="CI196" s="249"/>
      <c r="CL196" s="249"/>
      <c r="CO196" s="249"/>
      <c r="CR196" s="249"/>
      <c r="CU196" s="249"/>
      <c r="CX196" s="249"/>
      <c r="DA196" s="249"/>
      <c r="DD196" s="249"/>
      <c r="DG196" s="249"/>
      <c r="DJ196" s="249"/>
      <c r="DM196" s="249"/>
      <c r="DP196" s="249"/>
      <c r="DS196" s="249"/>
      <c r="DV196" s="249"/>
      <c r="DY196" s="249"/>
      <c r="EB196" s="249"/>
      <c r="EE196" s="249"/>
      <c r="EH196" s="249"/>
      <c r="EK196" s="249"/>
      <c r="EN196" s="249"/>
      <c r="EQ196" s="249"/>
      <c r="ET196" s="249"/>
      <c r="EW196" s="249"/>
      <c r="EZ196" s="249"/>
      <c r="FC196" s="249"/>
      <c r="FF196" s="249"/>
      <c r="FI196" s="249"/>
      <c r="FL196" s="249"/>
      <c r="FO196" s="249"/>
      <c r="FR196" s="249"/>
      <c r="FU196" s="249"/>
      <c r="FX196" s="249"/>
      <c r="GA196" s="249"/>
      <c r="GD196" s="249"/>
      <c r="GG196" s="249"/>
      <c r="GJ196" s="249"/>
      <c r="GM196" s="249"/>
      <c r="GP196" s="249"/>
      <c r="GS196" s="249"/>
      <c r="GV196" s="249"/>
      <c r="GY196" s="249"/>
      <c r="HB196" s="249"/>
      <c r="HE196" s="249"/>
    </row>
    <row r="197" spans="1:213" x14ac:dyDescent="0.2">
      <c r="A197" s="262" t="s">
        <v>31</v>
      </c>
      <c r="B197" s="284">
        <v>53</v>
      </c>
      <c r="C197" s="262" t="s">
        <v>30</v>
      </c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W197" s="249"/>
      <c r="Z197" s="249"/>
      <c r="AC197" s="249"/>
      <c r="AD197" s="249"/>
      <c r="AE197" s="249"/>
      <c r="AF197" s="249"/>
      <c r="AG197" s="249"/>
      <c r="AJ197" s="249"/>
      <c r="AM197" s="249"/>
      <c r="AP197" s="249"/>
      <c r="AS197" s="249"/>
      <c r="AV197" s="249"/>
      <c r="AY197" s="249"/>
      <c r="BB197" s="249"/>
      <c r="BE197" s="249"/>
      <c r="BH197" s="249"/>
      <c r="BK197" s="249"/>
      <c r="BN197" s="249"/>
      <c r="BQ197" s="249"/>
      <c r="BT197" s="249"/>
      <c r="BW197" s="249"/>
      <c r="BZ197" s="249"/>
      <c r="CC197" s="249"/>
      <c r="CF197" s="249"/>
      <c r="CI197" s="249"/>
      <c r="CL197" s="249"/>
      <c r="CO197" s="249"/>
      <c r="CR197" s="249"/>
      <c r="CU197" s="249"/>
      <c r="CX197" s="249"/>
      <c r="DA197" s="249"/>
      <c r="DD197" s="249"/>
      <c r="DG197" s="249"/>
      <c r="DJ197" s="249"/>
      <c r="DM197" s="249"/>
      <c r="DP197" s="249"/>
      <c r="DS197" s="249"/>
      <c r="DV197" s="249"/>
      <c r="DY197" s="249"/>
      <c r="EB197" s="249"/>
      <c r="EE197" s="249"/>
      <c r="EH197" s="249"/>
      <c r="EK197" s="249"/>
      <c r="EN197" s="249"/>
      <c r="EQ197" s="249"/>
      <c r="ET197" s="249"/>
      <c r="EW197" s="249"/>
      <c r="EZ197" s="249"/>
      <c r="FC197" s="249"/>
      <c r="FF197" s="249"/>
      <c r="FI197" s="249"/>
      <c r="FL197" s="249"/>
      <c r="FO197" s="249"/>
      <c r="FR197" s="249"/>
      <c r="FU197" s="249"/>
      <c r="FX197" s="249"/>
      <c r="GA197" s="249"/>
      <c r="GD197" s="249"/>
      <c r="GG197" s="249"/>
      <c r="GJ197" s="249"/>
      <c r="GM197" s="249"/>
      <c r="GP197" s="249"/>
      <c r="GS197" s="249"/>
      <c r="GV197" s="249"/>
      <c r="GY197" s="249"/>
      <c r="HB197" s="249"/>
      <c r="HE197" s="249"/>
    </row>
    <row r="198" spans="1:213" x14ac:dyDescent="0.2">
      <c r="A198" s="262" t="s">
        <v>410</v>
      </c>
      <c r="B198" s="284">
        <v>11.77</v>
      </c>
      <c r="C198" s="249" t="s">
        <v>283</v>
      </c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W198" s="249"/>
      <c r="Z198" s="249"/>
      <c r="AC198" s="249"/>
      <c r="AD198" s="249"/>
      <c r="AE198" s="249"/>
      <c r="AF198" s="249"/>
      <c r="AG198" s="249"/>
      <c r="AJ198" s="249"/>
      <c r="AM198" s="249"/>
      <c r="AP198" s="249"/>
      <c r="AS198" s="249"/>
      <c r="AV198" s="249"/>
      <c r="AY198" s="249"/>
      <c r="BB198" s="249"/>
      <c r="BE198" s="249"/>
      <c r="BH198" s="249"/>
      <c r="BK198" s="249"/>
      <c r="BN198" s="249"/>
      <c r="BQ198" s="249"/>
      <c r="BT198" s="249"/>
      <c r="BW198" s="249"/>
      <c r="BZ198" s="249"/>
      <c r="CC198" s="249"/>
      <c r="CF198" s="249"/>
      <c r="CI198" s="249"/>
      <c r="CL198" s="249"/>
      <c r="CO198" s="249"/>
      <c r="CR198" s="249"/>
      <c r="CU198" s="249"/>
      <c r="CX198" s="249"/>
      <c r="DA198" s="249"/>
      <c r="DD198" s="249"/>
      <c r="DG198" s="249"/>
      <c r="DJ198" s="249"/>
      <c r="DM198" s="249"/>
      <c r="DP198" s="249"/>
      <c r="DS198" s="249"/>
      <c r="DV198" s="249"/>
      <c r="DY198" s="249"/>
      <c r="EB198" s="249"/>
      <c r="EE198" s="249"/>
      <c r="EH198" s="249"/>
      <c r="EK198" s="249"/>
      <c r="EN198" s="249"/>
      <c r="EQ198" s="249"/>
      <c r="ET198" s="249"/>
      <c r="EW198" s="249"/>
      <c r="EZ198" s="249"/>
      <c r="FC198" s="249"/>
      <c r="FF198" s="249"/>
      <c r="FI198" s="249"/>
      <c r="FL198" s="249"/>
      <c r="FO198" s="249"/>
      <c r="FR198" s="249"/>
      <c r="FU198" s="249"/>
      <c r="FX198" s="249"/>
      <c r="GA198" s="249"/>
      <c r="GD198" s="249"/>
      <c r="GG198" s="249"/>
      <c r="GJ198" s="249"/>
      <c r="GM198" s="249"/>
      <c r="GP198" s="249"/>
      <c r="GS198" s="249"/>
      <c r="GV198" s="249"/>
      <c r="GY198" s="249"/>
      <c r="HB198" s="249"/>
      <c r="HE198" s="249"/>
    </row>
    <row r="199" spans="1:213" x14ac:dyDescent="0.2">
      <c r="A199" s="262" t="s">
        <v>411</v>
      </c>
      <c r="B199" s="284">
        <v>0.5</v>
      </c>
      <c r="C199" s="249" t="s">
        <v>283</v>
      </c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W199" s="249"/>
      <c r="Z199" s="249"/>
      <c r="AC199" s="249"/>
      <c r="AD199" s="249"/>
      <c r="AE199" s="249"/>
      <c r="AF199" s="249"/>
      <c r="AG199" s="249"/>
      <c r="AJ199" s="249"/>
      <c r="AM199" s="249"/>
      <c r="AP199" s="249"/>
      <c r="AS199" s="249"/>
      <c r="AV199" s="249"/>
      <c r="AY199" s="249"/>
      <c r="BB199" s="249"/>
      <c r="BE199" s="249"/>
      <c r="BH199" s="249"/>
      <c r="BK199" s="249"/>
      <c r="BN199" s="249"/>
      <c r="BQ199" s="249"/>
      <c r="BT199" s="249"/>
      <c r="BW199" s="249"/>
      <c r="BZ199" s="249"/>
      <c r="CC199" s="249"/>
      <c r="CF199" s="249"/>
      <c r="CI199" s="249"/>
      <c r="CL199" s="249"/>
      <c r="CO199" s="249"/>
      <c r="CR199" s="249"/>
      <c r="CU199" s="249"/>
      <c r="CX199" s="249"/>
      <c r="DA199" s="249"/>
      <c r="DD199" s="249"/>
      <c r="DG199" s="249"/>
      <c r="DJ199" s="249"/>
      <c r="DM199" s="249"/>
      <c r="DP199" s="249"/>
      <c r="DS199" s="249"/>
      <c r="DV199" s="249"/>
      <c r="DY199" s="249"/>
      <c r="EB199" s="249"/>
      <c r="EE199" s="249"/>
      <c r="EH199" s="249"/>
      <c r="EK199" s="249"/>
      <c r="EN199" s="249"/>
      <c r="EQ199" s="249"/>
      <c r="ET199" s="249"/>
      <c r="EW199" s="249"/>
      <c r="EZ199" s="249"/>
      <c r="FC199" s="249"/>
      <c r="FF199" s="249"/>
      <c r="FI199" s="249"/>
      <c r="FL199" s="249"/>
      <c r="FO199" s="249"/>
      <c r="FR199" s="249"/>
      <c r="FU199" s="249"/>
      <c r="FX199" s="249"/>
      <c r="GA199" s="249"/>
      <c r="GD199" s="249"/>
      <c r="GG199" s="249"/>
      <c r="GJ199" s="249"/>
      <c r="GM199" s="249"/>
      <c r="GP199" s="249"/>
      <c r="GS199" s="249"/>
      <c r="GV199" s="249"/>
      <c r="GY199" s="249"/>
      <c r="HB199" s="249"/>
      <c r="HE199" s="249"/>
    </row>
    <row r="200" spans="1:213" x14ac:dyDescent="0.2">
      <c r="A200" s="262" t="s">
        <v>412</v>
      </c>
      <c r="B200" s="284">
        <v>1</v>
      </c>
      <c r="C200" s="247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W200" s="249"/>
      <c r="Z200" s="249"/>
      <c r="AC200" s="249"/>
      <c r="AD200" s="249"/>
      <c r="AE200" s="249"/>
      <c r="AF200" s="249"/>
      <c r="AG200" s="249"/>
      <c r="AJ200" s="249"/>
      <c r="AM200" s="249"/>
      <c r="AP200" s="249"/>
      <c r="AS200" s="249"/>
      <c r="AV200" s="249"/>
      <c r="AY200" s="249"/>
      <c r="BB200" s="249"/>
      <c r="BE200" s="249"/>
      <c r="BH200" s="249"/>
      <c r="BK200" s="249"/>
      <c r="BN200" s="249"/>
      <c r="BQ200" s="249"/>
      <c r="BT200" s="249"/>
      <c r="BW200" s="249"/>
      <c r="BZ200" s="249"/>
      <c r="CC200" s="249"/>
      <c r="CF200" s="249"/>
      <c r="CI200" s="249"/>
      <c r="CL200" s="249"/>
      <c r="CO200" s="249"/>
      <c r="CR200" s="249"/>
      <c r="CU200" s="249"/>
      <c r="CX200" s="249"/>
      <c r="DA200" s="249"/>
      <c r="DD200" s="249"/>
      <c r="DG200" s="249"/>
      <c r="DJ200" s="249"/>
      <c r="DM200" s="249"/>
      <c r="DP200" s="249"/>
      <c r="DS200" s="249"/>
      <c r="DV200" s="249"/>
      <c r="DY200" s="249"/>
      <c r="EB200" s="249"/>
      <c r="EE200" s="249"/>
      <c r="EH200" s="249"/>
      <c r="EK200" s="249"/>
      <c r="EN200" s="249"/>
      <c r="EQ200" s="249"/>
      <c r="ET200" s="249"/>
      <c r="EW200" s="249"/>
      <c r="EZ200" s="249"/>
      <c r="FC200" s="249"/>
      <c r="FF200" s="249"/>
      <c r="FI200" s="249"/>
      <c r="FL200" s="249"/>
      <c r="FO200" s="249"/>
      <c r="FR200" s="249"/>
      <c r="FU200" s="249"/>
      <c r="FX200" s="249"/>
      <c r="GA200" s="249"/>
      <c r="GD200" s="249"/>
      <c r="GG200" s="249"/>
      <c r="GJ200" s="249"/>
      <c r="GM200" s="249"/>
      <c r="GP200" s="249"/>
      <c r="GS200" s="249"/>
      <c r="GV200" s="249"/>
      <c r="GY200" s="249"/>
      <c r="HB200" s="249"/>
      <c r="HE200" s="249"/>
    </row>
    <row r="201" spans="1:213" x14ac:dyDescent="0.2">
      <c r="A201" s="262" t="s">
        <v>413</v>
      </c>
      <c r="B201" s="284">
        <v>1</v>
      </c>
      <c r="C201" s="247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W201" s="249"/>
      <c r="Z201" s="249"/>
      <c r="AC201" s="249"/>
      <c r="AD201" s="249"/>
      <c r="AE201" s="249"/>
      <c r="AF201" s="249"/>
      <c r="AG201" s="249"/>
      <c r="AJ201" s="249"/>
      <c r="AM201" s="249"/>
      <c r="AP201" s="249"/>
      <c r="AS201" s="249"/>
      <c r="AV201" s="249"/>
      <c r="AY201" s="249"/>
      <c r="BB201" s="249"/>
      <c r="BE201" s="249"/>
      <c r="BH201" s="249"/>
      <c r="BK201" s="249"/>
      <c r="BN201" s="249"/>
      <c r="BQ201" s="249"/>
      <c r="BT201" s="249"/>
      <c r="BW201" s="249"/>
      <c r="BZ201" s="249"/>
      <c r="CC201" s="249"/>
      <c r="CF201" s="249"/>
      <c r="CI201" s="249"/>
      <c r="CL201" s="249"/>
      <c r="CO201" s="249"/>
      <c r="CR201" s="249"/>
      <c r="CU201" s="249"/>
      <c r="CX201" s="249"/>
      <c r="DA201" s="249"/>
      <c r="DD201" s="249"/>
      <c r="DG201" s="249"/>
      <c r="DJ201" s="249"/>
      <c r="DM201" s="249"/>
      <c r="DP201" s="249"/>
      <c r="DS201" s="249"/>
      <c r="DV201" s="249"/>
      <c r="DY201" s="249"/>
      <c r="EB201" s="249"/>
      <c r="EE201" s="249"/>
      <c r="EH201" s="249"/>
      <c r="EK201" s="249"/>
      <c r="EN201" s="249"/>
      <c r="EQ201" s="249"/>
      <c r="ET201" s="249"/>
      <c r="EW201" s="249"/>
      <c r="EZ201" s="249"/>
      <c r="FC201" s="249"/>
      <c r="FF201" s="249"/>
      <c r="FI201" s="249"/>
      <c r="FL201" s="249"/>
      <c r="FO201" s="249"/>
      <c r="FR201" s="249"/>
      <c r="FU201" s="249"/>
      <c r="FX201" s="249"/>
      <c r="GA201" s="249"/>
      <c r="GD201" s="249"/>
      <c r="GG201" s="249"/>
      <c r="GJ201" s="249"/>
      <c r="GM201" s="249"/>
      <c r="GP201" s="249"/>
      <c r="GS201" s="249"/>
      <c r="GV201" s="249"/>
      <c r="GY201" s="249"/>
      <c r="HB201" s="249"/>
      <c r="HE201" s="249"/>
    </row>
    <row r="202" spans="1:213" x14ac:dyDescent="0.2">
      <c r="A202" s="262" t="s">
        <v>173</v>
      </c>
      <c r="B202" s="283">
        <v>0.4</v>
      </c>
      <c r="C202" s="262" t="s">
        <v>30</v>
      </c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W202" s="249"/>
      <c r="Z202" s="249"/>
      <c r="AC202" s="249"/>
      <c r="AD202" s="249"/>
      <c r="AE202" s="249"/>
      <c r="AF202" s="249"/>
      <c r="AG202" s="249"/>
      <c r="AJ202" s="249"/>
      <c r="AM202" s="249"/>
      <c r="AP202" s="249"/>
      <c r="AS202" s="249"/>
      <c r="AV202" s="249"/>
      <c r="AY202" s="249"/>
      <c r="BB202" s="249"/>
      <c r="BE202" s="249"/>
      <c r="BH202" s="249"/>
      <c r="BK202" s="249"/>
      <c r="BN202" s="249"/>
      <c r="BQ202" s="249"/>
      <c r="BT202" s="249"/>
      <c r="BW202" s="249"/>
      <c r="BZ202" s="249"/>
      <c r="CC202" s="249"/>
      <c r="CF202" s="249"/>
      <c r="CI202" s="249"/>
      <c r="CL202" s="249"/>
      <c r="CO202" s="249"/>
      <c r="CR202" s="249"/>
      <c r="CU202" s="249"/>
      <c r="CX202" s="249"/>
      <c r="DA202" s="249"/>
      <c r="DD202" s="249"/>
      <c r="DG202" s="249"/>
      <c r="DJ202" s="249"/>
      <c r="DM202" s="249"/>
      <c r="DP202" s="249"/>
      <c r="DS202" s="249"/>
      <c r="DV202" s="249"/>
      <c r="DY202" s="249"/>
      <c r="EB202" s="249"/>
      <c r="EE202" s="249"/>
      <c r="EH202" s="249"/>
      <c r="EK202" s="249"/>
      <c r="EN202" s="249"/>
      <c r="EQ202" s="249"/>
      <c r="ET202" s="249"/>
      <c r="EW202" s="249"/>
      <c r="EZ202" s="249"/>
      <c r="FC202" s="249"/>
      <c r="FF202" s="249"/>
      <c r="FI202" s="249"/>
      <c r="FL202" s="249"/>
      <c r="FO202" s="249"/>
      <c r="FR202" s="249"/>
      <c r="FU202" s="249"/>
      <c r="FX202" s="249"/>
      <c r="GA202" s="249"/>
      <c r="GD202" s="249"/>
      <c r="GG202" s="249"/>
      <c r="GJ202" s="249"/>
      <c r="GM202" s="249"/>
      <c r="GP202" s="249"/>
      <c r="GS202" s="249"/>
      <c r="GV202" s="249"/>
      <c r="GY202" s="249"/>
      <c r="HB202" s="249"/>
      <c r="HE202" s="249"/>
    </row>
    <row r="203" spans="1:213" x14ac:dyDescent="0.2">
      <c r="A203" s="262" t="s">
        <v>177</v>
      </c>
      <c r="B203" s="284">
        <v>0.2</v>
      </c>
      <c r="C203" s="249" t="s">
        <v>283</v>
      </c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W203" s="249"/>
      <c r="Z203" s="249"/>
      <c r="AC203" s="249"/>
      <c r="AD203" s="249"/>
      <c r="AE203" s="249"/>
      <c r="AF203" s="249"/>
      <c r="AG203" s="249"/>
      <c r="AJ203" s="249"/>
      <c r="AM203" s="249"/>
      <c r="AP203" s="249"/>
      <c r="AS203" s="249"/>
      <c r="AV203" s="249"/>
      <c r="AY203" s="249"/>
      <c r="BB203" s="249"/>
      <c r="BE203" s="249"/>
      <c r="BH203" s="249"/>
      <c r="BK203" s="249"/>
      <c r="BN203" s="249"/>
      <c r="BQ203" s="249"/>
      <c r="BT203" s="249"/>
      <c r="BW203" s="249"/>
      <c r="BZ203" s="249"/>
      <c r="CC203" s="249"/>
      <c r="CF203" s="249"/>
      <c r="CI203" s="249"/>
      <c r="CL203" s="249"/>
      <c r="CO203" s="249"/>
      <c r="CR203" s="249"/>
      <c r="CU203" s="249"/>
      <c r="CX203" s="249"/>
      <c r="DA203" s="249"/>
      <c r="DD203" s="249"/>
      <c r="DG203" s="249"/>
      <c r="DJ203" s="249"/>
      <c r="DM203" s="249"/>
      <c r="DP203" s="249"/>
      <c r="DS203" s="249"/>
      <c r="DV203" s="249"/>
      <c r="DY203" s="249"/>
      <c r="EB203" s="249"/>
      <c r="EE203" s="249"/>
      <c r="EH203" s="249"/>
      <c r="EK203" s="249"/>
      <c r="EN203" s="249"/>
      <c r="EQ203" s="249"/>
      <c r="ET203" s="249"/>
      <c r="EW203" s="249"/>
      <c r="EZ203" s="249"/>
      <c r="FC203" s="249"/>
      <c r="FF203" s="249"/>
      <c r="FI203" s="249"/>
      <c r="FL203" s="249"/>
      <c r="FO203" s="249"/>
      <c r="FR203" s="249"/>
      <c r="FU203" s="249"/>
      <c r="FX203" s="249"/>
      <c r="GA203" s="249"/>
      <c r="GD203" s="249"/>
      <c r="GG203" s="249"/>
      <c r="GJ203" s="249"/>
      <c r="GM203" s="249"/>
      <c r="GP203" s="249"/>
      <c r="GS203" s="249"/>
      <c r="GV203" s="249"/>
      <c r="GY203" s="249"/>
      <c r="HB203" s="249"/>
      <c r="HE203" s="249"/>
    </row>
    <row r="204" spans="1:213" x14ac:dyDescent="0.2">
      <c r="A204" s="262" t="s">
        <v>176</v>
      </c>
      <c r="B204" s="284">
        <v>2.1999999999999999E-2</v>
      </c>
      <c r="C204" s="249" t="s">
        <v>283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W204" s="249"/>
      <c r="Z204" s="249"/>
      <c r="AC204" s="249"/>
      <c r="AD204" s="249"/>
      <c r="AE204" s="249"/>
      <c r="AF204" s="249"/>
      <c r="AG204" s="249"/>
      <c r="AJ204" s="249"/>
      <c r="AM204" s="249"/>
      <c r="AP204" s="249"/>
      <c r="AS204" s="249"/>
      <c r="AV204" s="249"/>
      <c r="AY204" s="249"/>
      <c r="BB204" s="249"/>
      <c r="BE204" s="249"/>
      <c r="BH204" s="249"/>
      <c r="BK204" s="249"/>
      <c r="BN204" s="249"/>
      <c r="BQ204" s="249"/>
      <c r="BT204" s="249"/>
      <c r="BW204" s="249"/>
      <c r="BZ204" s="249"/>
      <c r="CC204" s="249"/>
      <c r="CF204" s="249"/>
      <c r="CI204" s="249"/>
      <c r="CL204" s="249"/>
      <c r="CO204" s="249"/>
      <c r="CR204" s="249"/>
      <c r="CU204" s="249"/>
      <c r="CX204" s="249"/>
      <c r="DA204" s="249"/>
      <c r="DD204" s="249"/>
      <c r="DG204" s="249"/>
      <c r="DJ204" s="249"/>
      <c r="DM204" s="249"/>
      <c r="DP204" s="249"/>
      <c r="DS204" s="249"/>
      <c r="DV204" s="249"/>
      <c r="DY204" s="249"/>
      <c r="EB204" s="249"/>
      <c r="EE204" s="249"/>
      <c r="EH204" s="249"/>
      <c r="EK204" s="249"/>
      <c r="EN204" s="249"/>
      <c r="EQ204" s="249"/>
      <c r="ET204" s="249"/>
      <c r="EW204" s="249"/>
      <c r="EZ204" s="249"/>
      <c r="FC204" s="249"/>
      <c r="FF204" s="249"/>
      <c r="FI204" s="249"/>
      <c r="FL204" s="249"/>
      <c r="FO204" s="249"/>
      <c r="FR204" s="249"/>
      <c r="FU204" s="249"/>
      <c r="FX204" s="249"/>
      <c r="GA204" s="249"/>
      <c r="GD204" s="249"/>
      <c r="GG204" s="249"/>
      <c r="GJ204" s="249"/>
      <c r="GM204" s="249"/>
      <c r="GP204" s="249"/>
      <c r="GS204" s="249"/>
      <c r="GV204" s="249"/>
      <c r="GY204" s="249"/>
      <c r="HB204" s="249"/>
      <c r="HE204" s="249"/>
    </row>
    <row r="205" spans="1:213" x14ac:dyDescent="0.2">
      <c r="A205" s="262" t="s">
        <v>178</v>
      </c>
      <c r="B205" s="283">
        <v>1</v>
      </c>
      <c r="C205" s="247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W205" s="249"/>
      <c r="Z205" s="249"/>
      <c r="AC205" s="249"/>
      <c r="AD205" s="249"/>
      <c r="AE205" s="249"/>
      <c r="AF205" s="249"/>
      <c r="AG205" s="249"/>
      <c r="AJ205" s="249"/>
      <c r="AM205" s="249"/>
      <c r="AP205" s="249"/>
      <c r="AS205" s="249"/>
      <c r="AV205" s="249"/>
      <c r="AY205" s="249"/>
      <c r="BB205" s="249"/>
      <c r="BE205" s="249"/>
      <c r="BH205" s="249"/>
      <c r="BK205" s="249"/>
      <c r="BN205" s="249"/>
      <c r="BQ205" s="249"/>
      <c r="BT205" s="249"/>
      <c r="BW205" s="249"/>
      <c r="BZ205" s="249"/>
      <c r="CC205" s="249"/>
      <c r="CF205" s="249"/>
      <c r="CI205" s="249"/>
      <c r="CL205" s="249"/>
      <c r="CO205" s="249"/>
      <c r="CR205" s="249"/>
      <c r="CU205" s="249"/>
      <c r="CX205" s="249"/>
      <c r="DA205" s="249"/>
      <c r="DD205" s="249"/>
      <c r="DG205" s="249"/>
      <c r="DJ205" s="249"/>
      <c r="DM205" s="249"/>
      <c r="DP205" s="249"/>
      <c r="DS205" s="249"/>
      <c r="DV205" s="249"/>
      <c r="DY205" s="249"/>
      <c r="EB205" s="249"/>
      <c r="EE205" s="249"/>
      <c r="EH205" s="249"/>
      <c r="EK205" s="249"/>
      <c r="EN205" s="249"/>
      <c r="EQ205" s="249"/>
      <c r="ET205" s="249"/>
      <c r="EW205" s="249"/>
      <c r="EZ205" s="249"/>
      <c r="FC205" s="249"/>
      <c r="FF205" s="249"/>
      <c r="FI205" s="249"/>
      <c r="FL205" s="249"/>
      <c r="FO205" s="249"/>
      <c r="FR205" s="249"/>
      <c r="FU205" s="249"/>
      <c r="FX205" s="249"/>
      <c r="GA205" s="249"/>
      <c r="GD205" s="249"/>
      <c r="GG205" s="249"/>
      <c r="GJ205" s="249"/>
      <c r="GM205" s="249"/>
      <c r="GP205" s="249"/>
      <c r="GS205" s="249"/>
      <c r="GV205" s="249"/>
      <c r="GY205" s="249"/>
      <c r="HB205" s="249"/>
      <c r="HE205" s="249"/>
    </row>
    <row r="206" spans="1:213" x14ac:dyDescent="0.2">
      <c r="A206" s="262" t="s">
        <v>179</v>
      </c>
      <c r="B206" s="283">
        <v>1</v>
      </c>
      <c r="C206" s="247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W206" s="249"/>
      <c r="Z206" s="249"/>
      <c r="AC206" s="249"/>
      <c r="AD206" s="249"/>
      <c r="AE206" s="249"/>
      <c r="AF206" s="249"/>
      <c r="AG206" s="249"/>
      <c r="AJ206" s="249"/>
      <c r="AM206" s="249"/>
      <c r="AP206" s="249"/>
      <c r="AS206" s="249"/>
      <c r="AV206" s="249"/>
      <c r="AY206" s="249"/>
      <c r="BB206" s="249"/>
      <c r="BE206" s="249"/>
      <c r="BH206" s="249"/>
      <c r="BK206" s="249"/>
      <c r="BN206" s="249"/>
      <c r="BQ206" s="249"/>
      <c r="BT206" s="249"/>
      <c r="BW206" s="249"/>
      <c r="BZ206" s="249"/>
      <c r="CC206" s="249"/>
      <c r="CF206" s="249"/>
      <c r="CI206" s="249"/>
      <c r="CL206" s="249"/>
      <c r="CO206" s="249"/>
      <c r="CR206" s="249"/>
      <c r="CU206" s="249"/>
      <c r="CX206" s="249"/>
      <c r="DA206" s="249"/>
      <c r="DD206" s="249"/>
      <c r="DG206" s="249"/>
      <c r="DJ206" s="249"/>
      <c r="DM206" s="249"/>
      <c r="DP206" s="249"/>
      <c r="DS206" s="249"/>
      <c r="DV206" s="249"/>
      <c r="DY206" s="249"/>
      <c r="EB206" s="249"/>
      <c r="EE206" s="249"/>
      <c r="EH206" s="249"/>
      <c r="EK206" s="249"/>
      <c r="EN206" s="249"/>
      <c r="EQ206" s="249"/>
      <c r="ET206" s="249"/>
      <c r="EW206" s="249"/>
      <c r="EZ206" s="249"/>
      <c r="FC206" s="249"/>
      <c r="FF206" s="249"/>
      <c r="FI206" s="249"/>
      <c r="FL206" s="249"/>
      <c r="FO206" s="249"/>
      <c r="FR206" s="249"/>
      <c r="FU206" s="249"/>
      <c r="FX206" s="249"/>
      <c r="GA206" s="249"/>
      <c r="GD206" s="249"/>
      <c r="GG206" s="249"/>
      <c r="GJ206" s="249"/>
      <c r="GM206" s="249"/>
      <c r="GP206" s="249"/>
      <c r="GS206" s="249"/>
      <c r="GV206" s="249"/>
      <c r="GY206" s="249"/>
      <c r="HB206" s="249"/>
      <c r="HE206" s="249"/>
    </row>
    <row r="207" spans="1:213" x14ac:dyDescent="0.2">
      <c r="A207" s="262" t="s">
        <v>414</v>
      </c>
      <c r="B207" s="283">
        <v>0.4</v>
      </c>
      <c r="C207" s="262" t="s">
        <v>30</v>
      </c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W207" s="249"/>
      <c r="Z207" s="249"/>
      <c r="AC207" s="249"/>
      <c r="AD207" s="249"/>
      <c r="AE207" s="249"/>
      <c r="AF207" s="249"/>
      <c r="AG207" s="249"/>
      <c r="AJ207" s="249"/>
      <c r="AM207" s="249"/>
      <c r="AP207" s="249"/>
      <c r="AS207" s="249"/>
      <c r="AV207" s="249"/>
      <c r="AY207" s="249"/>
      <c r="BB207" s="249"/>
      <c r="BE207" s="249"/>
      <c r="BH207" s="249"/>
      <c r="BK207" s="249"/>
      <c r="BN207" s="249"/>
      <c r="BQ207" s="249"/>
      <c r="BT207" s="249"/>
      <c r="BW207" s="249"/>
      <c r="BZ207" s="249"/>
      <c r="CC207" s="249"/>
      <c r="CF207" s="249"/>
      <c r="CI207" s="249"/>
      <c r="CL207" s="249"/>
      <c r="CO207" s="249"/>
      <c r="CR207" s="249"/>
      <c r="CU207" s="249"/>
      <c r="CX207" s="249"/>
      <c r="DA207" s="249"/>
      <c r="DD207" s="249"/>
      <c r="DG207" s="249"/>
      <c r="DJ207" s="249"/>
      <c r="DM207" s="249"/>
      <c r="DP207" s="249"/>
      <c r="DS207" s="249"/>
      <c r="DV207" s="249"/>
      <c r="DY207" s="249"/>
      <c r="EB207" s="249"/>
      <c r="EE207" s="249"/>
      <c r="EH207" s="249"/>
      <c r="EK207" s="249"/>
      <c r="EN207" s="249"/>
      <c r="EQ207" s="249"/>
      <c r="ET207" s="249"/>
      <c r="EW207" s="249"/>
      <c r="EZ207" s="249"/>
      <c r="FC207" s="249"/>
      <c r="FF207" s="249"/>
      <c r="FI207" s="249"/>
      <c r="FL207" s="249"/>
      <c r="FO207" s="249"/>
      <c r="FR207" s="249"/>
      <c r="FU207" s="249"/>
      <c r="FX207" s="249"/>
      <c r="GA207" s="249"/>
      <c r="GD207" s="249"/>
      <c r="GG207" s="249"/>
      <c r="GJ207" s="249"/>
      <c r="GM207" s="249"/>
      <c r="GP207" s="249"/>
      <c r="GS207" s="249"/>
      <c r="GV207" s="249"/>
      <c r="GY207" s="249"/>
      <c r="HB207" s="249"/>
      <c r="HE207" s="249"/>
    </row>
    <row r="208" spans="1:213" x14ac:dyDescent="0.2">
      <c r="A208" s="262" t="s">
        <v>415</v>
      </c>
      <c r="B208" s="284">
        <v>0.2</v>
      </c>
      <c r="C208" s="249" t="s">
        <v>283</v>
      </c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W208" s="249"/>
      <c r="Z208" s="249"/>
      <c r="AC208" s="249"/>
      <c r="AD208" s="249"/>
      <c r="AE208" s="249"/>
      <c r="AF208" s="249"/>
      <c r="AG208" s="249"/>
      <c r="AJ208" s="249"/>
      <c r="AM208" s="249"/>
      <c r="AP208" s="249"/>
      <c r="AS208" s="249"/>
      <c r="AV208" s="249"/>
      <c r="AY208" s="249"/>
      <c r="BB208" s="249"/>
      <c r="BE208" s="249"/>
      <c r="BH208" s="249"/>
      <c r="BK208" s="249"/>
      <c r="BN208" s="249"/>
      <c r="BQ208" s="249"/>
      <c r="BT208" s="249"/>
      <c r="BW208" s="249"/>
      <c r="BZ208" s="249"/>
      <c r="CC208" s="249"/>
      <c r="CF208" s="249"/>
      <c r="CI208" s="249"/>
      <c r="CL208" s="249"/>
      <c r="CO208" s="249"/>
      <c r="CR208" s="249"/>
      <c r="CU208" s="249"/>
      <c r="CX208" s="249"/>
      <c r="DA208" s="249"/>
      <c r="DD208" s="249"/>
      <c r="DG208" s="249"/>
      <c r="DJ208" s="249"/>
      <c r="DM208" s="249"/>
      <c r="DP208" s="249"/>
      <c r="DS208" s="249"/>
      <c r="DV208" s="249"/>
      <c r="DY208" s="249"/>
      <c r="EB208" s="249"/>
      <c r="EE208" s="249"/>
      <c r="EH208" s="249"/>
      <c r="EK208" s="249"/>
      <c r="EN208" s="249"/>
      <c r="EQ208" s="249"/>
      <c r="ET208" s="249"/>
      <c r="EW208" s="249"/>
      <c r="EZ208" s="249"/>
      <c r="FC208" s="249"/>
      <c r="FF208" s="249"/>
      <c r="FI208" s="249"/>
      <c r="FL208" s="249"/>
      <c r="FO208" s="249"/>
      <c r="FR208" s="249"/>
      <c r="FU208" s="249"/>
      <c r="FX208" s="249"/>
      <c r="GA208" s="249"/>
      <c r="GD208" s="249"/>
      <c r="GG208" s="249"/>
      <c r="GJ208" s="249"/>
      <c r="GM208" s="249"/>
      <c r="GP208" s="249"/>
      <c r="GS208" s="249"/>
      <c r="GV208" s="249"/>
      <c r="GY208" s="249"/>
      <c r="HB208" s="249"/>
      <c r="HE208" s="249"/>
    </row>
    <row r="209" spans="1:213" x14ac:dyDescent="0.2">
      <c r="A209" s="262" t="s">
        <v>416</v>
      </c>
      <c r="B209" s="284">
        <v>2.1999999999999999E-2</v>
      </c>
      <c r="C209" s="249" t="s">
        <v>283</v>
      </c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W209" s="249"/>
      <c r="Z209" s="249"/>
      <c r="AC209" s="249"/>
      <c r="AD209" s="249"/>
      <c r="AE209" s="249"/>
      <c r="AF209" s="249"/>
      <c r="AG209" s="249"/>
      <c r="AJ209" s="249"/>
      <c r="AM209" s="249"/>
      <c r="AP209" s="249"/>
      <c r="AS209" s="249"/>
      <c r="AV209" s="249"/>
      <c r="AY209" s="249"/>
      <c r="BB209" s="249"/>
      <c r="BE209" s="249"/>
      <c r="BH209" s="249"/>
      <c r="BK209" s="249"/>
      <c r="BN209" s="249"/>
      <c r="BQ209" s="249"/>
      <c r="BT209" s="249"/>
      <c r="BW209" s="249"/>
      <c r="BZ209" s="249"/>
      <c r="CC209" s="249"/>
      <c r="CF209" s="249"/>
      <c r="CI209" s="249"/>
      <c r="CL209" s="249"/>
      <c r="CO209" s="249"/>
      <c r="CR209" s="249"/>
      <c r="CU209" s="249"/>
      <c r="CX209" s="249"/>
      <c r="DA209" s="249"/>
      <c r="DD209" s="249"/>
      <c r="DG209" s="249"/>
      <c r="DJ209" s="249"/>
      <c r="DM209" s="249"/>
      <c r="DP209" s="249"/>
      <c r="DS209" s="249"/>
      <c r="DV209" s="249"/>
      <c r="DY209" s="249"/>
      <c r="EB209" s="249"/>
      <c r="EE209" s="249"/>
      <c r="EH209" s="249"/>
      <c r="EK209" s="249"/>
      <c r="EN209" s="249"/>
      <c r="EQ209" s="249"/>
      <c r="ET209" s="249"/>
      <c r="EW209" s="249"/>
      <c r="EZ209" s="249"/>
      <c r="FC209" s="249"/>
      <c r="FF209" s="249"/>
      <c r="FI209" s="249"/>
      <c r="FL209" s="249"/>
      <c r="FO209" s="249"/>
      <c r="FR209" s="249"/>
      <c r="FU209" s="249"/>
      <c r="FX209" s="249"/>
      <c r="GA209" s="249"/>
      <c r="GD209" s="249"/>
      <c r="GG209" s="249"/>
      <c r="GJ209" s="249"/>
      <c r="GM209" s="249"/>
      <c r="GP209" s="249"/>
      <c r="GS209" s="249"/>
      <c r="GV209" s="249"/>
      <c r="GY209" s="249"/>
      <c r="HB209" s="249"/>
      <c r="HE209" s="249"/>
    </row>
    <row r="210" spans="1:213" x14ac:dyDescent="0.2">
      <c r="A210" s="262" t="s">
        <v>417</v>
      </c>
      <c r="B210" s="284">
        <v>1</v>
      </c>
      <c r="C210" s="247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W210" s="249"/>
      <c r="Z210" s="249"/>
      <c r="AC210" s="249"/>
      <c r="AD210" s="249"/>
      <c r="AE210" s="249"/>
      <c r="AF210" s="249"/>
      <c r="AG210" s="249"/>
      <c r="AJ210" s="249"/>
      <c r="AM210" s="249"/>
      <c r="AP210" s="249"/>
      <c r="AS210" s="249"/>
      <c r="AV210" s="249"/>
      <c r="AY210" s="249"/>
      <c r="BB210" s="249"/>
      <c r="BE210" s="249"/>
      <c r="BH210" s="249"/>
      <c r="BK210" s="249"/>
      <c r="BN210" s="249"/>
      <c r="BQ210" s="249"/>
      <c r="BT210" s="249"/>
      <c r="BW210" s="249"/>
      <c r="BZ210" s="249"/>
      <c r="CC210" s="249"/>
      <c r="CF210" s="249"/>
      <c r="CI210" s="249"/>
      <c r="CL210" s="249"/>
      <c r="CO210" s="249"/>
      <c r="CR210" s="249"/>
      <c r="CU210" s="249"/>
      <c r="CX210" s="249"/>
      <c r="DA210" s="249"/>
      <c r="DD210" s="249"/>
      <c r="DG210" s="249"/>
      <c r="DJ210" s="249"/>
      <c r="DM210" s="249"/>
      <c r="DP210" s="249"/>
      <c r="DS210" s="249"/>
      <c r="DV210" s="249"/>
      <c r="DY210" s="249"/>
      <c r="EB210" s="249"/>
      <c r="EE210" s="249"/>
      <c r="EH210" s="249"/>
      <c r="EK210" s="249"/>
      <c r="EN210" s="249"/>
      <c r="EQ210" s="249"/>
      <c r="ET210" s="249"/>
      <c r="EW210" s="249"/>
      <c r="EZ210" s="249"/>
      <c r="FC210" s="249"/>
      <c r="FF210" s="249"/>
      <c r="FI210" s="249"/>
      <c r="FL210" s="249"/>
      <c r="FO210" s="249"/>
      <c r="FR210" s="249"/>
      <c r="FU210" s="249"/>
      <c r="FX210" s="249"/>
      <c r="GA210" s="249"/>
      <c r="GD210" s="249"/>
      <c r="GG210" s="249"/>
      <c r="GJ210" s="249"/>
      <c r="GM210" s="249"/>
      <c r="GP210" s="249"/>
      <c r="GS210" s="249"/>
      <c r="GV210" s="249"/>
      <c r="GY210" s="249"/>
      <c r="HB210" s="249"/>
      <c r="HE210" s="249"/>
    </row>
    <row r="211" spans="1:213" x14ac:dyDescent="0.2">
      <c r="A211" s="262" t="s">
        <v>418</v>
      </c>
      <c r="B211" s="284">
        <v>1</v>
      </c>
      <c r="C211" s="247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W211" s="249"/>
      <c r="Z211" s="249"/>
      <c r="AC211" s="249"/>
      <c r="AD211" s="249"/>
      <c r="AE211" s="249"/>
      <c r="AF211" s="249"/>
      <c r="AG211" s="249"/>
      <c r="AJ211" s="249"/>
      <c r="AM211" s="249"/>
      <c r="AP211" s="249"/>
      <c r="AS211" s="249"/>
      <c r="AV211" s="249"/>
      <c r="AY211" s="249"/>
      <c r="BB211" s="249"/>
      <c r="BE211" s="249"/>
      <c r="BH211" s="249"/>
      <c r="BK211" s="249"/>
      <c r="BN211" s="249"/>
      <c r="BQ211" s="249"/>
      <c r="BT211" s="249"/>
      <c r="BW211" s="249"/>
      <c r="BZ211" s="249"/>
      <c r="CC211" s="249"/>
      <c r="CF211" s="249"/>
      <c r="CI211" s="249"/>
      <c r="CL211" s="249"/>
      <c r="CO211" s="249"/>
      <c r="CR211" s="249"/>
      <c r="CU211" s="249"/>
      <c r="CX211" s="249"/>
      <c r="DA211" s="249"/>
      <c r="DD211" s="249"/>
      <c r="DG211" s="249"/>
      <c r="DJ211" s="249"/>
      <c r="DM211" s="249"/>
      <c r="DP211" s="249"/>
      <c r="DS211" s="249"/>
      <c r="DV211" s="249"/>
      <c r="DY211" s="249"/>
      <c r="EB211" s="249"/>
      <c r="EE211" s="249"/>
      <c r="EH211" s="249"/>
      <c r="EK211" s="249"/>
      <c r="EN211" s="249"/>
      <c r="EQ211" s="249"/>
      <c r="ET211" s="249"/>
      <c r="EW211" s="249"/>
      <c r="EZ211" s="249"/>
      <c r="FC211" s="249"/>
      <c r="FF211" s="249"/>
      <c r="FI211" s="249"/>
      <c r="FL211" s="249"/>
      <c r="FO211" s="249"/>
      <c r="FR211" s="249"/>
      <c r="FU211" s="249"/>
      <c r="FX211" s="249"/>
      <c r="GA211" s="249"/>
      <c r="GD211" s="249"/>
      <c r="GG211" s="249"/>
      <c r="GJ211" s="249"/>
      <c r="GM211" s="249"/>
      <c r="GP211" s="249"/>
      <c r="GS211" s="249"/>
      <c r="GV211" s="249"/>
      <c r="GY211" s="249"/>
      <c r="HB211" s="249"/>
      <c r="HE211" s="249"/>
    </row>
    <row r="212" spans="1:213" x14ac:dyDescent="0.2">
      <c r="A212" s="262" t="s">
        <v>174</v>
      </c>
      <c r="B212" s="284">
        <v>11.4</v>
      </c>
      <c r="C212" s="262" t="s">
        <v>30</v>
      </c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W212" s="249"/>
      <c r="Z212" s="249"/>
      <c r="AC212" s="249"/>
      <c r="AD212" s="249"/>
      <c r="AE212" s="249"/>
      <c r="AF212" s="249"/>
      <c r="AG212" s="249"/>
      <c r="AJ212" s="249"/>
      <c r="AM212" s="249"/>
      <c r="AP212" s="249"/>
      <c r="AS212" s="249"/>
      <c r="AV212" s="249"/>
      <c r="AY212" s="249"/>
      <c r="BB212" s="249"/>
      <c r="BE212" s="249"/>
      <c r="BH212" s="249"/>
      <c r="BK212" s="249"/>
      <c r="BN212" s="249"/>
      <c r="BQ212" s="249"/>
      <c r="BT212" s="249"/>
      <c r="BW212" s="249"/>
      <c r="BZ212" s="249"/>
      <c r="CC212" s="249"/>
      <c r="CF212" s="249"/>
      <c r="CI212" s="249"/>
      <c r="CL212" s="249"/>
      <c r="CO212" s="249"/>
      <c r="CR212" s="249"/>
      <c r="CU212" s="249"/>
      <c r="CX212" s="249"/>
      <c r="DA212" s="249"/>
      <c r="DD212" s="249"/>
      <c r="DG212" s="249"/>
      <c r="DJ212" s="249"/>
      <c r="DM212" s="249"/>
      <c r="DP212" s="249"/>
      <c r="DS212" s="249"/>
      <c r="DV212" s="249"/>
      <c r="DY212" s="249"/>
      <c r="EB212" s="249"/>
      <c r="EE212" s="249"/>
      <c r="EH212" s="249"/>
      <c r="EK212" s="249"/>
      <c r="EN212" s="249"/>
      <c r="EQ212" s="249"/>
      <c r="ET212" s="249"/>
      <c r="EW212" s="249"/>
      <c r="EZ212" s="249"/>
      <c r="FC212" s="249"/>
      <c r="FF212" s="249"/>
      <c r="FI212" s="249"/>
      <c r="FL212" s="249"/>
      <c r="FO212" s="249"/>
      <c r="FR212" s="249"/>
      <c r="FU212" s="249"/>
      <c r="FX212" s="249"/>
      <c r="GA212" s="249"/>
      <c r="GD212" s="249"/>
      <c r="GG212" s="249"/>
      <c r="GJ212" s="249"/>
      <c r="GM212" s="249"/>
      <c r="GP212" s="249"/>
      <c r="GS212" s="249"/>
      <c r="GV212" s="249"/>
      <c r="GY212" s="249"/>
      <c r="HB212" s="249"/>
      <c r="HE212" s="249"/>
    </row>
    <row r="213" spans="1:213" x14ac:dyDescent="0.2">
      <c r="A213" s="262" t="s">
        <v>419</v>
      </c>
      <c r="B213" s="284">
        <v>4.7</v>
      </c>
      <c r="C213" s="249" t="s">
        <v>283</v>
      </c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W213" s="249"/>
      <c r="Z213" s="249"/>
      <c r="AC213" s="249"/>
      <c r="AD213" s="249"/>
      <c r="AE213" s="249"/>
      <c r="AF213" s="249"/>
      <c r="AG213" s="249"/>
      <c r="AJ213" s="249"/>
      <c r="AM213" s="249"/>
      <c r="AP213" s="249"/>
      <c r="AS213" s="249"/>
      <c r="AV213" s="249"/>
      <c r="AY213" s="249"/>
      <c r="BB213" s="249"/>
      <c r="BE213" s="249"/>
      <c r="BH213" s="249"/>
      <c r="BK213" s="249"/>
      <c r="BN213" s="249"/>
      <c r="BQ213" s="249"/>
      <c r="BT213" s="249"/>
      <c r="BW213" s="249"/>
      <c r="BZ213" s="249"/>
      <c r="CC213" s="249"/>
      <c r="CF213" s="249"/>
      <c r="CI213" s="249"/>
      <c r="CL213" s="249"/>
      <c r="CO213" s="249"/>
      <c r="CR213" s="249"/>
      <c r="CU213" s="249"/>
      <c r="CX213" s="249"/>
      <c r="DA213" s="249"/>
      <c r="DD213" s="249"/>
      <c r="DG213" s="249"/>
      <c r="DJ213" s="249"/>
      <c r="DM213" s="249"/>
      <c r="DP213" s="249"/>
      <c r="DS213" s="249"/>
      <c r="DV213" s="249"/>
      <c r="DY213" s="249"/>
      <c r="EB213" s="249"/>
      <c r="EE213" s="249"/>
      <c r="EH213" s="249"/>
      <c r="EK213" s="249"/>
      <c r="EN213" s="249"/>
      <c r="EQ213" s="249"/>
      <c r="ET213" s="249"/>
      <c r="EW213" s="249"/>
      <c r="EZ213" s="249"/>
      <c r="FC213" s="249"/>
      <c r="FF213" s="249"/>
      <c r="FI213" s="249"/>
      <c r="FL213" s="249"/>
      <c r="FO213" s="249"/>
      <c r="FR213" s="249"/>
      <c r="FU213" s="249"/>
      <c r="FX213" s="249"/>
      <c r="GA213" s="249"/>
      <c r="GD213" s="249"/>
      <c r="GG213" s="249"/>
      <c r="GJ213" s="249"/>
      <c r="GM213" s="249"/>
      <c r="GP213" s="249"/>
      <c r="GS213" s="249"/>
      <c r="GV213" s="249"/>
      <c r="GY213" s="249"/>
      <c r="HB213" s="249"/>
      <c r="HE213" s="249"/>
    </row>
    <row r="214" spans="1:213" x14ac:dyDescent="0.2">
      <c r="A214" s="262" t="s">
        <v>420</v>
      </c>
      <c r="B214" s="284">
        <v>0.37</v>
      </c>
      <c r="C214" s="249" t="s">
        <v>283</v>
      </c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W214" s="249"/>
      <c r="Z214" s="249"/>
      <c r="AC214" s="249"/>
      <c r="AD214" s="249"/>
      <c r="AE214" s="249"/>
      <c r="AF214" s="249"/>
      <c r="AG214" s="249"/>
      <c r="AJ214" s="249"/>
      <c r="AM214" s="249"/>
      <c r="AP214" s="249"/>
      <c r="AS214" s="249"/>
      <c r="AV214" s="249"/>
      <c r="AY214" s="249"/>
      <c r="BB214" s="249"/>
      <c r="BE214" s="249"/>
      <c r="BH214" s="249"/>
      <c r="BK214" s="249"/>
      <c r="BN214" s="249"/>
      <c r="BQ214" s="249"/>
      <c r="BT214" s="249"/>
      <c r="BW214" s="249"/>
      <c r="BZ214" s="249"/>
      <c r="CC214" s="249"/>
      <c r="CF214" s="249"/>
      <c r="CI214" s="249"/>
      <c r="CL214" s="249"/>
      <c r="CO214" s="249"/>
      <c r="CR214" s="249"/>
      <c r="CU214" s="249"/>
      <c r="CX214" s="249"/>
      <c r="DA214" s="249"/>
      <c r="DD214" s="249"/>
      <c r="DG214" s="249"/>
      <c r="DJ214" s="249"/>
      <c r="DM214" s="249"/>
      <c r="DP214" s="249"/>
      <c r="DS214" s="249"/>
      <c r="DV214" s="249"/>
      <c r="DY214" s="249"/>
      <c r="EB214" s="249"/>
      <c r="EE214" s="249"/>
      <c r="EH214" s="249"/>
      <c r="EK214" s="249"/>
      <c r="EN214" s="249"/>
      <c r="EQ214" s="249"/>
      <c r="ET214" s="249"/>
      <c r="EW214" s="249"/>
      <c r="EZ214" s="249"/>
      <c r="FC214" s="249"/>
      <c r="FF214" s="249"/>
      <c r="FI214" s="249"/>
      <c r="FL214" s="249"/>
      <c r="FO214" s="249"/>
      <c r="FR214" s="249"/>
      <c r="FU214" s="249"/>
      <c r="FX214" s="249"/>
      <c r="GA214" s="249"/>
      <c r="GD214" s="249"/>
      <c r="GG214" s="249"/>
      <c r="GJ214" s="249"/>
      <c r="GM214" s="249"/>
      <c r="GP214" s="249"/>
      <c r="GS214" s="249"/>
      <c r="GV214" s="249"/>
      <c r="GY214" s="249"/>
      <c r="HB214" s="249"/>
      <c r="HE214" s="249"/>
    </row>
    <row r="215" spans="1:213" x14ac:dyDescent="0.2">
      <c r="A215" s="262" t="s">
        <v>421</v>
      </c>
      <c r="B215" s="284">
        <v>1</v>
      </c>
      <c r="C215" s="247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W215" s="249"/>
      <c r="Z215" s="249"/>
      <c r="AC215" s="249"/>
      <c r="AD215" s="249"/>
      <c r="AE215" s="249"/>
      <c r="AF215" s="249"/>
      <c r="AG215" s="249"/>
      <c r="AJ215" s="249"/>
      <c r="AM215" s="249"/>
      <c r="AP215" s="249"/>
      <c r="AS215" s="249"/>
      <c r="AV215" s="249"/>
      <c r="AY215" s="249"/>
      <c r="BB215" s="249"/>
      <c r="BE215" s="249"/>
      <c r="BH215" s="249"/>
      <c r="BK215" s="249"/>
      <c r="BN215" s="249"/>
      <c r="BQ215" s="249"/>
      <c r="BT215" s="249"/>
      <c r="BW215" s="249"/>
      <c r="BZ215" s="249"/>
      <c r="CC215" s="249"/>
      <c r="CF215" s="249"/>
      <c r="CI215" s="249"/>
      <c r="CL215" s="249"/>
      <c r="CO215" s="249"/>
      <c r="CR215" s="249"/>
      <c r="CU215" s="249"/>
      <c r="CX215" s="249"/>
      <c r="DA215" s="249"/>
      <c r="DD215" s="249"/>
      <c r="DG215" s="249"/>
      <c r="DJ215" s="249"/>
      <c r="DM215" s="249"/>
      <c r="DP215" s="249"/>
      <c r="DS215" s="249"/>
      <c r="DV215" s="249"/>
      <c r="DY215" s="249"/>
      <c r="EB215" s="249"/>
      <c r="EE215" s="249"/>
      <c r="EH215" s="249"/>
      <c r="EK215" s="249"/>
      <c r="EN215" s="249"/>
      <c r="EQ215" s="249"/>
      <c r="ET215" s="249"/>
      <c r="EW215" s="249"/>
      <c r="EZ215" s="249"/>
      <c r="FC215" s="249"/>
      <c r="FF215" s="249"/>
      <c r="FI215" s="249"/>
      <c r="FL215" s="249"/>
      <c r="FO215" s="249"/>
      <c r="FR215" s="249"/>
      <c r="FU215" s="249"/>
      <c r="FX215" s="249"/>
      <c r="GA215" s="249"/>
      <c r="GD215" s="249"/>
      <c r="GG215" s="249"/>
      <c r="GJ215" s="249"/>
      <c r="GM215" s="249"/>
      <c r="GP215" s="249"/>
      <c r="GS215" s="249"/>
      <c r="GV215" s="249"/>
      <c r="GY215" s="249"/>
      <c r="HB215" s="249"/>
      <c r="HE215" s="249"/>
    </row>
    <row r="216" spans="1:213" x14ac:dyDescent="0.2">
      <c r="A216" s="262" t="s">
        <v>422</v>
      </c>
      <c r="B216" s="284">
        <v>1</v>
      </c>
      <c r="C216" s="24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W216" s="249"/>
      <c r="Z216" s="249"/>
      <c r="AC216" s="249"/>
      <c r="AD216" s="249"/>
      <c r="AE216" s="249"/>
      <c r="AF216" s="249"/>
      <c r="AG216" s="249"/>
      <c r="AJ216" s="249"/>
      <c r="AM216" s="249"/>
      <c r="AP216" s="249"/>
      <c r="AS216" s="249"/>
      <c r="AV216" s="249"/>
      <c r="AY216" s="249"/>
      <c r="BB216" s="249"/>
      <c r="BE216" s="249"/>
      <c r="BH216" s="249"/>
      <c r="BK216" s="249"/>
      <c r="BN216" s="249"/>
      <c r="BQ216" s="249"/>
      <c r="BT216" s="249"/>
      <c r="BW216" s="249"/>
      <c r="BZ216" s="249"/>
      <c r="CC216" s="249"/>
      <c r="CF216" s="249"/>
      <c r="CI216" s="249"/>
      <c r="CL216" s="249"/>
      <c r="CO216" s="249"/>
      <c r="CR216" s="249"/>
      <c r="CU216" s="249"/>
      <c r="CX216" s="249"/>
      <c r="DA216" s="249"/>
      <c r="DD216" s="249"/>
      <c r="DG216" s="249"/>
      <c r="DJ216" s="249"/>
      <c r="DM216" s="249"/>
      <c r="DP216" s="249"/>
      <c r="DS216" s="249"/>
      <c r="DV216" s="249"/>
      <c r="DY216" s="249"/>
      <c r="EB216" s="249"/>
      <c r="EE216" s="249"/>
      <c r="EH216" s="249"/>
      <c r="EK216" s="249"/>
      <c r="EN216" s="249"/>
      <c r="EQ216" s="249"/>
      <c r="ET216" s="249"/>
      <c r="EW216" s="249"/>
      <c r="EZ216" s="249"/>
      <c r="FC216" s="249"/>
      <c r="FF216" s="249"/>
      <c r="FI216" s="249"/>
      <c r="FL216" s="249"/>
      <c r="FO216" s="249"/>
      <c r="FR216" s="249"/>
      <c r="FU216" s="249"/>
      <c r="FX216" s="249"/>
      <c r="GA216" s="249"/>
      <c r="GD216" s="249"/>
      <c r="GG216" s="249"/>
      <c r="GJ216" s="249"/>
      <c r="GM216" s="249"/>
      <c r="GP216" s="249"/>
      <c r="GS216" s="249"/>
      <c r="GV216" s="249"/>
      <c r="GY216" s="249"/>
      <c r="HB216" s="249"/>
      <c r="HE216" s="249"/>
    </row>
    <row r="217" spans="1:213" x14ac:dyDescent="0.2">
      <c r="A217" s="249" t="s">
        <v>83</v>
      </c>
      <c r="B217" s="284">
        <v>0.5</v>
      </c>
      <c r="C217" s="249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W217" s="249"/>
      <c r="Z217" s="249"/>
      <c r="AC217" s="249"/>
      <c r="AD217" s="249"/>
      <c r="AE217" s="249"/>
      <c r="AF217" s="249"/>
      <c r="AG217" s="249"/>
      <c r="AJ217" s="249"/>
      <c r="AM217" s="249"/>
      <c r="AP217" s="249"/>
      <c r="AS217" s="249"/>
      <c r="AV217" s="249"/>
      <c r="AY217" s="249"/>
      <c r="BB217" s="249"/>
      <c r="BE217" s="249"/>
      <c r="BH217" s="249"/>
      <c r="BK217" s="249"/>
      <c r="BN217" s="249"/>
      <c r="BQ217" s="249"/>
      <c r="BT217" s="249"/>
      <c r="BW217" s="249"/>
      <c r="BZ217" s="249"/>
      <c r="CC217" s="249"/>
      <c r="CF217" s="249"/>
      <c r="CI217" s="249"/>
      <c r="CL217" s="249"/>
      <c r="CO217" s="249"/>
      <c r="CR217" s="249"/>
      <c r="CU217" s="249"/>
      <c r="CX217" s="249"/>
      <c r="DA217" s="249"/>
      <c r="DD217" s="249"/>
      <c r="DG217" s="249"/>
      <c r="DJ217" s="249"/>
      <c r="DM217" s="249"/>
      <c r="DP217" s="249"/>
      <c r="DS217" s="249"/>
      <c r="DV217" s="249"/>
      <c r="DY217" s="249"/>
      <c r="EB217" s="249"/>
      <c r="EE217" s="249"/>
      <c r="EH217" s="249"/>
      <c r="EK217" s="249"/>
      <c r="EN217" s="249"/>
      <c r="EQ217" s="249"/>
      <c r="ET217" s="249"/>
      <c r="EW217" s="249"/>
      <c r="EZ217" s="249"/>
      <c r="FC217" s="249"/>
      <c r="FF217" s="249"/>
      <c r="FI217" s="249"/>
      <c r="FL217" s="249"/>
      <c r="FO217" s="249"/>
      <c r="FR217" s="249"/>
      <c r="FU217" s="249"/>
      <c r="FX217" s="249"/>
      <c r="GA217" s="249"/>
      <c r="GD217" s="249"/>
      <c r="GG217" s="249"/>
      <c r="GJ217" s="249"/>
      <c r="GM217" s="249"/>
      <c r="GP217" s="249"/>
      <c r="GS217" s="249"/>
      <c r="GV217" s="249"/>
      <c r="GY217" s="249"/>
      <c r="HB217" s="249"/>
      <c r="HE217" s="249"/>
    </row>
    <row r="218" spans="1:213" x14ac:dyDescent="0.2">
      <c r="A218" s="558" t="s">
        <v>423</v>
      </c>
      <c r="B218" s="558"/>
      <c r="C218" s="558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W218" s="249"/>
      <c r="Z218" s="249"/>
      <c r="AC218" s="249"/>
      <c r="AD218" s="249"/>
      <c r="AE218" s="249"/>
      <c r="AF218" s="249"/>
      <c r="AG218" s="249"/>
      <c r="AJ218" s="249"/>
      <c r="AM218" s="249"/>
      <c r="AP218" s="249"/>
      <c r="AS218" s="249"/>
      <c r="AV218" s="249"/>
      <c r="AY218" s="249"/>
      <c r="BB218" s="249"/>
      <c r="BE218" s="249"/>
      <c r="BH218" s="249"/>
      <c r="BK218" s="249"/>
      <c r="BN218" s="249"/>
      <c r="BQ218" s="249"/>
      <c r="BT218" s="249"/>
      <c r="BW218" s="249"/>
      <c r="BZ218" s="249"/>
      <c r="CC218" s="249"/>
      <c r="CF218" s="249"/>
      <c r="CI218" s="249"/>
      <c r="CL218" s="249"/>
      <c r="CO218" s="249"/>
      <c r="CR218" s="249"/>
      <c r="CU218" s="249"/>
      <c r="CX218" s="249"/>
      <c r="DA218" s="249"/>
      <c r="DD218" s="249"/>
      <c r="DG218" s="249"/>
      <c r="DJ218" s="249"/>
      <c r="DM218" s="249"/>
      <c r="DP218" s="249"/>
      <c r="DS218" s="249"/>
      <c r="DV218" s="249"/>
      <c r="DY218" s="249"/>
      <c r="EB218" s="249"/>
      <c r="EE218" s="249"/>
      <c r="EH218" s="249"/>
      <c r="EK218" s="249"/>
      <c r="EN218" s="249"/>
      <c r="EQ218" s="249"/>
      <c r="ET218" s="249"/>
      <c r="EW218" s="249"/>
      <c r="EZ218" s="249"/>
      <c r="FC218" s="249"/>
      <c r="FF218" s="249"/>
      <c r="FI218" s="249"/>
      <c r="FL218" s="249"/>
      <c r="FO218" s="249"/>
      <c r="FR218" s="249"/>
      <c r="FU218" s="249"/>
      <c r="FX218" s="249"/>
      <c r="GA218" s="249"/>
      <c r="GD218" s="249"/>
      <c r="GG218" s="249"/>
      <c r="GJ218" s="249"/>
      <c r="GM218" s="249"/>
      <c r="GP218" s="249"/>
      <c r="GS218" s="249"/>
      <c r="GV218" s="249"/>
      <c r="GY218" s="249"/>
      <c r="HB218" s="249"/>
      <c r="HE218" s="249"/>
    </row>
    <row r="219" spans="1:213" x14ac:dyDescent="0.2">
      <c r="A219" s="249" t="s">
        <v>424</v>
      </c>
      <c r="B219" s="283">
        <v>60</v>
      </c>
      <c r="C219" s="263" t="s">
        <v>359</v>
      </c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W219" s="249"/>
      <c r="Z219" s="249"/>
      <c r="AC219" s="249"/>
      <c r="AD219" s="249"/>
      <c r="AE219" s="249"/>
      <c r="AF219" s="249"/>
      <c r="AG219" s="249"/>
      <c r="AJ219" s="249"/>
      <c r="AM219" s="249"/>
      <c r="AP219" s="249"/>
      <c r="AS219" s="249"/>
      <c r="AV219" s="249"/>
      <c r="AY219" s="249"/>
      <c r="BB219" s="249"/>
      <c r="BE219" s="249"/>
      <c r="BH219" s="249"/>
      <c r="BK219" s="249"/>
      <c r="BN219" s="249"/>
      <c r="BQ219" s="249"/>
      <c r="BT219" s="249"/>
      <c r="BW219" s="249"/>
      <c r="BZ219" s="249"/>
      <c r="CC219" s="249"/>
      <c r="CF219" s="249"/>
      <c r="CI219" s="249"/>
      <c r="CL219" s="249"/>
      <c r="CO219" s="249"/>
      <c r="CR219" s="249"/>
      <c r="CU219" s="249"/>
      <c r="CX219" s="249"/>
      <c r="DA219" s="249"/>
      <c r="DD219" s="249"/>
      <c r="DG219" s="249"/>
      <c r="DJ219" s="249"/>
      <c r="DM219" s="249"/>
      <c r="DP219" s="249"/>
      <c r="DS219" s="249"/>
      <c r="DV219" s="249"/>
      <c r="DY219" s="249"/>
      <c r="EB219" s="249"/>
      <c r="EE219" s="249"/>
      <c r="EH219" s="249"/>
      <c r="EK219" s="249"/>
      <c r="EN219" s="249"/>
      <c r="EQ219" s="249"/>
      <c r="ET219" s="249"/>
      <c r="EW219" s="249"/>
      <c r="EZ219" s="249"/>
      <c r="FC219" s="249"/>
      <c r="FF219" s="249"/>
      <c r="FI219" s="249"/>
      <c r="FL219" s="249"/>
      <c r="FO219" s="249"/>
      <c r="FR219" s="249"/>
      <c r="FU219" s="249"/>
      <c r="FX219" s="249"/>
      <c r="GA219" s="249"/>
      <c r="GD219" s="249"/>
      <c r="GG219" s="249"/>
      <c r="GJ219" s="249"/>
      <c r="GM219" s="249"/>
      <c r="GP219" s="249"/>
      <c r="GS219" s="249"/>
      <c r="GV219" s="249"/>
      <c r="GY219" s="249"/>
      <c r="HB219" s="249"/>
      <c r="HE219" s="249"/>
    </row>
    <row r="220" spans="1:213" x14ac:dyDescent="0.2">
      <c r="A220" s="262" t="s">
        <v>425</v>
      </c>
      <c r="B220" s="283">
        <v>250</v>
      </c>
      <c r="C220" s="249" t="s">
        <v>26</v>
      </c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W220" s="249"/>
      <c r="Z220" s="249"/>
      <c r="AC220" s="249"/>
      <c r="AD220" s="249"/>
      <c r="AE220" s="249"/>
      <c r="AF220" s="249"/>
      <c r="AG220" s="249"/>
      <c r="AJ220" s="249"/>
      <c r="AM220" s="249"/>
      <c r="AP220" s="249"/>
      <c r="AS220" s="249"/>
      <c r="AV220" s="249"/>
      <c r="AY220" s="249"/>
      <c r="BB220" s="249"/>
      <c r="BE220" s="249"/>
      <c r="BH220" s="249"/>
      <c r="BK220" s="249"/>
      <c r="BN220" s="249"/>
      <c r="BQ220" s="249"/>
      <c r="BT220" s="249"/>
      <c r="BW220" s="249"/>
      <c r="BZ220" s="249"/>
      <c r="CC220" s="249"/>
      <c r="CF220" s="249"/>
      <c r="CI220" s="249"/>
      <c r="CL220" s="249"/>
      <c r="CO220" s="249"/>
      <c r="CR220" s="249"/>
      <c r="CU220" s="249"/>
      <c r="CX220" s="249"/>
      <c r="DA220" s="249"/>
      <c r="DD220" s="249"/>
      <c r="DG220" s="249"/>
      <c r="DJ220" s="249"/>
      <c r="DM220" s="249"/>
      <c r="DP220" s="249"/>
      <c r="DS220" s="249"/>
      <c r="DV220" s="249"/>
      <c r="DY220" s="249"/>
      <c r="EB220" s="249"/>
      <c r="EE220" s="249"/>
      <c r="EH220" s="249"/>
      <c r="EK220" s="249"/>
      <c r="EN220" s="249"/>
      <c r="EQ220" s="249"/>
      <c r="ET220" s="249"/>
      <c r="EW220" s="249"/>
      <c r="EZ220" s="249"/>
      <c r="FC220" s="249"/>
      <c r="FF220" s="249"/>
      <c r="FI220" s="249"/>
      <c r="FL220" s="249"/>
      <c r="FO220" s="249"/>
      <c r="FR220" s="249"/>
      <c r="FU220" s="249"/>
      <c r="FX220" s="249"/>
      <c r="GA220" s="249"/>
      <c r="GD220" s="249"/>
      <c r="GG220" s="249"/>
      <c r="GJ220" s="249"/>
      <c r="GM220" s="249"/>
      <c r="GP220" s="249"/>
      <c r="GS220" s="249"/>
      <c r="GV220" s="249"/>
      <c r="GY220" s="249"/>
      <c r="HB220" s="249"/>
      <c r="HE220" s="249"/>
    </row>
    <row r="221" spans="1:213" x14ac:dyDescent="0.2">
      <c r="A221" s="262" t="s">
        <v>75</v>
      </c>
      <c r="B221" s="284">
        <v>25</v>
      </c>
      <c r="C221" s="249" t="s">
        <v>69</v>
      </c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W221" s="249"/>
      <c r="Z221" s="249"/>
      <c r="AC221" s="249"/>
      <c r="AD221" s="249"/>
      <c r="AE221" s="249"/>
      <c r="AF221" s="249"/>
      <c r="AG221" s="249"/>
      <c r="AJ221" s="249"/>
      <c r="AM221" s="249"/>
      <c r="AP221" s="249"/>
      <c r="AS221" s="249"/>
      <c r="AV221" s="249"/>
      <c r="AY221" s="249"/>
      <c r="BB221" s="249"/>
      <c r="BE221" s="249"/>
      <c r="BH221" s="249"/>
      <c r="BK221" s="249"/>
      <c r="BN221" s="249"/>
      <c r="BQ221" s="249"/>
      <c r="BT221" s="249"/>
      <c r="BW221" s="249"/>
      <c r="BZ221" s="249"/>
      <c r="CC221" s="249"/>
      <c r="CF221" s="249"/>
      <c r="CI221" s="249"/>
      <c r="CL221" s="249"/>
      <c r="CO221" s="249"/>
      <c r="CR221" s="249"/>
      <c r="CU221" s="249"/>
      <c r="CX221" s="249"/>
      <c r="DA221" s="249"/>
      <c r="DD221" s="249"/>
      <c r="DG221" s="249"/>
      <c r="DJ221" s="249"/>
      <c r="DM221" s="249"/>
      <c r="DP221" s="249"/>
      <c r="DS221" s="249"/>
      <c r="DV221" s="249"/>
      <c r="DY221" s="249"/>
      <c r="EB221" s="249"/>
      <c r="EE221" s="249"/>
      <c r="EH221" s="249"/>
      <c r="EK221" s="249"/>
      <c r="EN221" s="249"/>
      <c r="EQ221" s="249"/>
      <c r="ET221" s="249"/>
      <c r="EW221" s="249"/>
      <c r="EZ221" s="249"/>
      <c r="FC221" s="249"/>
      <c r="FF221" s="249"/>
      <c r="FI221" s="249"/>
      <c r="FL221" s="249"/>
      <c r="FO221" s="249"/>
      <c r="FR221" s="249"/>
      <c r="FU221" s="249"/>
      <c r="FX221" s="249"/>
      <c r="GA221" s="249"/>
      <c r="GD221" s="249"/>
      <c r="GG221" s="249"/>
      <c r="GJ221" s="249"/>
      <c r="GM221" s="249"/>
      <c r="GP221" s="249"/>
      <c r="GS221" s="249"/>
      <c r="GV221" s="249"/>
      <c r="GY221" s="249"/>
      <c r="HB221" s="249"/>
      <c r="HE221" s="249"/>
    </row>
    <row r="222" spans="1:213" x14ac:dyDescent="0.2">
      <c r="A222" s="262" t="s">
        <v>426</v>
      </c>
      <c r="B222" s="283">
        <v>100</v>
      </c>
      <c r="C222" s="263" t="s">
        <v>54</v>
      </c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W222" s="249"/>
      <c r="Z222" s="249"/>
      <c r="AC222" s="249"/>
      <c r="AD222" s="249"/>
      <c r="AE222" s="249"/>
      <c r="AF222" s="249"/>
      <c r="AG222" s="249"/>
      <c r="AJ222" s="249"/>
      <c r="AM222" s="249"/>
      <c r="AP222" s="249"/>
      <c r="AS222" s="249"/>
      <c r="AV222" s="249"/>
      <c r="AY222" s="249"/>
      <c r="BB222" s="249"/>
      <c r="BE222" s="249"/>
      <c r="BH222" s="249"/>
      <c r="BK222" s="249"/>
      <c r="BN222" s="249"/>
      <c r="BQ222" s="249"/>
      <c r="BT222" s="249"/>
      <c r="BW222" s="249"/>
      <c r="BZ222" s="249"/>
      <c r="CC222" s="249"/>
      <c r="CF222" s="249"/>
      <c r="CI222" s="249"/>
      <c r="CL222" s="249"/>
      <c r="CO222" s="249"/>
      <c r="CR222" s="249"/>
      <c r="CU222" s="249"/>
      <c r="CX222" s="249"/>
      <c r="DA222" s="249"/>
      <c r="DD222" s="249"/>
      <c r="DG222" s="249"/>
      <c r="DJ222" s="249"/>
      <c r="DM222" s="249"/>
      <c r="DP222" s="249"/>
      <c r="DS222" s="249"/>
      <c r="DV222" s="249"/>
      <c r="DY222" s="249"/>
      <c r="EB222" s="249"/>
      <c r="EE222" s="249"/>
      <c r="EH222" s="249"/>
      <c r="EK222" s="249"/>
      <c r="EN222" s="249"/>
      <c r="EQ222" s="249"/>
      <c r="ET222" s="249"/>
      <c r="EW222" s="249"/>
      <c r="EZ222" s="249"/>
      <c r="FC222" s="249"/>
      <c r="FF222" s="249"/>
      <c r="FI222" s="249"/>
      <c r="FL222" s="249"/>
      <c r="FO222" s="249"/>
      <c r="FR222" s="249"/>
      <c r="FU222" s="249"/>
      <c r="FX222" s="249"/>
      <c r="GA222" s="249"/>
      <c r="GD222" s="249"/>
      <c r="GG222" s="249"/>
      <c r="GJ222" s="249"/>
      <c r="GM222" s="249"/>
      <c r="GP222" s="249"/>
      <c r="GS222" s="249"/>
      <c r="GV222" s="249"/>
      <c r="GY222" s="249"/>
      <c r="HB222" s="249"/>
      <c r="HE222" s="249"/>
    </row>
    <row r="223" spans="1:213" x14ac:dyDescent="0.2">
      <c r="A223" s="249" t="s">
        <v>353</v>
      </c>
      <c r="B223" s="284">
        <v>1</v>
      </c>
      <c r="C223" s="247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W223" s="249"/>
      <c r="Z223" s="249"/>
      <c r="AC223" s="249"/>
      <c r="AD223" s="249"/>
      <c r="AE223" s="249"/>
      <c r="AF223" s="249"/>
      <c r="AG223" s="249"/>
      <c r="AJ223" s="249"/>
      <c r="AM223" s="249"/>
      <c r="AP223" s="249"/>
      <c r="AS223" s="249"/>
      <c r="AV223" s="249"/>
      <c r="AY223" s="249"/>
      <c r="BB223" s="249"/>
      <c r="BE223" s="249"/>
      <c r="BH223" s="249"/>
      <c r="BK223" s="249"/>
      <c r="BN223" s="249"/>
      <c r="BQ223" s="249"/>
      <c r="BT223" s="249"/>
      <c r="BW223" s="249"/>
      <c r="BZ223" s="249"/>
      <c r="CC223" s="249"/>
      <c r="CF223" s="249"/>
      <c r="CI223" s="249"/>
      <c r="CL223" s="249"/>
      <c r="CO223" s="249"/>
      <c r="CR223" s="249"/>
      <c r="CU223" s="249"/>
      <c r="CX223" s="249"/>
      <c r="DA223" s="249"/>
      <c r="DD223" s="249"/>
      <c r="DG223" s="249"/>
      <c r="DJ223" s="249"/>
      <c r="DM223" s="249"/>
      <c r="DP223" s="249"/>
      <c r="DS223" s="249"/>
      <c r="DV223" s="249"/>
      <c r="DY223" s="249"/>
      <c r="EB223" s="249"/>
      <c r="EE223" s="249"/>
      <c r="EH223" s="249"/>
      <c r="EK223" s="249"/>
      <c r="EN223" s="249"/>
      <c r="EQ223" s="249"/>
      <c r="ET223" s="249"/>
      <c r="EW223" s="249"/>
      <c r="EZ223" s="249"/>
      <c r="FC223" s="249"/>
      <c r="FF223" s="249"/>
      <c r="FI223" s="249"/>
      <c r="FL223" s="249"/>
      <c r="FO223" s="249"/>
      <c r="FR223" s="249"/>
      <c r="FU223" s="249"/>
      <c r="FX223" s="249"/>
      <c r="GA223" s="249"/>
      <c r="GD223" s="249"/>
      <c r="GG223" s="249"/>
      <c r="GJ223" s="249"/>
      <c r="GM223" s="249"/>
      <c r="GP223" s="249"/>
      <c r="GS223" s="249"/>
      <c r="GV223" s="249"/>
      <c r="GY223" s="249"/>
      <c r="HB223" s="249"/>
      <c r="HE223" s="249"/>
    </row>
    <row r="224" spans="1:213" x14ac:dyDescent="0.2">
      <c r="A224" s="262" t="s">
        <v>56</v>
      </c>
      <c r="B224" s="284">
        <v>1</v>
      </c>
      <c r="C224" s="247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W224" s="249"/>
      <c r="Z224" s="249"/>
      <c r="AC224" s="249"/>
      <c r="AD224" s="249"/>
      <c r="AE224" s="249"/>
      <c r="AF224" s="249"/>
      <c r="AG224" s="249"/>
      <c r="AJ224" s="249"/>
      <c r="AM224" s="249"/>
      <c r="AP224" s="249"/>
      <c r="AS224" s="249"/>
      <c r="AV224" s="249"/>
      <c r="AY224" s="249"/>
      <c r="BB224" s="249"/>
      <c r="BE224" s="249"/>
      <c r="BH224" s="249"/>
      <c r="BK224" s="249"/>
      <c r="BN224" s="249"/>
      <c r="BQ224" s="249"/>
      <c r="BT224" s="249"/>
      <c r="BW224" s="249"/>
      <c r="BZ224" s="249"/>
      <c r="CC224" s="249"/>
      <c r="CF224" s="249"/>
      <c r="CI224" s="249"/>
      <c r="CL224" s="249"/>
      <c r="CO224" s="249"/>
      <c r="CR224" s="249"/>
      <c r="CU224" s="249"/>
      <c r="CX224" s="249"/>
      <c r="DA224" s="249"/>
      <c r="DD224" s="249"/>
      <c r="DG224" s="249"/>
      <c r="DJ224" s="249"/>
      <c r="DM224" s="249"/>
      <c r="DP224" s="249"/>
      <c r="DS224" s="249"/>
      <c r="DV224" s="249"/>
      <c r="DY224" s="249"/>
      <c r="EB224" s="249"/>
      <c r="EE224" s="249"/>
      <c r="EH224" s="249"/>
      <c r="EK224" s="249"/>
      <c r="EN224" s="249"/>
      <c r="EQ224" s="249"/>
      <c r="ET224" s="249"/>
      <c r="EW224" s="249"/>
      <c r="EZ224" s="249"/>
      <c r="FC224" s="249"/>
      <c r="FF224" s="249"/>
      <c r="FI224" s="249"/>
      <c r="FL224" s="249"/>
      <c r="FO224" s="249"/>
      <c r="FR224" s="249"/>
      <c r="FU224" s="249"/>
      <c r="FX224" s="249"/>
      <c r="GA224" s="249"/>
      <c r="GD224" s="249"/>
      <c r="GG224" s="249"/>
      <c r="GJ224" s="249"/>
      <c r="GM224" s="249"/>
      <c r="GP224" s="249"/>
      <c r="GS224" s="249"/>
      <c r="GV224" s="249"/>
      <c r="GY224" s="249"/>
      <c r="HB224" s="249"/>
      <c r="HE224" s="249"/>
    </row>
    <row r="225" spans="1:213" x14ac:dyDescent="0.2">
      <c r="A225" s="262" t="s">
        <v>52</v>
      </c>
      <c r="B225" s="284">
        <v>0.4</v>
      </c>
      <c r="C225" s="247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W225" s="249"/>
      <c r="Z225" s="249"/>
      <c r="AC225" s="249"/>
      <c r="AD225" s="249"/>
      <c r="AE225" s="249"/>
      <c r="AF225" s="249"/>
      <c r="AG225" s="249"/>
      <c r="AJ225" s="249"/>
      <c r="AM225" s="249"/>
      <c r="AP225" s="249"/>
      <c r="AS225" s="249"/>
      <c r="AV225" s="249"/>
      <c r="AY225" s="249"/>
      <c r="BB225" s="249"/>
      <c r="BE225" s="249"/>
      <c r="BH225" s="249"/>
      <c r="BK225" s="249"/>
      <c r="BN225" s="249"/>
      <c r="BQ225" s="249"/>
      <c r="BT225" s="249"/>
      <c r="BW225" s="249"/>
      <c r="BZ225" s="249"/>
      <c r="CC225" s="249"/>
      <c r="CF225" s="249"/>
      <c r="CI225" s="249"/>
      <c r="CL225" s="249"/>
      <c r="CO225" s="249"/>
      <c r="CR225" s="249"/>
      <c r="CU225" s="249"/>
      <c r="CX225" s="249"/>
      <c r="DA225" s="249"/>
      <c r="DD225" s="249"/>
      <c r="DG225" s="249"/>
      <c r="DJ225" s="249"/>
      <c r="DM225" s="249"/>
      <c r="DP225" s="249"/>
      <c r="DS225" s="249"/>
      <c r="DV225" s="249"/>
      <c r="DY225" s="249"/>
      <c r="EB225" s="249"/>
      <c r="EE225" s="249"/>
      <c r="EH225" s="249"/>
      <c r="EK225" s="249"/>
      <c r="EN225" s="249"/>
      <c r="EQ225" s="249"/>
      <c r="ET225" s="249"/>
      <c r="EW225" s="249"/>
      <c r="EZ225" s="249"/>
      <c r="FC225" s="249"/>
      <c r="FF225" s="249"/>
      <c r="FI225" s="249"/>
      <c r="FL225" s="249"/>
      <c r="FO225" s="249"/>
      <c r="FR225" s="249"/>
      <c r="FU225" s="249"/>
      <c r="FX225" s="249"/>
      <c r="GA225" s="249"/>
      <c r="GD225" s="249"/>
      <c r="GG225" s="249"/>
      <c r="GJ225" s="249"/>
      <c r="GM225" s="249"/>
      <c r="GP225" s="249"/>
      <c r="GS225" s="249"/>
      <c r="GV225" s="249"/>
      <c r="GY225" s="249"/>
      <c r="HB225" s="249"/>
      <c r="HE225" s="249"/>
    </row>
    <row r="226" spans="1:213" x14ac:dyDescent="0.2">
      <c r="A226" s="262" t="s">
        <v>62</v>
      </c>
      <c r="B226" s="284">
        <v>1</v>
      </c>
      <c r="C226" s="247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W226" s="249"/>
      <c r="Z226" s="249"/>
      <c r="AC226" s="249"/>
      <c r="AD226" s="249"/>
      <c r="AE226" s="249"/>
      <c r="AF226" s="249"/>
      <c r="AG226" s="249"/>
      <c r="AJ226" s="249"/>
      <c r="AM226" s="249"/>
      <c r="AP226" s="249"/>
      <c r="AS226" s="249"/>
      <c r="AV226" s="249"/>
      <c r="AY226" s="249"/>
      <c r="BB226" s="249"/>
      <c r="BE226" s="249"/>
      <c r="BH226" s="249"/>
      <c r="BK226" s="249"/>
      <c r="BN226" s="249"/>
      <c r="BQ226" s="249"/>
      <c r="BT226" s="249"/>
      <c r="BW226" s="249"/>
      <c r="BZ226" s="249"/>
      <c r="CC226" s="249"/>
      <c r="CF226" s="249"/>
      <c r="CI226" s="249"/>
      <c r="CL226" s="249"/>
      <c r="CO226" s="249"/>
      <c r="CR226" s="249"/>
      <c r="CU226" s="249"/>
      <c r="CX226" s="249"/>
      <c r="DA226" s="249"/>
      <c r="DD226" s="249"/>
      <c r="DG226" s="249"/>
      <c r="DJ226" s="249"/>
      <c r="DM226" s="249"/>
      <c r="DP226" s="249"/>
      <c r="DS226" s="249"/>
      <c r="DV226" s="249"/>
      <c r="DY226" s="249"/>
      <c r="EB226" s="249"/>
      <c r="EE226" s="249"/>
      <c r="EH226" s="249"/>
      <c r="EK226" s="249"/>
      <c r="EN226" s="249"/>
      <c r="EQ226" s="249"/>
      <c r="ET226" s="249"/>
      <c r="EW226" s="249"/>
      <c r="EZ226" s="249"/>
      <c r="FC226" s="249"/>
      <c r="FF226" s="249"/>
      <c r="FI226" s="249"/>
      <c r="FL226" s="249"/>
      <c r="FO226" s="249"/>
      <c r="FR226" s="249"/>
      <c r="FU226" s="249"/>
      <c r="FX226" s="249"/>
      <c r="GA226" s="249"/>
      <c r="GD226" s="249"/>
      <c r="GG226" s="249"/>
      <c r="GJ226" s="249"/>
      <c r="GM226" s="249"/>
      <c r="GP226" s="249"/>
      <c r="GS226" s="249"/>
      <c r="GV226" s="249"/>
      <c r="GY226" s="249"/>
      <c r="HB226" s="249"/>
      <c r="HE226" s="249"/>
    </row>
    <row r="227" spans="1:213" x14ac:dyDescent="0.2">
      <c r="A227" s="262" t="s">
        <v>467</v>
      </c>
      <c r="B227" s="283">
        <v>4</v>
      </c>
      <c r="C227" s="249" t="s">
        <v>224</v>
      </c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W227" s="249"/>
      <c r="Z227" s="249"/>
      <c r="AC227" s="249"/>
      <c r="AD227" s="249"/>
      <c r="AE227" s="249"/>
      <c r="AF227" s="249"/>
      <c r="AG227" s="249"/>
      <c r="AJ227" s="249"/>
      <c r="AM227" s="249"/>
      <c r="AP227" s="249"/>
      <c r="AS227" s="249"/>
      <c r="AV227" s="249"/>
      <c r="AY227" s="249"/>
      <c r="BB227" s="249"/>
      <c r="BE227" s="249"/>
      <c r="BH227" s="249"/>
      <c r="BK227" s="249"/>
      <c r="BN227" s="249"/>
      <c r="BQ227" s="249"/>
      <c r="BT227" s="249"/>
      <c r="BW227" s="249"/>
      <c r="BZ227" s="249"/>
      <c r="CC227" s="249"/>
      <c r="CF227" s="249"/>
      <c r="CI227" s="249"/>
      <c r="CL227" s="249"/>
      <c r="CO227" s="249"/>
      <c r="CR227" s="249"/>
      <c r="CU227" s="249"/>
      <c r="CX227" s="249"/>
      <c r="DA227" s="249"/>
      <c r="DD227" s="249"/>
      <c r="DG227" s="249"/>
      <c r="DJ227" s="249"/>
      <c r="DM227" s="249"/>
      <c r="DP227" s="249"/>
      <c r="DS227" s="249"/>
      <c r="DV227" s="249"/>
      <c r="DY227" s="249"/>
      <c r="EB227" s="249"/>
      <c r="EE227" s="249"/>
      <c r="EH227" s="249"/>
      <c r="EK227" s="249"/>
      <c r="EN227" s="249"/>
      <c r="EQ227" s="249"/>
      <c r="ET227" s="249"/>
      <c r="EW227" s="249"/>
      <c r="EZ227" s="249"/>
      <c r="FC227" s="249"/>
      <c r="FF227" s="249"/>
      <c r="FI227" s="249"/>
      <c r="FL227" s="249"/>
      <c r="FO227" s="249"/>
      <c r="FR227" s="249"/>
      <c r="FU227" s="249"/>
      <c r="FX227" s="249"/>
      <c r="GA227" s="249"/>
      <c r="GD227" s="249"/>
      <c r="GG227" s="249"/>
      <c r="GJ227" s="249"/>
      <c r="GM227" s="249"/>
      <c r="GP227" s="249"/>
      <c r="GS227" s="249"/>
      <c r="GV227" s="249"/>
      <c r="GY227" s="249"/>
      <c r="HB227" s="249"/>
      <c r="HE227" s="249"/>
    </row>
    <row r="228" spans="1:213" x14ac:dyDescent="0.2">
      <c r="A228" s="262" t="s">
        <v>468</v>
      </c>
      <c r="B228" s="283">
        <v>4</v>
      </c>
      <c r="C228" s="249" t="s">
        <v>224</v>
      </c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W228" s="249"/>
      <c r="Z228" s="249"/>
      <c r="AC228" s="249"/>
      <c r="AD228" s="249"/>
      <c r="AE228" s="249"/>
      <c r="AF228" s="249"/>
      <c r="AG228" s="249"/>
      <c r="AJ228" s="249"/>
      <c r="AM228" s="249"/>
      <c r="AP228" s="249"/>
      <c r="AS228" s="249"/>
      <c r="AV228" s="249"/>
      <c r="AY228" s="249"/>
      <c r="BB228" s="249"/>
      <c r="BE228" s="249"/>
      <c r="BH228" s="249"/>
      <c r="BK228" s="249"/>
      <c r="BN228" s="249"/>
      <c r="BQ228" s="249"/>
      <c r="BT228" s="249"/>
      <c r="BW228" s="249"/>
      <c r="BZ228" s="249"/>
      <c r="CC228" s="249"/>
      <c r="CF228" s="249"/>
      <c r="CI228" s="249"/>
      <c r="CL228" s="249"/>
      <c r="CO228" s="249"/>
      <c r="CR228" s="249"/>
      <c r="CU228" s="249"/>
      <c r="CX228" s="249"/>
      <c r="DA228" s="249"/>
      <c r="DD228" s="249"/>
      <c r="DG228" s="249"/>
      <c r="DJ228" s="249"/>
      <c r="DM228" s="249"/>
      <c r="DP228" s="249"/>
      <c r="DS228" s="249"/>
      <c r="DV228" s="249"/>
      <c r="DY228" s="249"/>
      <c r="EB228" s="249"/>
      <c r="EE228" s="249"/>
      <c r="EH228" s="249"/>
      <c r="EK228" s="249"/>
      <c r="EN228" s="249"/>
      <c r="EQ228" s="249"/>
      <c r="ET228" s="249"/>
      <c r="EW228" s="249"/>
      <c r="EZ228" s="249"/>
      <c r="FC228" s="249"/>
      <c r="FF228" s="249"/>
      <c r="FI228" s="249"/>
      <c r="FL228" s="249"/>
      <c r="FO228" s="249"/>
      <c r="FR228" s="249"/>
      <c r="FU228" s="249"/>
      <c r="FX228" s="249"/>
      <c r="GA228" s="249"/>
      <c r="GD228" s="249"/>
      <c r="GG228" s="249"/>
      <c r="GJ228" s="249"/>
      <c r="GM228" s="249"/>
      <c r="GP228" s="249"/>
      <c r="GS228" s="249"/>
      <c r="GV228" s="249"/>
      <c r="GY228" s="249"/>
      <c r="HB228" s="249"/>
      <c r="HE228" s="249"/>
    </row>
    <row r="229" spans="1:213" x14ac:dyDescent="0.2">
      <c r="A229" s="262" t="s">
        <v>103</v>
      </c>
      <c r="B229" s="283">
        <v>0.4</v>
      </c>
      <c r="C229" s="247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W229" s="249"/>
      <c r="Z229" s="249"/>
      <c r="AC229" s="249"/>
      <c r="AD229" s="249"/>
      <c r="AE229" s="249"/>
      <c r="AF229" s="249"/>
      <c r="AG229" s="249"/>
      <c r="AJ229" s="249"/>
      <c r="AM229" s="249"/>
      <c r="AP229" s="249"/>
      <c r="AS229" s="249"/>
      <c r="AV229" s="249"/>
      <c r="AY229" s="249"/>
      <c r="BB229" s="249"/>
      <c r="BE229" s="249"/>
      <c r="BH229" s="249"/>
      <c r="BK229" s="249"/>
      <c r="BN229" s="249"/>
      <c r="BQ229" s="249"/>
      <c r="BT229" s="249"/>
      <c r="BW229" s="249"/>
      <c r="BZ229" s="249"/>
      <c r="CC229" s="249"/>
      <c r="CF229" s="249"/>
      <c r="CI229" s="249"/>
      <c r="CL229" s="249"/>
      <c r="CO229" s="249"/>
      <c r="CR229" s="249"/>
      <c r="CU229" s="249"/>
      <c r="CX229" s="249"/>
      <c r="DA229" s="249"/>
      <c r="DD229" s="249"/>
      <c r="DG229" s="249"/>
      <c r="DJ229" s="249"/>
      <c r="DM229" s="249"/>
      <c r="DP229" s="249"/>
      <c r="DS229" s="249"/>
      <c r="DV229" s="249"/>
      <c r="DY229" s="249"/>
      <c r="EB229" s="249"/>
      <c r="EE229" s="249"/>
      <c r="EH229" s="249"/>
      <c r="EK229" s="249"/>
      <c r="EN229" s="249"/>
      <c r="EQ229" s="249"/>
      <c r="ET229" s="249"/>
      <c r="EW229" s="249"/>
      <c r="EZ229" s="249"/>
      <c r="FC229" s="249"/>
      <c r="FF229" s="249"/>
      <c r="FI229" s="249"/>
      <c r="FL229" s="249"/>
      <c r="FO229" s="249"/>
      <c r="FR229" s="249"/>
      <c r="FU229" s="249"/>
      <c r="FX229" s="249"/>
      <c r="GA229" s="249"/>
      <c r="GD229" s="249"/>
      <c r="GG229" s="249"/>
      <c r="GJ229" s="249"/>
      <c r="GM229" s="249"/>
      <c r="GP229" s="249"/>
      <c r="GS229" s="249"/>
      <c r="GV229" s="249"/>
      <c r="GY229" s="249"/>
      <c r="HB229" s="249"/>
      <c r="HE229" s="249"/>
    </row>
    <row r="230" spans="1:213" x14ac:dyDescent="0.2">
      <c r="A230" s="558" t="s">
        <v>427</v>
      </c>
      <c r="B230" s="558"/>
      <c r="C230" s="558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W230" s="249"/>
      <c r="Z230" s="249"/>
      <c r="AC230" s="249"/>
      <c r="AD230" s="249"/>
      <c r="AE230" s="249"/>
      <c r="AF230" s="249"/>
      <c r="AG230" s="249"/>
      <c r="AJ230" s="249"/>
      <c r="AM230" s="249"/>
      <c r="AP230" s="249"/>
      <c r="AS230" s="249"/>
      <c r="AV230" s="249"/>
      <c r="AY230" s="249"/>
      <c r="BB230" s="249"/>
      <c r="BE230" s="249"/>
      <c r="BH230" s="249"/>
      <c r="BK230" s="249"/>
      <c r="BN230" s="249"/>
      <c r="BQ230" s="249"/>
      <c r="BT230" s="249"/>
      <c r="BW230" s="249"/>
      <c r="BZ230" s="249"/>
      <c r="CC230" s="249"/>
      <c r="CF230" s="249"/>
      <c r="CI230" s="249"/>
      <c r="CL230" s="249"/>
      <c r="CO230" s="249"/>
      <c r="CR230" s="249"/>
      <c r="CU230" s="249"/>
      <c r="CX230" s="249"/>
      <c r="DA230" s="249"/>
      <c r="DD230" s="249"/>
      <c r="DG230" s="249"/>
      <c r="DJ230" s="249"/>
      <c r="DM230" s="249"/>
      <c r="DP230" s="249"/>
      <c r="DS230" s="249"/>
      <c r="DV230" s="249"/>
      <c r="DY230" s="249"/>
      <c r="EB230" s="249"/>
      <c r="EE230" s="249"/>
      <c r="EH230" s="249"/>
      <c r="EK230" s="249"/>
      <c r="EN230" s="249"/>
      <c r="EQ230" s="249"/>
      <c r="ET230" s="249"/>
      <c r="EW230" s="249"/>
      <c r="EZ230" s="249"/>
      <c r="FC230" s="249"/>
      <c r="FF230" s="249"/>
      <c r="FI230" s="249"/>
      <c r="FL230" s="249"/>
      <c r="FO230" s="249"/>
      <c r="FR230" s="249"/>
      <c r="FU230" s="249"/>
      <c r="FX230" s="249"/>
      <c r="GA230" s="249"/>
      <c r="GD230" s="249"/>
      <c r="GG230" s="249"/>
      <c r="GJ230" s="249"/>
      <c r="GM230" s="249"/>
      <c r="GP230" s="249"/>
      <c r="GS230" s="249"/>
      <c r="GV230" s="249"/>
      <c r="GY230" s="249"/>
      <c r="HB230" s="249"/>
      <c r="HE230" s="249"/>
    </row>
    <row r="231" spans="1:213" x14ac:dyDescent="0.2">
      <c r="A231" s="249" t="s">
        <v>428</v>
      </c>
      <c r="B231" s="283">
        <v>60</v>
      </c>
      <c r="C231" s="263" t="s">
        <v>359</v>
      </c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W231" s="249"/>
      <c r="Z231" s="249"/>
      <c r="AC231" s="249"/>
      <c r="AD231" s="249"/>
      <c r="AE231" s="249"/>
      <c r="AF231" s="249"/>
      <c r="AG231" s="249"/>
      <c r="AJ231" s="249"/>
      <c r="AM231" s="249"/>
      <c r="AP231" s="249"/>
      <c r="AS231" s="249"/>
      <c r="AV231" s="249"/>
      <c r="AY231" s="249"/>
      <c r="BB231" s="249"/>
      <c r="BE231" s="249"/>
      <c r="BH231" s="249"/>
      <c r="BK231" s="249"/>
      <c r="BN231" s="249"/>
      <c r="BQ231" s="249"/>
      <c r="BT231" s="249"/>
      <c r="BW231" s="249"/>
      <c r="BZ231" s="249"/>
      <c r="CC231" s="249"/>
      <c r="CF231" s="249"/>
      <c r="CI231" s="249"/>
      <c r="CL231" s="249"/>
      <c r="CO231" s="249"/>
      <c r="CR231" s="249"/>
      <c r="CU231" s="249"/>
      <c r="CX231" s="249"/>
      <c r="DA231" s="249"/>
      <c r="DD231" s="249"/>
      <c r="DG231" s="249"/>
      <c r="DJ231" s="249"/>
      <c r="DM231" s="249"/>
      <c r="DP231" s="249"/>
      <c r="DS231" s="249"/>
      <c r="DV231" s="249"/>
      <c r="DY231" s="249"/>
      <c r="EB231" s="249"/>
      <c r="EE231" s="249"/>
      <c r="EH231" s="249"/>
      <c r="EK231" s="249"/>
      <c r="EN231" s="249"/>
      <c r="EQ231" s="249"/>
      <c r="ET231" s="249"/>
      <c r="EW231" s="249"/>
      <c r="EZ231" s="249"/>
      <c r="FC231" s="249"/>
      <c r="FF231" s="249"/>
      <c r="FI231" s="249"/>
      <c r="FL231" s="249"/>
      <c r="FO231" s="249"/>
      <c r="FR231" s="249"/>
      <c r="FU231" s="249"/>
      <c r="FX231" s="249"/>
      <c r="GA231" s="249"/>
      <c r="GD231" s="249"/>
      <c r="GG231" s="249"/>
      <c r="GJ231" s="249"/>
      <c r="GM231" s="249"/>
      <c r="GP231" s="249"/>
      <c r="GS231" s="249"/>
      <c r="GV231" s="249"/>
      <c r="GY231" s="249"/>
      <c r="HB231" s="249"/>
      <c r="HE231" s="249"/>
    </row>
    <row r="232" spans="1:213" x14ac:dyDescent="0.2">
      <c r="A232" s="262" t="s">
        <v>40</v>
      </c>
      <c r="B232" s="283">
        <v>250</v>
      </c>
      <c r="C232" s="249" t="s">
        <v>26</v>
      </c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W232" s="249"/>
      <c r="Z232" s="249"/>
      <c r="AC232" s="249"/>
      <c r="AD232" s="249"/>
      <c r="AE232" s="249"/>
      <c r="AF232" s="249"/>
      <c r="AG232" s="249"/>
      <c r="AJ232" s="249"/>
      <c r="AM232" s="249"/>
      <c r="AP232" s="249"/>
      <c r="AS232" s="249"/>
      <c r="AV232" s="249"/>
      <c r="AY232" s="249"/>
      <c r="BB232" s="249"/>
      <c r="BE232" s="249"/>
      <c r="BH232" s="249"/>
      <c r="BK232" s="249"/>
      <c r="BN232" s="249"/>
      <c r="BQ232" s="249"/>
      <c r="BT232" s="249"/>
      <c r="BW232" s="249"/>
      <c r="BZ232" s="249"/>
      <c r="CC232" s="249"/>
      <c r="CF232" s="249"/>
      <c r="CI232" s="249"/>
      <c r="CL232" s="249"/>
      <c r="CO232" s="249"/>
      <c r="CR232" s="249"/>
      <c r="CU232" s="249"/>
      <c r="CX232" s="249"/>
      <c r="DA232" s="249"/>
      <c r="DD232" s="249"/>
      <c r="DG232" s="249"/>
      <c r="DJ232" s="249"/>
      <c r="DM232" s="249"/>
      <c r="DP232" s="249"/>
      <c r="DS232" s="249"/>
      <c r="DV232" s="249"/>
      <c r="DY232" s="249"/>
      <c r="EB232" s="249"/>
      <c r="EE232" s="249"/>
      <c r="EH232" s="249"/>
      <c r="EK232" s="249"/>
      <c r="EN232" s="249"/>
      <c r="EQ232" s="249"/>
      <c r="ET232" s="249"/>
      <c r="EW232" s="249"/>
      <c r="EZ232" s="249"/>
      <c r="FC232" s="249"/>
      <c r="FF232" s="249"/>
      <c r="FI232" s="249"/>
      <c r="FL232" s="249"/>
      <c r="FO232" s="249"/>
      <c r="FR232" s="249"/>
      <c r="FU232" s="249"/>
      <c r="FX232" s="249"/>
      <c r="GA232" s="249"/>
      <c r="GD232" s="249"/>
      <c r="GG232" s="249"/>
      <c r="GJ232" s="249"/>
      <c r="GM232" s="249"/>
      <c r="GP232" s="249"/>
      <c r="GS232" s="249"/>
      <c r="GV232" s="249"/>
      <c r="GY232" s="249"/>
      <c r="HB232" s="249"/>
      <c r="HE232" s="249"/>
    </row>
    <row r="233" spans="1:213" x14ac:dyDescent="0.2">
      <c r="A233" s="262" t="s">
        <v>429</v>
      </c>
      <c r="B233" s="284">
        <v>25</v>
      </c>
      <c r="C233" s="249" t="s">
        <v>69</v>
      </c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W233" s="249"/>
      <c r="Z233" s="249"/>
      <c r="AC233" s="249"/>
      <c r="AD233" s="249"/>
      <c r="AE233" s="249"/>
      <c r="AF233" s="249"/>
      <c r="AG233" s="249"/>
      <c r="AJ233" s="249"/>
      <c r="AM233" s="249"/>
      <c r="AP233" s="249"/>
      <c r="AS233" s="249"/>
      <c r="AV233" s="249"/>
      <c r="AY233" s="249"/>
      <c r="BB233" s="249"/>
      <c r="BE233" s="249"/>
      <c r="BH233" s="249"/>
      <c r="BK233" s="249"/>
      <c r="BN233" s="249"/>
      <c r="BQ233" s="249"/>
      <c r="BT233" s="249"/>
      <c r="BW233" s="249"/>
      <c r="BZ233" s="249"/>
      <c r="CC233" s="249"/>
      <c r="CF233" s="249"/>
      <c r="CI233" s="249"/>
      <c r="CL233" s="249"/>
      <c r="CO233" s="249"/>
      <c r="CR233" s="249"/>
      <c r="CU233" s="249"/>
      <c r="CX233" s="249"/>
      <c r="DA233" s="249"/>
      <c r="DD233" s="249"/>
      <c r="DG233" s="249"/>
      <c r="DJ233" s="249"/>
      <c r="DM233" s="249"/>
      <c r="DP233" s="249"/>
      <c r="DS233" s="249"/>
      <c r="DV233" s="249"/>
      <c r="DY233" s="249"/>
      <c r="EB233" s="249"/>
      <c r="EE233" s="249"/>
      <c r="EH233" s="249"/>
      <c r="EK233" s="249"/>
      <c r="EN233" s="249"/>
      <c r="EQ233" s="249"/>
      <c r="ET233" s="249"/>
      <c r="EW233" s="249"/>
      <c r="EZ233" s="249"/>
      <c r="FC233" s="249"/>
      <c r="FF233" s="249"/>
      <c r="FI233" s="249"/>
      <c r="FL233" s="249"/>
      <c r="FO233" s="249"/>
      <c r="FR233" s="249"/>
      <c r="FU233" s="249"/>
      <c r="FX233" s="249"/>
      <c r="GA233" s="249"/>
      <c r="GD233" s="249"/>
      <c r="GG233" s="249"/>
      <c r="GJ233" s="249"/>
      <c r="GM233" s="249"/>
      <c r="GP233" s="249"/>
      <c r="GS233" s="249"/>
      <c r="GV233" s="249"/>
      <c r="GY233" s="249"/>
      <c r="HB233" s="249"/>
      <c r="HE233" s="249"/>
    </row>
    <row r="234" spans="1:213" x14ac:dyDescent="0.2">
      <c r="A234" s="262" t="s">
        <v>79</v>
      </c>
      <c r="B234" s="283">
        <v>50</v>
      </c>
      <c r="C234" s="263" t="s">
        <v>54</v>
      </c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W234" s="249"/>
      <c r="Z234" s="249"/>
      <c r="AC234" s="249"/>
      <c r="AD234" s="249"/>
      <c r="AE234" s="249"/>
      <c r="AF234" s="249"/>
      <c r="AG234" s="249"/>
      <c r="AJ234" s="249"/>
      <c r="AM234" s="249"/>
      <c r="AP234" s="249"/>
      <c r="AS234" s="249"/>
      <c r="AV234" s="249"/>
      <c r="AY234" s="249"/>
      <c r="BB234" s="249"/>
      <c r="BE234" s="249"/>
      <c r="BH234" s="249"/>
      <c r="BK234" s="249"/>
      <c r="BN234" s="249"/>
      <c r="BQ234" s="249"/>
      <c r="BT234" s="249"/>
      <c r="BW234" s="249"/>
      <c r="BZ234" s="249"/>
      <c r="CC234" s="249"/>
      <c r="CF234" s="249"/>
      <c r="CI234" s="249"/>
      <c r="CL234" s="249"/>
      <c r="CO234" s="249"/>
      <c r="CR234" s="249"/>
      <c r="CU234" s="249"/>
      <c r="CX234" s="249"/>
      <c r="DA234" s="249"/>
      <c r="DD234" s="249"/>
      <c r="DG234" s="249"/>
      <c r="DJ234" s="249"/>
      <c r="DM234" s="249"/>
      <c r="DP234" s="249"/>
      <c r="DS234" s="249"/>
      <c r="DV234" s="249"/>
      <c r="DY234" s="249"/>
      <c r="EB234" s="249"/>
      <c r="EE234" s="249"/>
      <c r="EH234" s="249"/>
      <c r="EK234" s="249"/>
      <c r="EN234" s="249"/>
      <c r="EQ234" s="249"/>
      <c r="ET234" s="249"/>
      <c r="EW234" s="249"/>
      <c r="EZ234" s="249"/>
      <c r="FC234" s="249"/>
      <c r="FF234" s="249"/>
      <c r="FI234" s="249"/>
      <c r="FL234" s="249"/>
      <c r="FO234" s="249"/>
      <c r="FR234" s="249"/>
      <c r="FU234" s="249"/>
      <c r="FX234" s="249"/>
      <c r="GA234" s="249"/>
      <c r="GD234" s="249"/>
      <c r="GG234" s="249"/>
      <c r="GJ234" s="249"/>
      <c r="GM234" s="249"/>
      <c r="GP234" s="249"/>
      <c r="GS234" s="249"/>
      <c r="GV234" s="249"/>
      <c r="GY234" s="249"/>
      <c r="HB234" s="249"/>
      <c r="HE234" s="249"/>
    </row>
    <row r="235" spans="1:213" x14ac:dyDescent="0.2">
      <c r="A235" s="249" t="s">
        <v>353</v>
      </c>
      <c r="B235" s="284">
        <v>1</v>
      </c>
      <c r="C235" s="247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W235" s="249"/>
      <c r="Z235" s="249"/>
      <c r="AC235" s="249"/>
      <c r="AD235" s="249"/>
      <c r="AE235" s="249"/>
      <c r="AF235" s="249"/>
      <c r="AG235" s="249"/>
      <c r="AJ235" s="249"/>
      <c r="AM235" s="249"/>
      <c r="AP235" s="249"/>
      <c r="AS235" s="249"/>
      <c r="AV235" s="249"/>
      <c r="AY235" s="249"/>
      <c r="BB235" s="249"/>
      <c r="BE235" s="249"/>
      <c r="BH235" s="249"/>
      <c r="BK235" s="249"/>
      <c r="BN235" s="249"/>
      <c r="BQ235" s="249"/>
      <c r="BT235" s="249"/>
      <c r="BW235" s="249"/>
      <c r="BZ235" s="249"/>
      <c r="CC235" s="249"/>
      <c r="CF235" s="249"/>
      <c r="CI235" s="249"/>
      <c r="CL235" s="249"/>
      <c r="CO235" s="249"/>
      <c r="CR235" s="249"/>
      <c r="CU235" s="249"/>
      <c r="CX235" s="249"/>
      <c r="DA235" s="249"/>
      <c r="DD235" s="249"/>
      <c r="DG235" s="249"/>
      <c r="DJ235" s="249"/>
      <c r="DM235" s="249"/>
      <c r="DP235" s="249"/>
      <c r="DS235" s="249"/>
      <c r="DV235" s="249"/>
      <c r="DY235" s="249"/>
      <c r="EB235" s="249"/>
      <c r="EE235" s="249"/>
      <c r="EH235" s="249"/>
      <c r="EK235" s="249"/>
      <c r="EN235" s="249"/>
      <c r="EQ235" s="249"/>
      <c r="ET235" s="249"/>
      <c r="EW235" s="249"/>
      <c r="EZ235" s="249"/>
      <c r="FC235" s="249"/>
      <c r="FF235" s="249"/>
      <c r="FI235" s="249"/>
      <c r="FL235" s="249"/>
      <c r="FO235" s="249"/>
      <c r="FR235" s="249"/>
      <c r="FU235" s="249"/>
      <c r="FX235" s="249"/>
      <c r="GA235" s="249"/>
      <c r="GD235" s="249"/>
      <c r="GG235" s="249"/>
      <c r="GJ235" s="249"/>
      <c r="GM235" s="249"/>
      <c r="GP235" s="249"/>
      <c r="GS235" s="249"/>
      <c r="GV235" s="249"/>
      <c r="GY235" s="249"/>
      <c r="HB235" s="249"/>
      <c r="HE235" s="249"/>
    </row>
    <row r="236" spans="1:213" x14ac:dyDescent="0.2">
      <c r="A236" s="262" t="s">
        <v>56</v>
      </c>
      <c r="B236" s="284">
        <v>1</v>
      </c>
      <c r="C236" s="247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W236" s="249"/>
      <c r="Z236" s="249"/>
      <c r="AC236" s="249"/>
      <c r="AD236" s="249"/>
      <c r="AE236" s="249"/>
      <c r="AF236" s="249"/>
      <c r="AG236" s="249"/>
      <c r="AJ236" s="249"/>
      <c r="AM236" s="249"/>
      <c r="AP236" s="249"/>
      <c r="AS236" s="249"/>
      <c r="AV236" s="249"/>
      <c r="AY236" s="249"/>
      <c r="BB236" s="249"/>
      <c r="BE236" s="249"/>
      <c r="BH236" s="249"/>
      <c r="BK236" s="249"/>
      <c r="BN236" s="249"/>
      <c r="BQ236" s="249"/>
      <c r="BT236" s="249"/>
      <c r="BW236" s="249"/>
      <c r="BZ236" s="249"/>
      <c r="CC236" s="249"/>
      <c r="CF236" s="249"/>
      <c r="CI236" s="249"/>
      <c r="CL236" s="249"/>
      <c r="CO236" s="249"/>
      <c r="CR236" s="249"/>
      <c r="CU236" s="249"/>
      <c r="CX236" s="249"/>
      <c r="DA236" s="249"/>
      <c r="DD236" s="249"/>
      <c r="DG236" s="249"/>
      <c r="DJ236" s="249"/>
      <c r="DM236" s="249"/>
      <c r="DP236" s="249"/>
      <c r="DS236" s="249"/>
      <c r="DV236" s="249"/>
      <c r="DY236" s="249"/>
      <c r="EB236" s="249"/>
      <c r="EE236" s="249"/>
      <c r="EH236" s="249"/>
      <c r="EK236" s="249"/>
      <c r="EN236" s="249"/>
      <c r="EQ236" s="249"/>
      <c r="ET236" s="249"/>
      <c r="EW236" s="249"/>
      <c r="EZ236" s="249"/>
      <c r="FC236" s="249"/>
      <c r="FF236" s="249"/>
      <c r="FI236" s="249"/>
      <c r="FL236" s="249"/>
      <c r="FO236" s="249"/>
      <c r="FR236" s="249"/>
      <c r="FU236" s="249"/>
      <c r="FX236" s="249"/>
      <c r="GA236" s="249"/>
      <c r="GD236" s="249"/>
      <c r="GG236" s="249"/>
      <c r="GJ236" s="249"/>
      <c r="GM236" s="249"/>
      <c r="GP236" s="249"/>
      <c r="GS236" s="249"/>
      <c r="GV236" s="249"/>
      <c r="GY236" s="249"/>
      <c r="HB236" s="249"/>
      <c r="HE236" s="249"/>
    </row>
    <row r="237" spans="1:213" x14ac:dyDescent="0.2">
      <c r="A237" s="262" t="s">
        <v>52</v>
      </c>
      <c r="B237" s="284">
        <v>0.4</v>
      </c>
      <c r="C237" s="247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W237" s="249"/>
      <c r="Z237" s="249"/>
      <c r="AC237" s="249"/>
      <c r="AD237" s="249"/>
      <c r="AE237" s="249"/>
      <c r="AF237" s="249"/>
      <c r="AG237" s="249"/>
      <c r="AJ237" s="249"/>
      <c r="AM237" s="249"/>
      <c r="AP237" s="249"/>
      <c r="AS237" s="249"/>
      <c r="AV237" s="249"/>
      <c r="AY237" s="249"/>
      <c r="BB237" s="249"/>
      <c r="BE237" s="249"/>
      <c r="BH237" s="249"/>
      <c r="BK237" s="249"/>
      <c r="BN237" s="249"/>
      <c r="BQ237" s="249"/>
      <c r="BT237" s="249"/>
      <c r="BW237" s="249"/>
      <c r="BZ237" s="249"/>
      <c r="CC237" s="249"/>
      <c r="CF237" s="249"/>
      <c r="CI237" s="249"/>
      <c r="CL237" s="249"/>
      <c r="CO237" s="249"/>
      <c r="CR237" s="249"/>
      <c r="CU237" s="249"/>
      <c r="CX237" s="249"/>
      <c r="DA237" s="249"/>
      <c r="DD237" s="249"/>
      <c r="DG237" s="249"/>
      <c r="DJ237" s="249"/>
      <c r="DM237" s="249"/>
      <c r="DP237" s="249"/>
      <c r="DS237" s="249"/>
      <c r="DV237" s="249"/>
      <c r="DY237" s="249"/>
      <c r="EB237" s="249"/>
      <c r="EE237" s="249"/>
      <c r="EH237" s="249"/>
      <c r="EK237" s="249"/>
      <c r="EN237" s="249"/>
      <c r="EQ237" s="249"/>
      <c r="ET237" s="249"/>
      <c r="EW237" s="249"/>
      <c r="EZ237" s="249"/>
      <c r="FC237" s="249"/>
      <c r="FF237" s="249"/>
      <c r="FI237" s="249"/>
      <c r="FL237" s="249"/>
      <c r="FO237" s="249"/>
      <c r="FR237" s="249"/>
      <c r="FU237" s="249"/>
      <c r="FX237" s="249"/>
      <c r="GA237" s="249"/>
      <c r="GD237" s="249"/>
      <c r="GG237" s="249"/>
      <c r="GJ237" s="249"/>
      <c r="GM237" s="249"/>
      <c r="GP237" s="249"/>
      <c r="GS237" s="249"/>
      <c r="GV237" s="249"/>
      <c r="GY237" s="249"/>
      <c r="HB237" s="249"/>
      <c r="HE237" s="249"/>
    </row>
    <row r="238" spans="1:213" x14ac:dyDescent="0.2">
      <c r="A238" s="262" t="s">
        <v>62</v>
      </c>
      <c r="B238" s="284">
        <v>1</v>
      </c>
      <c r="C238" s="247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W238" s="249"/>
      <c r="Z238" s="249"/>
      <c r="AC238" s="249"/>
      <c r="AD238" s="249"/>
      <c r="AE238" s="249"/>
      <c r="AF238" s="249"/>
      <c r="AG238" s="249"/>
      <c r="AJ238" s="249"/>
      <c r="AM238" s="249"/>
      <c r="AP238" s="249"/>
      <c r="AS238" s="249"/>
      <c r="AV238" s="249"/>
      <c r="AY238" s="249"/>
      <c r="BB238" s="249"/>
      <c r="BE238" s="249"/>
      <c r="BH238" s="249"/>
      <c r="BK238" s="249"/>
      <c r="BN238" s="249"/>
      <c r="BQ238" s="249"/>
      <c r="BT238" s="249"/>
      <c r="BW238" s="249"/>
      <c r="BZ238" s="249"/>
      <c r="CC238" s="249"/>
      <c r="CF238" s="249"/>
      <c r="CI238" s="249"/>
      <c r="CL238" s="249"/>
      <c r="CO238" s="249"/>
      <c r="CR238" s="249"/>
      <c r="CU238" s="249"/>
      <c r="CX238" s="249"/>
      <c r="DA238" s="249"/>
      <c r="DD238" s="249"/>
      <c r="DG238" s="249"/>
      <c r="DJ238" s="249"/>
      <c r="DM238" s="249"/>
      <c r="DP238" s="249"/>
      <c r="DS238" s="249"/>
      <c r="DV238" s="249"/>
      <c r="DY238" s="249"/>
      <c r="EB238" s="249"/>
      <c r="EE238" s="249"/>
      <c r="EH238" s="249"/>
      <c r="EK238" s="249"/>
      <c r="EN238" s="249"/>
      <c r="EQ238" s="249"/>
      <c r="ET238" s="249"/>
      <c r="EW238" s="249"/>
      <c r="EZ238" s="249"/>
      <c r="FC238" s="249"/>
      <c r="FF238" s="249"/>
      <c r="FI238" s="249"/>
      <c r="FL238" s="249"/>
      <c r="FO238" s="249"/>
      <c r="FR238" s="249"/>
      <c r="FU238" s="249"/>
      <c r="FX238" s="249"/>
      <c r="GA238" s="249"/>
      <c r="GD238" s="249"/>
      <c r="GG238" s="249"/>
      <c r="GJ238" s="249"/>
      <c r="GM238" s="249"/>
      <c r="GP238" s="249"/>
      <c r="GS238" s="249"/>
      <c r="GV238" s="249"/>
      <c r="GY238" s="249"/>
      <c r="HB238" s="249"/>
      <c r="HE238" s="249"/>
    </row>
    <row r="239" spans="1:213" x14ac:dyDescent="0.2">
      <c r="A239" s="262" t="s">
        <v>469</v>
      </c>
      <c r="B239" s="283">
        <v>0</v>
      </c>
      <c r="C239" s="249" t="s">
        <v>224</v>
      </c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W239" s="249"/>
      <c r="Z239" s="249"/>
      <c r="AC239" s="249"/>
      <c r="AD239" s="249"/>
      <c r="AE239" s="249"/>
      <c r="AF239" s="249"/>
      <c r="AG239" s="249"/>
      <c r="AJ239" s="249"/>
      <c r="AM239" s="249"/>
      <c r="AP239" s="249"/>
      <c r="AS239" s="249"/>
      <c r="AV239" s="249"/>
      <c r="AY239" s="249"/>
      <c r="BB239" s="249"/>
      <c r="BE239" s="249"/>
      <c r="BH239" s="249"/>
      <c r="BK239" s="249"/>
      <c r="BN239" s="249"/>
      <c r="BQ239" s="249"/>
      <c r="BT239" s="249"/>
      <c r="BW239" s="249"/>
      <c r="BZ239" s="249"/>
      <c r="CC239" s="249"/>
      <c r="CF239" s="249"/>
      <c r="CI239" s="249"/>
      <c r="CL239" s="249"/>
      <c r="CO239" s="249"/>
      <c r="CR239" s="249"/>
      <c r="CU239" s="249"/>
      <c r="CX239" s="249"/>
      <c r="DA239" s="249"/>
      <c r="DD239" s="249"/>
      <c r="DG239" s="249"/>
      <c r="DJ239" s="249"/>
      <c r="DM239" s="249"/>
      <c r="DP239" s="249"/>
      <c r="DS239" s="249"/>
      <c r="DV239" s="249"/>
      <c r="DY239" s="249"/>
      <c r="EB239" s="249"/>
      <c r="EE239" s="249"/>
      <c r="EH239" s="249"/>
      <c r="EK239" s="249"/>
      <c r="EN239" s="249"/>
      <c r="EQ239" s="249"/>
      <c r="ET239" s="249"/>
      <c r="EW239" s="249"/>
      <c r="EZ239" s="249"/>
      <c r="FC239" s="249"/>
      <c r="FF239" s="249"/>
      <c r="FI239" s="249"/>
      <c r="FL239" s="249"/>
      <c r="FO239" s="249"/>
      <c r="FR239" s="249"/>
      <c r="FU239" s="249"/>
      <c r="FX239" s="249"/>
      <c r="GA239" s="249"/>
      <c r="GD239" s="249"/>
      <c r="GG239" s="249"/>
      <c r="GJ239" s="249"/>
      <c r="GM239" s="249"/>
      <c r="GP239" s="249"/>
      <c r="GS239" s="249"/>
      <c r="GV239" s="249"/>
      <c r="GY239" s="249"/>
      <c r="HB239" s="249"/>
      <c r="HE239" s="249"/>
    </row>
    <row r="240" spans="1:213" x14ac:dyDescent="0.2">
      <c r="A240" s="262" t="s">
        <v>470</v>
      </c>
      <c r="B240" s="283">
        <v>8</v>
      </c>
      <c r="C240" s="249" t="s">
        <v>224</v>
      </c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W240" s="249"/>
      <c r="Z240" s="249"/>
      <c r="AC240" s="249"/>
      <c r="AD240" s="249"/>
      <c r="AE240" s="249"/>
      <c r="AF240" s="249"/>
      <c r="AG240" s="249"/>
      <c r="AJ240" s="249"/>
      <c r="AM240" s="249"/>
      <c r="AP240" s="249"/>
      <c r="AS240" s="249"/>
      <c r="AV240" s="249"/>
      <c r="AY240" s="249"/>
      <c r="BB240" s="249"/>
      <c r="BE240" s="249"/>
      <c r="BH240" s="249"/>
      <c r="BK240" s="249"/>
      <c r="BN240" s="249"/>
      <c r="BQ240" s="249"/>
      <c r="BT240" s="249"/>
      <c r="BW240" s="249"/>
      <c r="BZ240" s="249"/>
      <c r="CC240" s="249"/>
      <c r="CF240" s="249"/>
      <c r="CI240" s="249"/>
      <c r="CL240" s="249"/>
      <c r="CO240" s="249"/>
      <c r="CR240" s="249"/>
      <c r="CU240" s="249"/>
      <c r="CX240" s="249"/>
      <c r="DA240" s="249"/>
      <c r="DD240" s="249"/>
      <c r="DG240" s="249"/>
      <c r="DJ240" s="249"/>
      <c r="DM240" s="249"/>
      <c r="DP240" s="249"/>
      <c r="DS240" s="249"/>
      <c r="DV240" s="249"/>
      <c r="DY240" s="249"/>
      <c r="EB240" s="249"/>
      <c r="EE240" s="249"/>
      <c r="EH240" s="249"/>
      <c r="EK240" s="249"/>
      <c r="EN240" s="249"/>
      <c r="EQ240" s="249"/>
      <c r="ET240" s="249"/>
      <c r="EW240" s="249"/>
      <c r="EZ240" s="249"/>
      <c r="FC240" s="249"/>
      <c r="FF240" s="249"/>
      <c r="FI240" s="249"/>
      <c r="FL240" s="249"/>
      <c r="FO240" s="249"/>
      <c r="FR240" s="249"/>
      <c r="FU240" s="249"/>
      <c r="FX240" s="249"/>
      <c r="GA240" s="249"/>
      <c r="GD240" s="249"/>
      <c r="GG240" s="249"/>
      <c r="GJ240" s="249"/>
      <c r="GM240" s="249"/>
      <c r="GP240" s="249"/>
      <c r="GS240" s="249"/>
      <c r="GV240" s="249"/>
      <c r="GY240" s="249"/>
      <c r="HB240" s="249"/>
      <c r="HE240" s="249"/>
    </row>
    <row r="241" spans="1:213" x14ac:dyDescent="0.2">
      <c r="A241" s="262" t="s">
        <v>103</v>
      </c>
      <c r="B241" s="283">
        <v>0.4</v>
      </c>
      <c r="C241" s="247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W241" s="249"/>
      <c r="Z241" s="249"/>
      <c r="AC241" s="249"/>
      <c r="AD241" s="249"/>
      <c r="AE241" s="249"/>
      <c r="AF241" s="249"/>
      <c r="AG241" s="249"/>
      <c r="AJ241" s="249"/>
      <c r="AM241" s="249"/>
      <c r="AP241" s="249"/>
      <c r="AS241" s="249"/>
      <c r="AV241" s="249"/>
      <c r="AY241" s="249"/>
      <c r="BB241" s="249"/>
      <c r="BE241" s="249"/>
      <c r="BH241" s="249"/>
      <c r="BK241" s="249"/>
      <c r="BN241" s="249"/>
      <c r="BQ241" s="249"/>
      <c r="BT241" s="249"/>
      <c r="BW241" s="249"/>
      <c r="BZ241" s="249"/>
      <c r="CC241" s="249"/>
      <c r="CF241" s="249"/>
      <c r="CI241" s="249"/>
      <c r="CL241" s="249"/>
      <c r="CO241" s="249"/>
      <c r="CR241" s="249"/>
      <c r="CU241" s="249"/>
      <c r="CX241" s="249"/>
      <c r="DA241" s="249"/>
      <c r="DD241" s="249"/>
      <c r="DG241" s="249"/>
      <c r="DJ241" s="249"/>
      <c r="DM241" s="249"/>
      <c r="DP241" s="249"/>
      <c r="DS241" s="249"/>
      <c r="DV241" s="249"/>
      <c r="DY241" s="249"/>
      <c r="EB241" s="249"/>
      <c r="EE241" s="249"/>
      <c r="EH241" s="249"/>
      <c r="EK241" s="249"/>
      <c r="EN241" s="249"/>
      <c r="EQ241" s="249"/>
      <c r="ET241" s="249"/>
      <c r="EW241" s="249"/>
      <c r="EZ241" s="249"/>
      <c r="FC241" s="249"/>
      <c r="FF241" s="249"/>
      <c r="FI241" s="249"/>
      <c r="FL241" s="249"/>
      <c r="FO241" s="249"/>
      <c r="FR241" s="249"/>
      <c r="FU241" s="249"/>
      <c r="FX241" s="249"/>
      <c r="GA241" s="249"/>
      <c r="GD241" s="249"/>
      <c r="GG241" s="249"/>
      <c r="GJ241" s="249"/>
      <c r="GM241" s="249"/>
      <c r="GP241" s="249"/>
      <c r="GS241" s="249"/>
      <c r="GV241" s="249"/>
      <c r="GY241" s="249"/>
      <c r="HB241" s="249"/>
      <c r="HE241" s="249"/>
    </row>
    <row r="242" spans="1:213" x14ac:dyDescent="0.2">
      <c r="A242" s="558" t="s">
        <v>430</v>
      </c>
      <c r="B242" s="558"/>
      <c r="C242" s="558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W242" s="249"/>
      <c r="Z242" s="249"/>
      <c r="AC242" s="249"/>
      <c r="AD242" s="249"/>
      <c r="AE242" s="249"/>
      <c r="AF242" s="249"/>
      <c r="AG242" s="249"/>
      <c r="AJ242" s="249"/>
      <c r="AM242" s="249"/>
      <c r="AP242" s="249"/>
      <c r="AS242" s="249"/>
      <c r="AV242" s="249"/>
      <c r="AY242" s="249"/>
      <c r="BB242" s="249"/>
      <c r="BE242" s="249"/>
      <c r="BH242" s="249"/>
      <c r="BK242" s="249"/>
      <c r="BN242" s="249"/>
      <c r="BQ242" s="249"/>
      <c r="BT242" s="249"/>
      <c r="BW242" s="249"/>
      <c r="BZ242" s="249"/>
      <c r="CC242" s="249"/>
      <c r="CF242" s="249"/>
      <c r="CI242" s="249"/>
      <c r="CL242" s="249"/>
      <c r="CO242" s="249"/>
      <c r="CR242" s="249"/>
      <c r="CU242" s="249"/>
      <c r="CX242" s="249"/>
      <c r="DA242" s="249"/>
      <c r="DD242" s="249"/>
      <c r="DG242" s="249"/>
      <c r="DJ242" s="249"/>
      <c r="DM242" s="249"/>
      <c r="DP242" s="249"/>
      <c r="DS242" s="249"/>
      <c r="DV242" s="249"/>
      <c r="DY242" s="249"/>
      <c r="EB242" s="249"/>
      <c r="EE242" s="249"/>
      <c r="EH242" s="249"/>
      <c r="EK242" s="249"/>
      <c r="EN242" s="249"/>
      <c r="EQ242" s="249"/>
      <c r="ET242" s="249"/>
      <c r="EW242" s="249"/>
      <c r="EZ242" s="249"/>
      <c r="FC242" s="249"/>
      <c r="FF242" s="249"/>
      <c r="FI242" s="249"/>
      <c r="FL242" s="249"/>
      <c r="FO242" s="249"/>
      <c r="FR242" s="249"/>
      <c r="FU242" s="249"/>
      <c r="FX242" s="249"/>
      <c r="GA242" s="249"/>
      <c r="GD242" s="249"/>
      <c r="GG242" s="249"/>
      <c r="GJ242" s="249"/>
      <c r="GM242" s="249"/>
      <c r="GP242" s="249"/>
      <c r="GS242" s="249"/>
      <c r="GV242" s="249"/>
      <c r="GY242" s="249"/>
      <c r="HB242" s="249"/>
      <c r="HE242" s="249"/>
    </row>
    <row r="243" spans="1:213" x14ac:dyDescent="0.2">
      <c r="A243" s="249" t="s">
        <v>58</v>
      </c>
      <c r="B243" s="283">
        <v>60</v>
      </c>
      <c r="C243" s="263" t="s">
        <v>359</v>
      </c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W243" s="249"/>
      <c r="Z243" s="249"/>
      <c r="AC243" s="249"/>
      <c r="AD243" s="249"/>
      <c r="AE243" s="249"/>
      <c r="AF243" s="249"/>
      <c r="AG243" s="249"/>
      <c r="AJ243" s="249"/>
      <c r="AM243" s="249"/>
      <c r="AP243" s="249"/>
      <c r="AS243" s="249"/>
      <c r="AV243" s="249"/>
      <c r="AY243" s="249"/>
      <c r="BB243" s="249"/>
      <c r="BE243" s="249"/>
      <c r="BH243" s="249"/>
      <c r="BK243" s="249"/>
      <c r="BN243" s="249"/>
      <c r="BQ243" s="249"/>
      <c r="BT243" s="249"/>
      <c r="BW243" s="249"/>
      <c r="BZ243" s="249"/>
      <c r="CC243" s="249"/>
      <c r="CF243" s="249"/>
      <c r="CI243" s="249"/>
      <c r="CL243" s="249"/>
      <c r="CO243" s="249"/>
      <c r="CR243" s="249"/>
      <c r="CU243" s="249"/>
      <c r="CX243" s="249"/>
      <c r="DA243" s="249"/>
      <c r="DD243" s="249"/>
      <c r="DG243" s="249"/>
      <c r="DJ243" s="249"/>
      <c r="DM243" s="249"/>
      <c r="DP243" s="249"/>
      <c r="DS243" s="249"/>
      <c r="DV243" s="249"/>
      <c r="DY243" s="249"/>
      <c r="EB243" s="249"/>
      <c r="EE243" s="249"/>
      <c r="EH243" s="249"/>
      <c r="EK243" s="249"/>
      <c r="EN243" s="249"/>
      <c r="EQ243" s="249"/>
      <c r="ET243" s="249"/>
      <c r="EW243" s="249"/>
      <c r="EZ243" s="249"/>
      <c r="FC243" s="249"/>
      <c r="FF243" s="249"/>
      <c r="FI243" s="249"/>
      <c r="FL243" s="249"/>
      <c r="FO243" s="249"/>
      <c r="FR243" s="249"/>
      <c r="FU243" s="249"/>
      <c r="FX243" s="249"/>
      <c r="GA243" s="249"/>
      <c r="GD243" s="249"/>
      <c r="GG243" s="249"/>
      <c r="GJ243" s="249"/>
      <c r="GM243" s="249"/>
      <c r="GP243" s="249"/>
      <c r="GS243" s="249"/>
      <c r="GV243" s="249"/>
      <c r="GY243" s="249"/>
      <c r="HB243" s="249"/>
      <c r="HE243" s="249"/>
    </row>
    <row r="244" spans="1:213" x14ac:dyDescent="0.2">
      <c r="A244" s="262" t="s">
        <v>431</v>
      </c>
      <c r="B244" s="283">
        <v>225</v>
      </c>
      <c r="C244" s="249" t="s">
        <v>26</v>
      </c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W244" s="249"/>
      <c r="Z244" s="249"/>
      <c r="AC244" s="249"/>
      <c r="AD244" s="249"/>
      <c r="AE244" s="249"/>
      <c r="AF244" s="249"/>
      <c r="AG244" s="249"/>
      <c r="AJ244" s="249"/>
      <c r="AM244" s="249"/>
      <c r="AP244" s="249"/>
      <c r="AS244" s="249"/>
      <c r="AV244" s="249"/>
      <c r="AY244" s="249"/>
      <c r="BB244" s="249"/>
      <c r="BE244" s="249"/>
      <c r="BH244" s="249"/>
      <c r="BK244" s="249"/>
      <c r="BN244" s="249"/>
      <c r="BQ244" s="249"/>
      <c r="BT244" s="249"/>
      <c r="BW244" s="249"/>
      <c r="BZ244" s="249"/>
      <c r="CC244" s="249"/>
      <c r="CF244" s="249"/>
      <c r="CI244" s="249"/>
      <c r="CL244" s="249"/>
      <c r="CO244" s="249"/>
      <c r="CR244" s="249"/>
      <c r="CU244" s="249"/>
      <c r="CX244" s="249"/>
      <c r="DA244" s="249"/>
      <c r="DD244" s="249"/>
      <c r="DG244" s="249"/>
      <c r="DJ244" s="249"/>
      <c r="DM244" s="249"/>
      <c r="DP244" s="249"/>
      <c r="DS244" s="249"/>
      <c r="DV244" s="249"/>
      <c r="DY244" s="249"/>
      <c r="EB244" s="249"/>
      <c r="EE244" s="249"/>
      <c r="EH244" s="249"/>
      <c r="EK244" s="249"/>
      <c r="EN244" s="249"/>
      <c r="EQ244" s="249"/>
      <c r="ET244" s="249"/>
      <c r="EW244" s="249"/>
      <c r="EZ244" s="249"/>
      <c r="FC244" s="249"/>
      <c r="FF244" s="249"/>
      <c r="FI244" s="249"/>
      <c r="FL244" s="249"/>
      <c r="FO244" s="249"/>
      <c r="FR244" s="249"/>
      <c r="FU244" s="249"/>
      <c r="FX244" s="249"/>
      <c r="GA244" s="249"/>
      <c r="GD244" s="249"/>
      <c r="GG244" s="249"/>
      <c r="GJ244" s="249"/>
      <c r="GM244" s="249"/>
      <c r="GP244" s="249"/>
      <c r="GS244" s="249"/>
      <c r="GV244" s="249"/>
      <c r="GY244" s="249"/>
      <c r="HB244" s="249"/>
      <c r="HE244" s="249"/>
    </row>
    <row r="245" spans="1:213" x14ac:dyDescent="0.2">
      <c r="A245" s="262" t="s">
        <v>432</v>
      </c>
      <c r="B245" s="284">
        <v>25</v>
      </c>
      <c r="C245" s="249" t="s">
        <v>69</v>
      </c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W245" s="249"/>
      <c r="Z245" s="249"/>
      <c r="AC245" s="249"/>
      <c r="AD245" s="249"/>
      <c r="AE245" s="249"/>
      <c r="AF245" s="249"/>
      <c r="AG245" s="249"/>
      <c r="AJ245" s="249"/>
      <c r="AM245" s="249"/>
      <c r="AP245" s="249"/>
      <c r="AS245" s="249"/>
      <c r="AV245" s="249"/>
      <c r="AY245" s="249"/>
      <c r="BB245" s="249"/>
      <c r="BE245" s="249"/>
      <c r="BH245" s="249"/>
      <c r="BK245" s="249"/>
      <c r="BN245" s="249"/>
      <c r="BQ245" s="249"/>
      <c r="BT245" s="249"/>
      <c r="BW245" s="249"/>
      <c r="BZ245" s="249"/>
      <c r="CC245" s="249"/>
      <c r="CF245" s="249"/>
      <c r="CI245" s="249"/>
      <c r="CL245" s="249"/>
      <c r="CO245" s="249"/>
      <c r="CR245" s="249"/>
      <c r="CU245" s="249"/>
      <c r="CX245" s="249"/>
      <c r="DA245" s="249"/>
      <c r="DD245" s="249"/>
      <c r="DG245" s="249"/>
      <c r="DJ245" s="249"/>
      <c r="DM245" s="249"/>
      <c r="DP245" s="249"/>
      <c r="DS245" s="249"/>
      <c r="DV245" s="249"/>
      <c r="DY245" s="249"/>
      <c r="EB245" s="249"/>
      <c r="EE245" s="249"/>
      <c r="EH245" s="249"/>
      <c r="EK245" s="249"/>
      <c r="EN245" s="249"/>
      <c r="EQ245" s="249"/>
      <c r="ET245" s="249"/>
      <c r="EW245" s="249"/>
      <c r="EZ245" s="249"/>
      <c r="FC245" s="249"/>
      <c r="FF245" s="249"/>
      <c r="FI245" s="249"/>
      <c r="FL245" s="249"/>
      <c r="FO245" s="249"/>
      <c r="FR245" s="249"/>
      <c r="FU245" s="249"/>
      <c r="FX245" s="249"/>
      <c r="GA245" s="249"/>
      <c r="GD245" s="249"/>
      <c r="GG245" s="249"/>
      <c r="GJ245" s="249"/>
      <c r="GM245" s="249"/>
      <c r="GP245" s="249"/>
      <c r="GS245" s="249"/>
      <c r="GV245" s="249"/>
      <c r="GY245" s="249"/>
      <c r="HB245" s="249"/>
      <c r="HE245" s="249"/>
    </row>
    <row r="246" spans="1:213" x14ac:dyDescent="0.2">
      <c r="A246" s="262" t="s">
        <v>433</v>
      </c>
      <c r="B246" s="283">
        <v>100</v>
      </c>
      <c r="C246" s="263" t="s">
        <v>54</v>
      </c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W246" s="249"/>
      <c r="Z246" s="249"/>
      <c r="AC246" s="249"/>
      <c r="AD246" s="249"/>
      <c r="AE246" s="249"/>
      <c r="AF246" s="249"/>
      <c r="AG246" s="249"/>
      <c r="AJ246" s="249"/>
      <c r="AM246" s="249"/>
      <c r="AP246" s="249"/>
      <c r="AS246" s="249"/>
      <c r="AV246" s="249"/>
      <c r="AY246" s="249"/>
      <c r="BB246" s="249"/>
      <c r="BE246" s="249"/>
      <c r="BH246" s="249"/>
      <c r="BK246" s="249"/>
      <c r="BN246" s="249"/>
      <c r="BQ246" s="249"/>
      <c r="BT246" s="249"/>
      <c r="BW246" s="249"/>
      <c r="BZ246" s="249"/>
      <c r="CC246" s="249"/>
      <c r="CF246" s="249"/>
      <c r="CI246" s="249"/>
      <c r="CL246" s="249"/>
      <c r="CO246" s="249"/>
      <c r="CR246" s="249"/>
      <c r="CU246" s="249"/>
      <c r="CX246" s="249"/>
      <c r="DA246" s="249"/>
      <c r="DD246" s="249"/>
      <c r="DG246" s="249"/>
      <c r="DJ246" s="249"/>
      <c r="DM246" s="249"/>
      <c r="DP246" s="249"/>
      <c r="DS246" s="249"/>
      <c r="DV246" s="249"/>
      <c r="DY246" s="249"/>
      <c r="EB246" s="249"/>
      <c r="EE246" s="249"/>
      <c r="EH246" s="249"/>
      <c r="EK246" s="249"/>
      <c r="EN246" s="249"/>
      <c r="EQ246" s="249"/>
      <c r="ET246" s="249"/>
      <c r="EW246" s="249"/>
      <c r="EZ246" s="249"/>
      <c r="FC246" s="249"/>
      <c r="FF246" s="249"/>
      <c r="FI246" s="249"/>
      <c r="FL246" s="249"/>
      <c r="FO246" s="249"/>
      <c r="FR246" s="249"/>
      <c r="FU246" s="249"/>
      <c r="FX246" s="249"/>
      <c r="GA246" s="249"/>
      <c r="GD246" s="249"/>
      <c r="GG246" s="249"/>
      <c r="GJ246" s="249"/>
      <c r="GM246" s="249"/>
      <c r="GP246" s="249"/>
      <c r="GS246" s="249"/>
      <c r="GV246" s="249"/>
      <c r="GY246" s="249"/>
      <c r="HB246" s="249"/>
      <c r="HE246" s="249"/>
    </row>
    <row r="247" spans="1:213" x14ac:dyDescent="0.2">
      <c r="A247" s="249" t="s">
        <v>353</v>
      </c>
      <c r="B247" s="284">
        <v>1</v>
      </c>
      <c r="C247" s="247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W247" s="249"/>
      <c r="Z247" s="249"/>
      <c r="AC247" s="249"/>
      <c r="AD247" s="249"/>
      <c r="AE247" s="249"/>
      <c r="AF247" s="249"/>
      <c r="AG247" s="249"/>
      <c r="AJ247" s="249"/>
      <c r="AM247" s="249"/>
      <c r="AP247" s="249"/>
      <c r="AS247" s="249"/>
      <c r="AV247" s="249"/>
      <c r="AY247" s="249"/>
      <c r="BB247" s="249"/>
      <c r="BE247" s="249"/>
      <c r="BH247" s="249"/>
      <c r="BK247" s="249"/>
      <c r="BN247" s="249"/>
      <c r="BQ247" s="249"/>
      <c r="BT247" s="249"/>
      <c r="BW247" s="249"/>
      <c r="BZ247" s="249"/>
      <c r="CC247" s="249"/>
      <c r="CF247" s="249"/>
      <c r="CI247" s="249"/>
      <c r="CL247" s="249"/>
      <c r="CO247" s="249"/>
      <c r="CR247" s="249"/>
      <c r="CU247" s="249"/>
      <c r="CX247" s="249"/>
      <c r="DA247" s="249"/>
      <c r="DD247" s="249"/>
      <c r="DG247" s="249"/>
      <c r="DJ247" s="249"/>
      <c r="DM247" s="249"/>
      <c r="DP247" s="249"/>
      <c r="DS247" s="249"/>
      <c r="DV247" s="249"/>
      <c r="DY247" s="249"/>
      <c r="EB247" s="249"/>
      <c r="EE247" s="249"/>
      <c r="EH247" s="249"/>
      <c r="EK247" s="249"/>
      <c r="EN247" s="249"/>
      <c r="EQ247" s="249"/>
      <c r="ET247" s="249"/>
      <c r="EW247" s="249"/>
      <c r="EZ247" s="249"/>
      <c r="FC247" s="249"/>
      <c r="FF247" s="249"/>
      <c r="FI247" s="249"/>
      <c r="FL247" s="249"/>
      <c r="FO247" s="249"/>
      <c r="FR247" s="249"/>
      <c r="FU247" s="249"/>
      <c r="FX247" s="249"/>
      <c r="GA247" s="249"/>
      <c r="GD247" s="249"/>
      <c r="GG247" s="249"/>
      <c r="GJ247" s="249"/>
      <c r="GM247" s="249"/>
      <c r="GP247" s="249"/>
      <c r="GS247" s="249"/>
      <c r="GV247" s="249"/>
      <c r="GY247" s="249"/>
      <c r="HB247" s="249"/>
      <c r="HE247" s="249"/>
    </row>
    <row r="248" spans="1:213" x14ac:dyDescent="0.2">
      <c r="A248" s="262" t="s">
        <v>56</v>
      </c>
      <c r="B248" s="284">
        <v>1</v>
      </c>
      <c r="C248" s="247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W248" s="249"/>
      <c r="Z248" s="249"/>
      <c r="AC248" s="249"/>
      <c r="AD248" s="249"/>
      <c r="AE248" s="249"/>
      <c r="AF248" s="249"/>
      <c r="AG248" s="249"/>
      <c r="AJ248" s="249"/>
      <c r="AM248" s="249"/>
      <c r="AP248" s="249"/>
      <c r="AS248" s="249"/>
      <c r="AV248" s="249"/>
      <c r="AY248" s="249"/>
      <c r="BB248" s="249"/>
      <c r="BE248" s="249"/>
      <c r="BH248" s="249"/>
      <c r="BK248" s="249"/>
      <c r="BN248" s="249"/>
      <c r="BQ248" s="249"/>
      <c r="BT248" s="249"/>
      <c r="BW248" s="249"/>
      <c r="BZ248" s="249"/>
      <c r="CC248" s="249"/>
      <c r="CF248" s="249"/>
      <c r="CI248" s="249"/>
      <c r="CL248" s="249"/>
      <c r="CO248" s="249"/>
      <c r="CR248" s="249"/>
      <c r="CU248" s="249"/>
      <c r="CX248" s="249"/>
      <c r="DA248" s="249"/>
      <c r="DD248" s="249"/>
      <c r="DG248" s="249"/>
      <c r="DJ248" s="249"/>
      <c r="DM248" s="249"/>
      <c r="DP248" s="249"/>
      <c r="DS248" s="249"/>
      <c r="DV248" s="249"/>
      <c r="DY248" s="249"/>
      <c r="EB248" s="249"/>
      <c r="EE248" s="249"/>
      <c r="EH248" s="249"/>
      <c r="EK248" s="249"/>
      <c r="EN248" s="249"/>
      <c r="EQ248" s="249"/>
      <c r="ET248" s="249"/>
      <c r="EW248" s="249"/>
      <c r="EZ248" s="249"/>
      <c r="FC248" s="249"/>
      <c r="FF248" s="249"/>
      <c r="FI248" s="249"/>
      <c r="FL248" s="249"/>
      <c r="FO248" s="249"/>
      <c r="FR248" s="249"/>
      <c r="FU248" s="249"/>
      <c r="FX248" s="249"/>
      <c r="GA248" s="249"/>
      <c r="GD248" s="249"/>
      <c r="GG248" s="249"/>
      <c r="GJ248" s="249"/>
      <c r="GM248" s="249"/>
      <c r="GP248" s="249"/>
      <c r="GS248" s="249"/>
      <c r="GV248" s="249"/>
      <c r="GY248" s="249"/>
      <c r="HB248" s="249"/>
      <c r="HE248" s="249"/>
    </row>
    <row r="249" spans="1:213" x14ac:dyDescent="0.2">
      <c r="A249" s="262" t="s">
        <v>52</v>
      </c>
      <c r="B249" s="284">
        <v>0.4</v>
      </c>
      <c r="C249" s="247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W249" s="249"/>
      <c r="Z249" s="249"/>
      <c r="AC249" s="249"/>
      <c r="AD249" s="249"/>
      <c r="AE249" s="249"/>
      <c r="AF249" s="249"/>
      <c r="AG249" s="249"/>
      <c r="AJ249" s="249"/>
      <c r="AM249" s="249"/>
      <c r="AP249" s="249"/>
      <c r="AS249" s="249"/>
      <c r="AV249" s="249"/>
      <c r="AY249" s="249"/>
      <c r="BB249" s="249"/>
      <c r="BE249" s="249"/>
      <c r="BH249" s="249"/>
      <c r="BK249" s="249"/>
      <c r="BN249" s="249"/>
      <c r="BQ249" s="249"/>
      <c r="BT249" s="249"/>
      <c r="BW249" s="249"/>
      <c r="BZ249" s="249"/>
      <c r="CC249" s="249"/>
      <c r="CF249" s="249"/>
      <c r="CI249" s="249"/>
      <c r="CL249" s="249"/>
      <c r="CO249" s="249"/>
      <c r="CR249" s="249"/>
      <c r="CU249" s="249"/>
      <c r="CX249" s="249"/>
      <c r="DA249" s="249"/>
      <c r="DD249" s="249"/>
      <c r="DG249" s="249"/>
      <c r="DJ249" s="249"/>
      <c r="DM249" s="249"/>
      <c r="DP249" s="249"/>
      <c r="DS249" s="249"/>
      <c r="DV249" s="249"/>
      <c r="DY249" s="249"/>
      <c r="EB249" s="249"/>
      <c r="EE249" s="249"/>
      <c r="EH249" s="249"/>
      <c r="EK249" s="249"/>
      <c r="EN249" s="249"/>
      <c r="EQ249" s="249"/>
      <c r="ET249" s="249"/>
      <c r="EW249" s="249"/>
      <c r="EZ249" s="249"/>
      <c r="FC249" s="249"/>
      <c r="FF249" s="249"/>
      <c r="FI249" s="249"/>
      <c r="FL249" s="249"/>
      <c r="FO249" s="249"/>
      <c r="FR249" s="249"/>
      <c r="FU249" s="249"/>
      <c r="FX249" s="249"/>
      <c r="GA249" s="249"/>
      <c r="GD249" s="249"/>
      <c r="GG249" s="249"/>
      <c r="GJ249" s="249"/>
      <c r="GM249" s="249"/>
      <c r="GP249" s="249"/>
      <c r="GS249" s="249"/>
      <c r="GV249" s="249"/>
      <c r="GY249" s="249"/>
      <c r="HB249" s="249"/>
      <c r="HE249" s="249"/>
    </row>
    <row r="250" spans="1:213" x14ac:dyDescent="0.2">
      <c r="A250" s="262" t="s">
        <v>62</v>
      </c>
      <c r="B250" s="284">
        <v>1</v>
      </c>
      <c r="C250" s="247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W250" s="249"/>
      <c r="Z250" s="249"/>
      <c r="AC250" s="249"/>
      <c r="AD250" s="249"/>
      <c r="AE250" s="249"/>
      <c r="AF250" s="249"/>
      <c r="AG250" s="249"/>
      <c r="AJ250" s="249"/>
      <c r="AM250" s="249"/>
      <c r="AP250" s="249"/>
      <c r="AS250" s="249"/>
      <c r="AV250" s="249"/>
      <c r="AY250" s="249"/>
      <c r="BB250" s="249"/>
      <c r="BE250" s="249"/>
      <c r="BH250" s="249"/>
      <c r="BK250" s="249"/>
      <c r="BN250" s="249"/>
      <c r="BQ250" s="249"/>
      <c r="BT250" s="249"/>
      <c r="BW250" s="249"/>
      <c r="BZ250" s="249"/>
      <c r="CC250" s="249"/>
      <c r="CF250" s="249"/>
      <c r="CI250" s="249"/>
      <c r="CL250" s="249"/>
      <c r="CO250" s="249"/>
      <c r="CR250" s="249"/>
      <c r="CU250" s="249"/>
      <c r="CX250" s="249"/>
      <c r="DA250" s="249"/>
      <c r="DD250" s="249"/>
      <c r="DG250" s="249"/>
      <c r="DJ250" s="249"/>
      <c r="DM250" s="249"/>
      <c r="DP250" s="249"/>
      <c r="DS250" s="249"/>
      <c r="DV250" s="249"/>
      <c r="DY250" s="249"/>
      <c r="EB250" s="249"/>
      <c r="EE250" s="249"/>
      <c r="EH250" s="249"/>
      <c r="EK250" s="249"/>
      <c r="EN250" s="249"/>
      <c r="EQ250" s="249"/>
      <c r="ET250" s="249"/>
      <c r="EW250" s="249"/>
      <c r="EZ250" s="249"/>
      <c r="FC250" s="249"/>
      <c r="FF250" s="249"/>
      <c r="FI250" s="249"/>
      <c r="FL250" s="249"/>
      <c r="FO250" s="249"/>
      <c r="FR250" s="249"/>
      <c r="FU250" s="249"/>
      <c r="FX250" s="249"/>
      <c r="GA250" s="249"/>
      <c r="GD250" s="249"/>
      <c r="GG250" s="249"/>
      <c r="GJ250" s="249"/>
      <c r="GM250" s="249"/>
      <c r="GP250" s="249"/>
      <c r="GS250" s="249"/>
      <c r="GV250" s="249"/>
      <c r="GY250" s="249"/>
      <c r="HB250" s="249"/>
      <c r="HE250" s="249"/>
    </row>
    <row r="251" spans="1:213" x14ac:dyDescent="0.2">
      <c r="A251" s="262" t="s">
        <v>466</v>
      </c>
      <c r="B251" s="283">
        <v>8</v>
      </c>
      <c r="C251" s="249" t="s">
        <v>224</v>
      </c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W251" s="249"/>
      <c r="Z251" s="249"/>
      <c r="AC251" s="249"/>
      <c r="AD251" s="249"/>
      <c r="AE251" s="249"/>
      <c r="AF251" s="249"/>
      <c r="AG251" s="249"/>
      <c r="AJ251" s="249"/>
      <c r="AM251" s="249"/>
      <c r="AP251" s="249"/>
      <c r="AS251" s="249"/>
      <c r="AV251" s="249"/>
      <c r="AY251" s="249"/>
      <c r="BB251" s="249"/>
      <c r="BE251" s="249"/>
      <c r="BH251" s="249"/>
      <c r="BK251" s="249"/>
      <c r="BN251" s="249"/>
      <c r="BQ251" s="249"/>
      <c r="BT251" s="249"/>
      <c r="BW251" s="249"/>
      <c r="BZ251" s="249"/>
      <c r="CC251" s="249"/>
      <c r="CF251" s="249"/>
      <c r="CI251" s="249"/>
      <c r="CL251" s="249"/>
      <c r="CO251" s="249"/>
      <c r="CR251" s="249"/>
      <c r="CU251" s="249"/>
      <c r="CX251" s="249"/>
      <c r="DA251" s="249"/>
      <c r="DD251" s="249"/>
      <c r="DG251" s="249"/>
      <c r="DJ251" s="249"/>
      <c r="DM251" s="249"/>
      <c r="DP251" s="249"/>
      <c r="DS251" s="249"/>
      <c r="DV251" s="249"/>
      <c r="DY251" s="249"/>
      <c r="EB251" s="249"/>
      <c r="EE251" s="249"/>
      <c r="EH251" s="249"/>
      <c r="EK251" s="249"/>
      <c r="EN251" s="249"/>
      <c r="EQ251" s="249"/>
      <c r="ET251" s="249"/>
      <c r="EW251" s="249"/>
      <c r="EZ251" s="249"/>
      <c r="FC251" s="249"/>
      <c r="FF251" s="249"/>
      <c r="FI251" s="249"/>
      <c r="FL251" s="249"/>
      <c r="FO251" s="249"/>
      <c r="FR251" s="249"/>
      <c r="FU251" s="249"/>
      <c r="FX251" s="249"/>
      <c r="GA251" s="249"/>
      <c r="GD251" s="249"/>
      <c r="GG251" s="249"/>
      <c r="GJ251" s="249"/>
      <c r="GM251" s="249"/>
      <c r="GP251" s="249"/>
      <c r="GS251" s="249"/>
      <c r="GV251" s="249"/>
      <c r="GY251" s="249"/>
      <c r="HB251" s="249"/>
      <c r="HE251" s="249"/>
    </row>
    <row r="252" spans="1:213" x14ac:dyDescent="0.2">
      <c r="A252" s="262" t="s">
        <v>465</v>
      </c>
      <c r="B252" s="283">
        <v>0</v>
      </c>
      <c r="C252" s="249" t="s">
        <v>224</v>
      </c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W252" s="249"/>
      <c r="Z252" s="249"/>
      <c r="AC252" s="249"/>
      <c r="AD252" s="249"/>
      <c r="AE252" s="249"/>
      <c r="AF252" s="249"/>
      <c r="AG252" s="249"/>
      <c r="AJ252" s="249"/>
      <c r="AM252" s="249"/>
      <c r="AP252" s="249"/>
      <c r="AS252" s="249"/>
      <c r="AV252" s="249"/>
      <c r="AY252" s="249"/>
      <c r="BB252" s="249"/>
      <c r="BE252" s="249"/>
      <c r="BH252" s="249"/>
      <c r="BK252" s="249"/>
      <c r="BN252" s="249"/>
      <c r="BQ252" s="249"/>
      <c r="BT252" s="249"/>
      <c r="BW252" s="249"/>
      <c r="BZ252" s="249"/>
      <c r="CC252" s="249"/>
      <c r="CF252" s="249"/>
      <c r="CI252" s="249"/>
      <c r="CL252" s="249"/>
      <c r="CO252" s="249"/>
      <c r="CR252" s="249"/>
      <c r="CU252" s="249"/>
      <c r="CX252" s="249"/>
      <c r="DA252" s="249"/>
      <c r="DD252" s="249"/>
      <c r="DG252" s="249"/>
      <c r="DJ252" s="249"/>
      <c r="DM252" s="249"/>
      <c r="DP252" s="249"/>
      <c r="DS252" s="249"/>
      <c r="DV252" s="249"/>
      <c r="DY252" s="249"/>
      <c r="EB252" s="249"/>
      <c r="EE252" s="249"/>
      <c r="EH252" s="249"/>
      <c r="EK252" s="249"/>
      <c r="EN252" s="249"/>
      <c r="EQ252" s="249"/>
      <c r="ET252" s="249"/>
      <c r="EW252" s="249"/>
      <c r="EZ252" s="249"/>
      <c r="FC252" s="249"/>
      <c r="FF252" s="249"/>
      <c r="FI252" s="249"/>
      <c r="FL252" s="249"/>
      <c r="FO252" s="249"/>
      <c r="FR252" s="249"/>
      <c r="FU252" s="249"/>
      <c r="FX252" s="249"/>
      <c r="GA252" s="249"/>
      <c r="GD252" s="249"/>
      <c r="GG252" s="249"/>
      <c r="GJ252" s="249"/>
      <c r="GM252" s="249"/>
      <c r="GP252" s="249"/>
      <c r="GS252" s="249"/>
      <c r="GV252" s="249"/>
      <c r="GY252" s="249"/>
      <c r="HB252" s="249"/>
      <c r="HE252" s="249"/>
    </row>
    <row r="253" spans="1:213" x14ac:dyDescent="0.2">
      <c r="A253" s="262" t="s">
        <v>103</v>
      </c>
      <c r="B253" s="283">
        <v>0.4</v>
      </c>
      <c r="C253" s="247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W253" s="249"/>
      <c r="Z253" s="249"/>
      <c r="AC253" s="249"/>
      <c r="AD253" s="249"/>
      <c r="AE253" s="249"/>
      <c r="AF253" s="249"/>
      <c r="AG253" s="249"/>
      <c r="AJ253" s="249"/>
      <c r="AM253" s="249"/>
      <c r="AP253" s="249"/>
      <c r="AS253" s="249"/>
      <c r="AV253" s="249"/>
      <c r="AY253" s="249"/>
      <c r="BB253" s="249"/>
      <c r="BE253" s="249"/>
      <c r="BH253" s="249"/>
      <c r="BK253" s="249"/>
      <c r="BN253" s="249"/>
      <c r="BQ253" s="249"/>
      <c r="BT253" s="249"/>
      <c r="BW253" s="249"/>
      <c r="BZ253" s="249"/>
      <c r="CC253" s="249"/>
      <c r="CF253" s="249"/>
      <c r="CI253" s="249"/>
      <c r="CL253" s="249"/>
      <c r="CO253" s="249"/>
      <c r="CR253" s="249"/>
      <c r="CU253" s="249"/>
      <c r="CX253" s="249"/>
      <c r="DA253" s="249"/>
      <c r="DD253" s="249"/>
      <c r="DG253" s="249"/>
      <c r="DJ253" s="249"/>
      <c r="DM253" s="249"/>
      <c r="DP253" s="249"/>
      <c r="DS253" s="249"/>
      <c r="DV253" s="249"/>
      <c r="DY253" s="249"/>
      <c r="EB253" s="249"/>
      <c r="EE253" s="249"/>
      <c r="EH253" s="249"/>
      <c r="EK253" s="249"/>
      <c r="EN253" s="249"/>
      <c r="EQ253" s="249"/>
      <c r="ET253" s="249"/>
      <c r="EW253" s="249"/>
      <c r="EZ253" s="249"/>
      <c r="FC253" s="249"/>
      <c r="FF253" s="249"/>
      <c r="FI253" s="249"/>
      <c r="FL253" s="249"/>
      <c r="FO253" s="249"/>
      <c r="FR253" s="249"/>
      <c r="FU253" s="249"/>
      <c r="FX253" s="249"/>
      <c r="GA253" s="249"/>
      <c r="GD253" s="249"/>
      <c r="GG253" s="249"/>
      <c r="GJ253" s="249"/>
      <c r="GM253" s="249"/>
      <c r="GP253" s="249"/>
      <c r="GS253" s="249"/>
      <c r="GV253" s="249"/>
      <c r="GY253" s="249"/>
      <c r="HB253" s="249"/>
      <c r="HE253" s="249"/>
    </row>
    <row r="254" spans="1:213" x14ac:dyDescent="0.2">
      <c r="A254" s="558" t="s">
        <v>434</v>
      </c>
      <c r="B254" s="558"/>
      <c r="C254" s="558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W254" s="249"/>
      <c r="Z254" s="249"/>
      <c r="AC254" s="249"/>
      <c r="AD254" s="249"/>
      <c r="AE254" s="249"/>
      <c r="AF254" s="249"/>
      <c r="AG254" s="249"/>
      <c r="AJ254" s="249"/>
      <c r="AM254" s="249"/>
      <c r="AP254" s="249"/>
      <c r="AS254" s="249"/>
      <c r="AV254" s="249"/>
      <c r="AY254" s="249"/>
      <c r="BB254" s="249"/>
      <c r="BE254" s="249"/>
      <c r="BH254" s="249"/>
      <c r="BK254" s="249"/>
      <c r="BN254" s="249"/>
      <c r="BQ254" s="249"/>
      <c r="BT254" s="249"/>
      <c r="BW254" s="249"/>
      <c r="BZ254" s="249"/>
      <c r="CC254" s="249"/>
      <c r="CF254" s="249"/>
      <c r="CI254" s="249"/>
      <c r="CL254" s="249"/>
      <c r="CO254" s="249"/>
      <c r="CR254" s="249"/>
      <c r="CU254" s="249"/>
      <c r="CX254" s="249"/>
      <c r="DA254" s="249"/>
      <c r="DD254" s="249"/>
      <c r="DG254" s="249"/>
      <c r="DJ254" s="249"/>
      <c r="DM254" s="249"/>
      <c r="DP254" s="249"/>
      <c r="DS254" s="249"/>
      <c r="DV254" s="249"/>
      <c r="DY254" s="249"/>
      <c r="EB254" s="249"/>
      <c r="EE254" s="249"/>
      <c r="EH254" s="249"/>
      <c r="EK254" s="249"/>
      <c r="EN254" s="249"/>
      <c r="EQ254" s="249"/>
      <c r="ET254" s="249"/>
      <c r="EW254" s="249"/>
      <c r="EZ254" s="249"/>
      <c r="FC254" s="249"/>
      <c r="FF254" s="249"/>
      <c r="FI254" s="249"/>
      <c r="FL254" s="249"/>
      <c r="FO254" s="249"/>
      <c r="FR254" s="249"/>
      <c r="FU254" s="249"/>
      <c r="FX254" s="249"/>
      <c r="GA254" s="249"/>
      <c r="GD254" s="249"/>
      <c r="GG254" s="249"/>
      <c r="GJ254" s="249"/>
      <c r="GM254" s="249"/>
      <c r="GP254" s="249"/>
      <c r="GS254" s="249"/>
      <c r="GV254" s="249"/>
      <c r="GY254" s="249"/>
      <c r="HB254" s="249"/>
      <c r="HE254" s="249"/>
    </row>
    <row r="255" spans="1:213" x14ac:dyDescent="0.2">
      <c r="A255" s="249" t="s">
        <v>435</v>
      </c>
      <c r="B255" s="283">
        <v>60</v>
      </c>
      <c r="C255" s="263" t="s">
        <v>359</v>
      </c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W255" s="249"/>
      <c r="Z255" s="249"/>
      <c r="AC255" s="249"/>
      <c r="AD255" s="249"/>
      <c r="AE255" s="249"/>
      <c r="AF255" s="249"/>
      <c r="AG255" s="249"/>
      <c r="AJ255" s="249"/>
      <c r="AM255" s="249"/>
      <c r="AP255" s="249"/>
      <c r="AS255" s="249"/>
      <c r="AV255" s="249"/>
      <c r="AY255" s="249"/>
      <c r="BB255" s="249"/>
      <c r="BE255" s="249"/>
      <c r="BH255" s="249"/>
      <c r="BK255" s="249"/>
      <c r="BN255" s="249"/>
      <c r="BQ255" s="249"/>
      <c r="BT255" s="249"/>
      <c r="BW255" s="249"/>
      <c r="BZ255" s="249"/>
      <c r="CC255" s="249"/>
      <c r="CF255" s="249"/>
      <c r="CI255" s="249"/>
      <c r="CL255" s="249"/>
      <c r="CO255" s="249"/>
      <c r="CR255" s="249"/>
      <c r="CU255" s="249"/>
      <c r="CX255" s="249"/>
      <c r="DA255" s="249"/>
      <c r="DD255" s="249"/>
      <c r="DG255" s="249"/>
      <c r="DJ255" s="249"/>
      <c r="DM255" s="249"/>
      <c r="DP255" s="249"/>
      <c r="DS255" s="249"/>
      <c r="DV255" s="249"/>
      <c r="DY255" s="249"/>
      <c r="EB255" s="249"/>
      <c r="EE255" s="249"/>
      <c r="EH255" s="249"/>
      <c r="EK255" s="249"/>
      <c r="EN255" s="249"/>
      <c r="EQ255" s="249"/>
      <c r="ET255" s="249"/>
      <c r="EW255" s="249"/>
      <c r="EZ255" s="249"/>
      <c r="FC255" s="249"/>
      <c r="FF255" s="249"/>
      <c r="FI255" s="249"/>
      <c r="FL255" s="249"/>
      <c r="FO255" s="249"/>
      <c r="FR255" s="249"/>
      <c r="FU255" s="249"/>
      <c r="FX255" s="249"/>
      <c r="GA255" s="249"/>
      <c r="GD255" s="249"/>
      <c r="GG255" s="249"/>
      <c r="GJ255" s="249"/>
      <c r="GM255" s="249"/>
      <c r="GP255" s="249"/>
      <c r="GS255" s="249"/>
      <c r="GV255" s="249"/>
      <c r="GY255" s="249"/>
      <c r="HB255" s="249"/>
      <c r="HE255" s="249"/>
    </row>
    <row r="256" spans="1:213" x14ac:dyDescent="0.2">
      <c r="A256" s="262" t="s">
        <v>221</v>
      </c>
      <c r="B256" s="283">
        <v>130</v>
      </c>
      <c r="C256" s="249" t="s">
        <v>26</v>
      </c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W256" s="249"/>
      <c r="Z256" s="249"/>
      <c r="AC256" s="249"/>
      <c r="AD256" s="249"/>
      <c r="AE256" s="249"/>
      <c r="AF256" s="249"/>
      <c r="AG256" s="249"/>
      <c r="AJ256" s="249"/>
      <c r="AM256" s="249"/>
      <c r="AP256" s="249"/>
      <c r="AS256" s="249"/>
      <c r="AV256" s="249"/>
      <c r="AY256" s="249"/>
      <c r="BB256" s="249"/>
      <c r="BE256" s="249"/>
      <c r="BH256" s="249"/>
      <c r="BK256" s="249"/>
      <c r="BN256" s="249"/>
      <c r="BQ256" s="249"/>
      <c r="BT256" s="249"/>
      <c r="BW256" s="249"/>
      <c r="BZ256" s="249"/>
      <c r="CC256" s="249"/>
      <c r="CF256" s="249"/>
      <c r="CI256" s="249"/>
      <c r="CL256" s="249"/>
      <c r="CO256" s="249"/>
      <c r="CR256" s="249"/>
      <c r="CU256" s="249"/>
      <c r="CX256" s="249"/>
      <c r="DA256" s="249"/>
      <c r="DD256" s="249"/>
      <c r="DG256" s="249"/>
      <c r="DJ256" s="249"/>
      <c r="DM256" s="249"/>
      <c r="DP256" s="249"/>
      <c r="DS256" s="249"/>
      <c r="DV256" s="249"/>
      <c r="DY256" s="249"/>
      <c r="EB256" s="249"/>
      <c r="EE256" s="249"/>
      <c r="EH256" s="249"/>
      <c r="EK256" s="249"/>
      <c r="EN256" s="249"/>
      <c r="EQ256" s="249"/>
      <c r="ET256" s="249"/>
      <c r="EW256" s="249"/>
      <c r="EZ256" s="249"/>
      <c r="FC256" s="249"/>
      <c r="FF256" s="249"/>
      <c r="FI256" s="249"/>
      <c r="FL256" s="249"/>
      <c r="FO256" s="249"/>
      <c r="FR256" s="249"/>
      <c r="FU256" s="249"/>
      <c r="FX256" s="249"/>
      <c r="GA256" s="249"/>
      <c r="GD256" s="249"/>
      <c r="GG256" s="249"/>
      <c r="GJ256" s="249"/>
      <c r="GM256" s="249"/>
      <c r="GP256" s="249"/>
      <c r="GS256" s="249"/>
      <c r="GV256" s="249"/>
      <c r="GY256" s="249"/>
      <c r="HB256" s="249"/>
      <c r="HE256" s="249"/>
    </row>
    <row r="257" spans="1:213" x14ac:dyDescent="0.2">
      <c r="A257" s="262" t="s">
        <v>186</v>
      </c>
      <c r="B257" s="284">
        <v>1</v>
      </c>
      <c r="C257" s="249" t="s">
        <v>69</v>
      </c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W257" s="249"/>
      <c r="Z257" s="249"/>
      <c r="AC257" s="249"/>
      <c r="AD257" s="249"/>
      <c r="AE257" s="249"/>
      <c r="AF257" s="249"/>
      <c r="AG257" s="249"/>
      <c r="AJ257" s="249"/>
      <c r="AM257" s="249"/>
      <c r="AP257" s="249"/>
      <c r="AS257" s="249"/>
      <c r="AV257" s="249"/>
      <c r="AY257" s="249"/>
      <c r="BB257" s="249"/>
      <c r="BE257" s="249"/>
      <c r="BH257" s="249"/>
      <c r="BK257" s="249"/>
      <c r="BN257" s="249"/>
      <c r="BQ257" s="249"/>
      <c r="BT257" s="249"/>
      <c r="BW257" s="249"/>
      <c r="BZ257" s="249"/>
      <c r="CC257" s="249"/>
      <c r="CF257" s="249"/>
      <c r="CI257" s="249"/>
      <c r="CL257" s="249"/>
      <c r="CO257" s="249"/>
      <c r="CR257" s="249"/>
      <c r="CU257" s="249"/>
      <c r="CX257" s="249"/>
      <c r="DA257" s="249"/>
      <c r="DD257" s="249"/>
      <c r="DG257" s="249"/>
      <c r="DJ257" s="249"/>
      <c r="DM257" s="249"/>
      <c r="DP257" s="249"/>
      <c r="DS257" s="249"/>
      <c r="DV257" s="249"/>
      <c r="DY257" s="249"/>
      <c r="EB257" s="249"/>
      <c r="EE257" s="249"/>
      <c r="EH257" s="249"/>
      <c r="EK257" s="249"/>
      <c r="EN257" s="249"/>
      <c r="EQ257" s="249"/>
      <c r="ET257" s="249"/>
      <c r="EW257" s="249"/>
      <c r="EZ257" s="249"/>
      <c r="FC257" s="249"/>
      <c r="FF257" s="249"/>
      <c r="FI257" s="249"/>
      <c r="FL257" s="249"/>
      <c r="FO257" s="249"/>
      <c r="FR257" s="249"/>
      <c r="FU257" s="249"/>
      <c r="FX257" s="249"/>
      <c r="GA257" s="249"/>
      <c r="GD257" s="249"/>
      <c r="GG257" s="249"/>
      <c r="GJ257" s="249"/>
      <c r="GM257" s="249"/>
      <c r="GP257" s="249"/>
      <c r="GS257" s="249"/>
      <c r="GV257" s="249"/>
      <c r="GY257" s="249"/>
      <c r="HB257" s="249"/>
      <c r="HE257" s="249"/>
    </row>
    <row r="258" spans="1:213" x14ac:dyDescent="0.2">
      <c r="A258" s="262" t="s">
        <v>436</v>
      </c>
      <c r="B258" s="283">
        <v>330</v>
      </c>
      <c r="C258" s="263" t="s">
        <v>54</v>
      </c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W258" s="249"/>
      <c r="Z258" s="249"/>
      <c r="AC258" s="249"/>
      <c r="AD258" s="249"/>
      <c r="AE258" s="249"/>
      <c r="AF258" s="249"/>
      <c r="AG258" s="249"/>
      <c r="AJ258" s="249"/>
      <c r="AM258" s="249"/>
      <c r="AP258" s="249"/>
      <c r="AS258" s="249"/>
      <c r="AV258" s="249"/>
      <c r="AY258" s="249"/>
      <c r="BB258" s="249"/>
      <c r="BE258" s="249"/>
      <c r="BH258" s="249"/>
      <c r="BK258" s="249"/>
      <c r="BN258" s="249"/>
      <c r="BQ258" s="249"/>
      <c r="BT258" s="249"/>
      <c r="BW258" s="249"/>
      <c r="BZ258" s="249"/>
      <c r="CC258" s="249"/>
      <c r="CF258" s="249"/>
      <c r="CI258" s="249"/>
      <c r="CL258" s="249"/>
      <c r="CO258" s="249"/>
      <c r="CR258" s="249"/>
      <c r="CU258" s="249"/>
      <c r="CX258" s="249"/>
      <c r="DA258" s="249"/>
      <c r="DD258" s="249"/>
      <c r="DG258" s="249"/>
      <c r="DJ258" s="249"/>
      <c r="DM258" s="249"/>
      <c r="DP258" s="249"/>
      <c r="DS258" s="249"/>
      <c r="DV258" s="249"/>
      <c r="DY258" s="249"/>
      <c r="EB258" s="249"/>
      <c r="EE258" s="249"/>
      <c r="EH258" s="249"/>
      <c r="EK258" s="249"/>
      <c r="EN258" s="249"/>
      <c r="EQ258" s="249"/>
      <c r="ET258" s="249"/>
      <c r="EW258" s="249"/>
      <c r="EZ258" s="249"/>
      <c r="FC258" s="249"/>
      <c r="FF258" s="249"/>
      <c r="FI258" s="249"/>
      <c r="FL258" s="249"/>
      <c r="FO258" s="249"/>
      <c r="FR258" s="249"/>
      <c r="FU258" s="249"/>
      <c r="FX258" s="249"/>
      <c r="GA258" s="249"/>
      <c r="GD258" s="249"/>
      <c r="GG258" s="249"/>
      <c r="GJ258" s="249"/>
      <c r="GM258" s="249"/>
      <c r="GP258" s="249"/>
      <c r="GS258" s="249"/>
      <c r="GV258" s="249"/>
      <c r="GY258" s="249"/>
      <c r="HB258" s="249"/>
      <c r="HE258" s="249"/>
    </row>
    <row r="259" spans="1:213" x14ac:dyDescent="0.2">
      <c r="A259" s="249" t="s">
        <v>353</v>
      </c>
      <c r="B259" s="284">
        <v>1</v>
      </c>
      <c r="C259" s="247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W259" s="249"/>
      <c r="Z259" s="249"/>
      <c r="AC259" s="249"/>
      <c r="AD259" s="249"/>
      <c r="AE259" s="249"/>
      <c r="AF259" s="249"/>
      <c r="AG259" s="249"/>
      <c r="AJ259" s="249"/>
      <c r="AM259" s="249"/>
      <c r="AP259" s="249"/>
      <c r="AS259" s="249"/>
      <c r="AV259" s="249"/>
      <c r="AY259" s="249"/>
      <c r="BB259" s="249"/>
      <c r="BE259" s="249"/>
      <c r="BH259" s="249"/>
      <c r="BK259" s="249"/>
      <c r="BN259" s="249"/>
      <c r="BQ259" s="249"/>
      <c r="BT259" s="249"/>
      <c r="BW259" s="249"/>
      <c r="BZ259" s="249"/>
      <c r="CC259" s="249"/>
      <c r="CF259" s="249"/>
      <c r="CI259" s="249"/>
      <c r="CL259" s="249"/>
      <c r="CO259" s="249"/>
      <c r="CR259" s="249"/>
      <c r="CU259" s="249"/>
      <c r="CX259" s="249"/>
      <c r="DA259" s="249"/>
      <c r="DD259" s="249"/>
      <c r="DG259" s="249"/>
      <c r="DJ259" s="249"/>
      <c r="DM259" s="249"/>
      <c r="DP259" s="249"/>
      <c r="DS259" s="249"/>
      <c r="DV259" s="249"/>
      <c r="DY259" s="249"/>
      <c r="EB259" s="249"/>
      <c r="EE259" s="249"/>
      <c r="EH259" s="249"/>
      <c r="EK259" s="249"/>
      <c r="EN259" s="249"/>
      <c r="EQ259" s="249"/>
      <c r="ET259" s="249"/>
      <c r="EW259" s="249"/>
      <c r="EZ259" s="249"/>
      <c r="FC259" s="249"/>
      <c r="FF259" s="249"/>
      <c r="FI259" s="249"/>
      <c r="FL259" s="249"/>
      <c r="FO259" s="249"/>
      <c r="FR259" s="249"/>
      <c r="FU259" s="249"/>
      <c r="FX259" s="249"/>
      <c r="GA259" s="249"/>
      <c r="GD259" s="249"/>
      <c r="GG259" s="249"/>
      <c r="GJ259" s="249"/>
      <c r="GM259" s="249"/>
      <c r="GP259" s="249"/>
      <c r="GS259" s="249"/>
      <c r="GV259" s="249"/>
      <c r="GY259" s="249"/>
      <c r="HB259" s="249"/>
      <c r="HE259" s="249"/>
    </row>
    <row r="260" spans="1:213" x14ac:dyDescent="0.2">
      <c r="A260" s="262" t="s">
        <v>56</v>
      </c>
      <c r="B260" s="284">
        <v>1</v>
      </c>
      <c r="C260" s="247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W260" s="249"/>
      <c r="Z260" s="249"/>
      <c r="AC260" s="249"/>
      <c r="AD260" s="249"/>
      <c r="AE260" s="249"/>
      <c r="AF260" s="249"/>
      <c r="AG260" s="249"/>
      <c r="AJ260" s="249"/>
      <c r="AM260" s="249"/>
      <c r="AP260" s="249"/>
      <c r="AS260" s="249"/>
      <c r="AV260" s="249"/>
      <c r="AY260" s="249"/>
      <c r="BB260" s="249"/>
      <c r="BE260" s="249"/>
      <c r="BH260" s="249"/>
      <c r="BK260" s="249"/>
      <c r="BN260" s="249"/>
      <c r="BQ260" s="249"/>
      <c r="BT260" s="249"/>
      <c r="BW260" s="249"/>
      <c r="BZ260" s="249"/>
      <c r="CC260" s="249"/>
      <c r="CF260" s="249"/>
      <c r="CI260" s="249"/>
      <c r="CL260" s="249"/>
      <c r="CO260" s="249"/>
      <c r="CR260" s="249"/>
      <c r="CU260" s="249"/>
      <c r="CX260" s="249"/>
      <c r="DA260" s="249"/>
      <c r="DD260" s="249"/>
      <c r="DG260" s="249"/>
      <c r="DJ260" s="249"/>
      <c r="DM260" s="249"/>
      <c r="DP260" s="249"/>
      <c r="DS260" s="249"/>
      <c r="DV260" s="249"/>
      <c r="DY260" s="249"/>
      <c r="EB260" s="249"/>
      <c r="EE260" s="249"/>
      <c r="EH260" s="249"/>
      <c r="EK260" s="249"/>
      <c r="EN260" s="249"/>
      <c r="EQ260" s="249"/>
      <c r="ET260" s="249"/>
      <c r="EW260" s="249"/>
      <c r="EZ260" s="249"/>
      <c r="FC260" s="249"/>
      <c r="FF260" s="249"/>
      <c r="FI260" s="249"/>
      <c r="FL260" s="249"/>
      <c r="FO260" s="249"/>
      <c r="FR260" s="249"/>
      <c r="FU260" s="249"/>
      <c r="FX260" s="249"/>
      <c r="GA260" s="249"/>
      <c r="GD260" s="249"/>
      <c r="GG260" s="249"/>
      <c r="GJ260" s="249"/>
      <c r="GM260" s="249"/>
      <c r="GP260" s="249"/>
      <c r="GS260" s="249"/>
      <c r="GV260" s="249"/>
      <c r="GY260" s="249"/>
      <c r="HB260" s="249"/>
      <c r="HE260" s="249"/>
    </row>
    <row r="261" spans="1:213" x14ac:dyDescent="0.2">
      <c r="A261" s="262" t="s">
        <v>52</v>
      </c>
      <c r="B261" s="284">
        <v>0.4</v>
      </c>
      <c r="C261" s="247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W261" s="249"/>
      <c r="Z261" s="249"/>
      <c r="AC261" s="249"/>
      <c r="AD261" s="249"/>
      <c r="AE261" s="249"/>
      <c r="AF261" s="249"/>
      <c r="AG261" s="249"/>
      <c r="AJ261" s="249"/>
      <c r="AM261" s="249"/>
      <c r="AP261" s="249"/>
      <c r="AS261" s="249"/>
      <c r="AV261" s="249"/>
      <c r="AY261" s="249"/>
      <c r="BB261" s="249"/>
      <c r="BE261" s="249"/>
      <c r="BH261" s="249"/>
      <c r="BK261" s="249"/>
      <c r="BN261" s="249"/>
      <c r="BQ261" s="249"/>
      <c r="BT261" s="249"/>
      <c r="BW261" s="249"/>
      <c r="BZ261" s="249"/>
      <c r="CC261" s="249"/>
      <c r="CF261" s="249"/>
      <c r="CI261" s="249"/>
      <c r="CL261" s="249"/>
      <c r="CO261" s="249"/>
      <c r="CR261" s="249"/>
      <c r="CU261" s="249"/>
      <c r="CX261" s="249"/>
      <c r="DA261" s="249"/>
      <c r="DD261" s="249"/>
      <c r="DG261" s="249"/>
      <c r="DJ261" s="249"/>
      <c r="DM261" s="249"/>
      <c r="DP261" s="249"/>
      <c r="DS261" s="249"/>
      <c r="DV261" s="249"/>
      <c r="DY261" s="249"/>
      <c r="EB261" s="249"/>
      <c r="EE261" s="249"/>
      <c r="EH261" s="249"/>
      <c r="EK261" s="249"/>
      <c r="EN261" s="249"/>
      <c r="EQ261" s="249"/>
      <c r="ET261" s="249"/>
      <c r="EW261" s="249"/>
      <c r="EZ261" s="249"/>
      <c r="FC261" s="249"/>
      <c r="FF261" s="249"/>
      <c r="FI261" s="249"/>
      <c r="FL261" s="249"/>
      <c r="FO261" s="249"/>
      <c r="FR261" s="249"/>
      <c r="FU261" s="249"/>
      <c r="FX261" s="249"/>
      <c r="GA261" s="249"/>
      <c r="GD261" s="249"/>
      <c r="GG261" s="249"/>
      <c r="GJ261" s="249"/>
      <c r="GM261" s="249"/>
      <c r="GP261" s="249"/>
      <c r="GS261" s="249"/>
      <c r="GV261" s="249"/>
      <c r="GY261" s="249"/>
      <c r="HB261" s="249"/>
      <c r="HE261" s="249"/>
    </row>
    <row r="262" spans="1:213" x14ac:dyDescent="0.2">
      <c r="A262" s="262" t="s">
        <v>62</v>
      </c>
      <c r="B262" s="284">
        <v>1</v>
      </c>
      <c r="C262" s="247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W262" s="249"/>
      <c r="Z262" s="249"/>
      <c r="AC262" s="249"/>
      <c r="AD262" s="249"/>
      <c r="AE262" s="249"/>
      <c r="AF262" s="249"/>
      <c r="AG262" s="249"/>
      <c r="AJ262" s="249"/>
      <c r="AM262" s="249"/>
      <c r="AP262" s="249"/>
      <c r="AS262" s="249"/>
      <c r="AV262" s="249"/>
      <c r="AY262" s="249"/>
      <c r="BB262" s="249"/>
      <c r="BE262" s="249"/>
      <c r="BH262" s="249"/>
      <c r="BK262" s="249"/>
      <c r="BN262" s="249"/>
      <c r="BQ262" s="249"/>
      <c r="BT262" s="249"/>
      <c r="BW262" s="249"/>
      <c r="BZ262" s="249"/>
      <c r="CC262" s="249"/>
      <c r="CF262" s="249"/>
      <c r="CI262" s="249"/>
      <c r="CL262" s="249"/>
      <c r="CO262" s="249"/>
      <c r="CR262" s="249"/>
      <c r="CU262" s="249"/>
      <c r="CX262" s="249"/>
      <c r="DA262" s="249"/>
      <c r="DD262" s="249"/>
      <c r="DG262" s="249"/>
      <c r="DJ262" s="249"/>
      <c r="DM262" s="249"/>
      <c r="DP262" s="249"/>
      <c r="DS262" s="249"/>
      <c r="DV262" s="249"/>
      <c r="DY262" s="249"/>
      <c r="EB262" s="249"/>
      <c r="EE262" s="249"/>
      <c r="EH262" s="249"/>
      <c r="EK262" s="249"/>
      <c r="EN262" s="249"/>
      <c r="EQ262" s="249"/>
      <c r="ET262" s="249"/>
      <c r="EW262" s="249"/>
      <c r="EZ262" s="249"/>
      <c r="FC262" s="249"/>
      <c r="FF262" s="249"/>
      <c r="FI262" s="249"/>
      <c r="FL262" s="249"/>
      <c r="FO262" s="249"/>
      <c r="FR262" s="249"/>
      <c r="FU262" s="249"/>
      <c r="FX262" s="249"/>
      <c r="GA262" s="249"/>
      <c r="GD262" s="249"/>
      <c r="GG262" s="249"/>
      <c r="GJ262" s="249"/>
      <c r="GM262" s="249"/>
      <c r="GP262" s="249"/>
      <c r="GS262" s="249"/>
      <c r="GV262" s="249"/>
      <c r="GY262" s="249"/>
      <c r="HB262" s="249"/>
      <c r="HE262" s="249"/>
    </row>
    <row r="263" spans="1:213" x14ac:dyDescent="0.2">
      <c r="A263" s="262" t="s">
        <v>471</v>
      </c>
      <c r="B263" s="283">
        <v>8</v>
      </c>
      <c r="C263" s="249" t="s">
        <v>224</v>
      </c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W263" s="249"/>
      <c r="Z263" s="249"/>
      <c r="AC263" s="249"/>
      <c r="AD263" s="249"/>
      <c r="AE263" s="249"/>
      <c r="AF263" s="249"/>
      <c r="AG263" s="249"/>
      <c r="AJ263" s="249"/>
      <c r="AM263" s="249"/>
      <c r="AP263" s="249"/>
      <c r="AS263" s="249"/>
      <c r="AV263" s="249"/>
      <c r="AY263" s="249"/>
      <c r="BB263" s="249"/>
      <c r="BE263" s="249"/>
      <c r="BH263" s="249"/>
      <c r="BK263" s="249"/>
      <c r="BN263" s="249"/>
      <c r="BQ263" s="249"/>
      <c r="BT263" s="249"/>
      <c r="BW263" s="249"/>
      <c r="BZ263" s="249"/>
      <c r="CC263" s="249"/>
      <c r="CF263" s="249"/>
      <c r="CI263" s="249"/>
      <c r="CL263" s="249"/>
      <c r="CO263" s="249"/>
      <c r="CR263" s="249"/>
      <c r="CU263" s="249"/>
      <c r="CX263" s="249"/>
      <c r="DA263" s="249"/>
      <c r="DD263" s="249"/>
      <c r="DG263" s="249"/>
      <c r="DJ263" s="249"/>
      <c r="DM263" s="249"/>
      <c r="DP263" s="249"/>
      <c r="DS263" s="249"/>
      <c r="DV263" s="249"/>
      <c r="DY263" s="249"/>
      <c r="EB263" s="249"/>
      <c r="EE263" s="249"/>
      <c r="EH263" s="249"/>
      <c r="EK263" s="249"/>
      <c r="EN263" s="249"/>
      <c r="EQ263" s="249"/>
      <c r="ET263" s="249"/>
      <c r="EW263" s="249"/>
      <c r="EZ263" s="249"/>
      <c r="FC263" s="249"/>
      <c r="FF263" s="249"/>
      <c r="FI263" s="249"/>
      <c r="FL263" s="249"/>
      <c r="FO263" s="249"/>
      <c r="FR263" s="249"/>
      <c r="FU263" s="249"/>
      <c r="FX263" s="249"/>
      <c r="GA263" s="249"/>
      <c r="GD263" s="249"/>
      <c r="GG263" s="249"/>
      <c r="GJ263" s="249"/>
      <c r="GM263" s="249"/>
      <c r="GP263" s="249"/>
      <c r="GS263" s="249"/>
      <c r="GV263" s="249"/>
      <c r="GY263" s="249"/>
      <c r="HB263" s="249"/>
      <c r="HE263" s="249"/>
    </row>
    <row r="264" spans="1:213" x14ac:dyDescent="0.2">
      <c r="A264" s="262" t="s">
        <v>472</v>
      </c>
      <c r="B264" s="283">
        <v>0</v>
      </c>
      <c r="C264" s="249" t="s">
        <v>224</v>
      </c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W264" s="249"/>
      <c r="Z264" s="249"/>
      <c r="AC264" s="249"/>
      <c r="AD264" s="249"/>
      <c r="AE264" s="249"/>
      <c r="AF264" s="249"/>
      <c r="AG264" s="249"/>
      <c r="AJ264" s="249"/>
      <c r="AM264" s="249"/>
      <c r="AP264" s="249"/>
      <c r="AS264" s="249"/>
      <c r="AV264" s="249"/>
      <c r="AY264" s="249"/>
      <c r="BB264" s="249"/>
      <c r="BE264" s="249"/>
      <c r="BH264" s="249"/>
      <c r="BK264" s="249"/>
      <c r="BN264" s="249"/>
      <c r="BQ264" s="249"/>
      <c r="BT264" s="249"/>
      <c r="BW264" s="249"/>
      <c r="BZ264" s="249"/>
      <c r="CC264" s="249"/>
      <c r="CF264" s="249"/>
      <c r="CI264" s="249"/>
      <c r="CL264" s="249"/>
      <c r="CO264" s="249"/>
      <c r="CR264" s="249"/>
      <c r="CU264" s="249"/>
      <c r="CX264" s="249"/>
      <c r="DA264" s="249"/>
      <c r="DD264" s="249"/>
      <c r="DG264" s="249"/>
      <c r="DJ264" s="249"/>
      <c r="DM264" s="249"/>
      <c r="DP264" s="249"/>
      <c r="DS264" s="249"/>
      <c r="DV264" s="249"/>
      <c r="DY264" s="249"/>
      <c r="EB264" s="249"/>
      <c r="EE264" s="249"/>
      <c r="EH264" s="249"/>
      <c r="EK264" s="249"/>
      <c r="EN264" s="249"/>
      <c r="EQ264" s="249"/>
      <c r="ET264" s="249"/>
      <c r="EW264" s="249"/>
      <c r="EZ264" s="249"/>
      <c r="FC264" s="249"/>
      <c r="FF264" s="249"/>
      <c r="FI264" s="249"/>
      <c r="FL264" s="249"/>
      <c r="FO264" s="249"/>
      <c r="FR264" s="249"/>
      <c r="FU264" s="249"/>
      <c r="FX264" s="249"/>
      <c r="GA264" s="249"/>
      <c r="GD264" s="249"/>
      <c r="GG264" s="249"/>
      <c r="GJ264" s="249"/>
      <c r="GM264" s="249"/>
      <c r="GP264" s="249"/>
      <c r="GS264" s="249"/>
      <c r="GV264" s="249"/>
      <c r="GY264" s="249"/>
      <c r="HB264" s="249"/>
      <c r="HE264" s="249"/>
    </row>
    <row r="265" spans="1:213" x14ac:dyDescent="0.2">
      <c r="A265" s="262" t="s">
        <v>103</v>
      </c>
      <c r="B265" s="283">
        <v>0.4</v>
      </c>
      <c r="C265" s="247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W265" s="249"/>
      <c r="Z265" s="249"/>
      <c r="AC265" s="249"/>
      <c r="AD265" s="249"/>
      <c r="AE265" s="249"/>
      <c r="AF265" s="249"/>
      <c r="AG265" s="249"/>
      <c r="AJ265" s="249"/>
      <c r="AM265" s="249"/>
      <c r="AP265" s="249"/>
      <c r="AS265" s="249"/>
      <c r="AV265" s="249"/>
      <c r="AY265" s="249"/>
      <c r="BB265" s="249"/>
      <c r="BE265" s="249"/>
      <c r="BH265" s="249"/>
      <c r="BK265" s="249"/>
      <c r="BN265" s="249"/>
      <c r="BQ265" s="249"/>
      <c r="BT265" s="249"/>
      <c r="BW265" s="249"/>
      <c r="BZ265" s="249"/>
      <c r="CC265" s="249"/>
      <c r="CF265" s="249"/>
      <c r="CI265" s="249"/>
      <c r="CL265" s="249"/>
      <c r="CO265" s="249"/>
      <c r="CR265" s="249"/>
      <c r="CU265" s="249"/>
      <c r="CX265" s="249"/>
      <c r="DA265" s="249"/>
      <c r="DD265" s="249"/>
      <c r="DG265" s="249"/>
      <c r="DJ265" s="249"/>
      <c r="DM265" s="249"/>
      <c r="DP265" s="249"/>
      <c r="DS265" s="249"/>
      <c r="DV265" s="249"/>
      <c r="DY265" s="249"/>
      <c r="EB265" s="249"/>
      <c r="EE265" s="249"/>
      <c r="EH265" s="249"/>
      <c r="EK265" s="249"/>
      <c r="EN265" s="249"/>
      <c r="EQ265" s="249"/>
      <c r="ET265" s="249"/>
      <c r="EW265" s="249"/>
      <c r="EZ265" s="249"/>
      <c r="FC265" s="249"/>
      <c r="FF265" s="249"/>
      <c r="FI265" s="249"/>
      <c r="FL265" s="249"/>
      <c r="FO265" s="249"/>
      <c r="FR265" s="249"/>
      <c r="FU265" s="249"/>
      <c r="FX265" s="249"/>
      <c r="GA265" s="249"/>
      <c r="GD265" s="249"/>
      <c r="GG265" s="249"/>
      <c r="GJ265" s="249"/>
      <c r="GM265" s="249"/>
      <c r="GP265" s="249"/>
      <c r="GS265" s="249"/>
      <c r="GV265" s="249"/>
      <c r="GY265" s="249"/>
      <c r="HB265" s="249"/>
      <c r="HE265" s="249"/>
    </row>
    <row r="266" spans="1:213" x14ac:dyDescent="0.2">
      <c r="A266" s="262" t="s">
        <v>220</v>
      </c>
      <c r="B266" s="283">
        <v>5</v>
      </c>
      <c r="C266" s="249" t="s">
        <v>129</v>
      </c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W266" s="249"/>
      <c r="Z266" s="249"/>
      <c r="AC266" s="249"/>
      <c r="AD266" s="249"/>
      <c r="AE266" s="249"/>
      <c r="AF266" s="249"/>
      <c r="AG266" s="249"/>
      <c r="AJ266" s="249"/>
      <c r="AM266" s="249"/>
      <c r="AP266" s="249"/>
      <c r="AS266" s="249"/>
      <c r="AV266" s="249"/>
      <c r="AY266" s="249"/>
      <c r="BB266" s="249"/>
      <c r="BE266" s="249"/>
      <c r="BH266" s="249"/>
      <c r="BK266" s="249"/>
      <c r="BN266" s="249"/>
      <c r="BQ266" s="249"/>
      <c r="BT266" s="249"/>
      <c r="BW266" s="249"/>
      <c r="BZ266" s="249"/>
      <c r="CC266" s="249"/>
      <c r="CF266" s="249"/>
      <c r="CI266" s="249"/>
      <c r="CL266" s="249"/>
      <c r="CO266" s="249"/>
      <c r="CR266" s="249"/>
      <c r="CU266" s="249"/>
      <c r="CX266" s="249"/>
      <c r="DA266" s="249"/>
      <c r="DD266" s="249"/>
      <c r="DG266" s="249"/>
      <c r="DJ266" s="249"/>
      <c r="DM266" s="249"/>
      <c r="DP266" s="249"/>
      <c r="DS266" s="249"/>
      <c r="DV266" s="249"/>
      <c r="DY266" s="249"/>
      <c r="EB266" s="249"/>
      <c r="EE266" s="249"/>
      <c r="EH266" s="249"/>
      <c r="EK266" s="249"/>
      <c r="EN266" s="249"/>
      <c r="EQ266" s="249"/>
      <c r="ET266" s="249"/>
      <c r="EW266" s="249"/>
      <c r="EZ266" s="249"/>
      <c r="FC266" s="249"/>
      <c r="FF266" s="249"/>
      <c r="FI266" s="249"/>
      <c r="FL266" s="249"/>
      <c r="FO266" s="249"/>
      <c r="FR266" s="249"/>
      <c r="FU266" s="249"/>
      <c r="FX266" s="249"/>
      <c r="GA266" s="249"/>
      <c r="GD266" s="249"/>
      <c r="GG266" s="249"/>
      <c r="GJ266" s="249"/>
      <c r="GM266" s="249"/>
      <c r="GP266" s="249"/>
      <c r="GS266" s="249"/>
      <c r="GV266" s="249"/>
      <c r="GY266" s="249"/>
      <c r="HB266" s="249"/>
      <c r="HE266" s="249"/>
    </row>
    <row r="267" spans="1:213" x14ac:dyDescent="0.2">
      <c r="A267" s="262" t="s">
        <v>219</v>
      </c>
      <c r="B267" s="283">
        <v>26</v>
      </c>
      <c r="C267" s="249" t="s">
        <v>130</v>
      </c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W267" s="249"/>
      <c r="Z267" s="249"/>
      <c r="AC267" s="249"/>
      <c r="AD267" s="249"/>
      <c r="AE267" s="249"/>
      <c r="AF267" s="249"/>
      <c r="AG267" s="249"/>
      <c r="AJ267" s="249"/>
      <c r="AM267" s="249"/>
      <c r="AP267" s="249"/>
      <c r="AS267" s="249"/>
      <c r="AV267" s="249"/>
      <c r="AY267" s="249"/>
      <c r="BB267" s="249"/>
      <c r="BE267" s="249"/>
      <c r="BH267" s="249"/>
      <c r="BK267" s="249"/>
      <c r="BN267" s="249"/>
      <c r="BQ267" s="249"/>
      <c r="BT267" s="249"/>
      <c r="BW267" s="249"/>
      <c r="BZ267" s="249"/>
      <c r="CC267" s="249"/>
      <c r="CF267" s="249"/>
      <c r="CI267" s="249"/>
      <c r="CL267" s="249"/>
      <c r="CO267" s="249"/>
      <c r="CR267" s="249"/>
      <c r="CU267" s="249"/>
      <c r="CX267" s="249"/>
      <c r="DA267" s="249"/>
      <c r="DD267" s="249"/>
      <c r="DG267" s="249"/>
      <c r="DJ267" s="249"/>
      <c r="DM267" s="249"/>
      <c r="DP267" s="249"/>
      <c r="DS267" s="249"/>
      <c r="DV267" s="249"/>
      <c r="DY267" s="249"/>
      <c r="EB267" s="249"/>
      <c r="EE267" s="249"/>
      <c r="EH267" s="249"/>
      <c r="EK267" s="249"/>
      <c r="EN267" s="249"/>
      <c r="EQ267" s="249"/>
      <c r="ET267" s="249"/>
      <c r="EW267" s="249"/>
      <c r="EZ267" s="249"/>
      <c r="FC267" s="249"/>
      <c r="FF267" s="249"/>
      <c r="FI267" s="249"/>
      <c r="FL267" s="249"/>
      <c r="FO267" s="249"/>
      <c r="FR267" s="249"/>
      <c r="FU267" s="249"/>
      <c r="FX267" s="249"/>
      <c r="GA267" s="249"/>
      <c r="GD267" s="249"/>
      <c r="GG267" s="249"/>
      <c r="GJ267" s="249"/>
      <c r="GM267" s="249"/>
      <c r="GP267" s="249"/>
      <c r="GS267" s="249"/>
      <c r="GV267" s="249"/>
      <c r="GY267" s="249"/>
      <c r="HB267" s="249"/>
      <c r="HE267" s="249"/>
    </row>
    <row r="268" spans="1:213" x14ac:dyDescent="0.2">
      <c r="A268" s="558" t="s">
        <v>437</v>
      </c>
      <c r="B268" s="558"/>
      <c r="C268" s="558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W268" s="249"/>
      <c r="Z268" s="249"/>
      <c r="AC268" s="249"/>
      <c r="AD268" s="249"/>
      <c r="AE268" s="249"/>
      <c r="AF268" s="249"/>
      <c r="AG268" s="249"/>
      <c r="AJ268" s="249"/>
      <c r="AM268" s="249"/>
      <c r="AP268" s="249"/>
      <c r="AS268" s="249"/>
      <c r="AV268" s="249"/>
      <c r="AY268" s="249"/>
      <c r="BB268" s="249"/>
      <c r="BE268" s="249"/>
      <c r="BH268" s="249"/>
      <c r="BK268" s="249"/>
      <c r="BN268" s="249"/>
      <c r="BQ268" s="249"/>
      <c r="BT268" s="249"/>
      <c r="BW268" s="249"/>
      <c r="BZ268" s="249"/>
      <c r="CC268" s="249"/>
      <c r="CF268" s="249"/>
      <c r="CI268" s="249"/>
      <c r="CL268" s="249"/>
      <c r="CO268" s="249"/>
      <c r="CR268" s="249"/>
      <c r="CU268" s="249"/>
      <c r="CX268" s="249"/>
      <c r="DA268" s="249"/>
      <c r="DD268" s="249"/>
      <c r="DG268" s="249"/>
      <c r="DJ268" s="249"/>
      <c r="DM268" s="249"/>
      <c r="DP268" s="249"/>
      <c r="DS268" s="249"/>
      <c r="DV268" s="249"/>
      <c r="DY268" s="249"/>
      <c r="EB268" s="249"/>
      <c r="EE268" s="249"/>
      <c r="EH268" s="249"/>
      <c r="EK268" s="249"/>
      <c r="EN268" s="249"/>
      <c r="EQ268" s="249"/>
      <c r="ET268" s="249"/>
      <c r="EW268" s="249"/>
      <c r="EZ268" s="249"/>
      <c r="FC268" s="249"/>
      <c r="FF268" s="249"/>
      <c r="FI268" s="249"/>
      <c r="FL268" s="249"/>
      <c r="FO268" s="249"/>
      <c r="FR268" s="249"/>
      <c r="FU268" s="249"/>
      <c r="FX268" s="249"/>
      <c r="GA268" s="249"/>
      <c r="GD268" s="249"/>
      <c r="GG268" s="249"/>
      <c r="GJ268" s="249"/>
      <c r="GM268" s="249"/>
      <c r="GP268" s="249"/>
      <c r="GS268" s="249"/>
      <c r="GV268" s="249"/>
      <c r="GY268" s="249"/>
      <c r="HB268" s="249"/>
      <c r="HE268" s="249"/>
    </row>
    <row r="269" spans="1:213" x14ac:dyDescent="0.2">
      <c r="A269" s="249" t="s">
        <v>435</v>
      </c>
      <c r="B269" s="283">
        <v>60</v>
      </c>
      <c r="C269" s="263" t="s">
        <v>359</v>
      </c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W269" s="249"/>
      <c r="Z269" s="249"/>
      <c r="AC269" s="249"/>
      <c r="AD269" s="249"/>
      <c r="AE269" s="249"/>
      <c r="AF269" s="249"/>
      <c r="AG269" s="249"/>
      <c r="AJ269" s="249"/>
      <c r="AM269" s="249"/>
      <c r="AP269" s="249"/>
      <c r="AS269" s="249"/>
      <c r="AV269" s="249"/>
      <c r="AY269" s="249"/>
      <c r="BB269" s="249"/>
      <c r="BE269" s="249"/>
      <c r="BH269" s="249"/>
      <c r="BK269" s="249"/>
      <c r="BN269" s="249"/>
      <c r="BQ269" s="249"/>
      <c r="BT269" s="249"/>
      <c r="BW269" s="249"/>
      <c r="BZ269" s="249"/>
      <c r="CC269" s="249"/>
      <c r="CF269" s="249"/>
      <c r="CI269" s="249"/>
      <c r="CL269" s="249"/>
      <c r="CO269" s="249"/>
      <c r="CR269" s="249"/>
      <c r="CU269" s="249"/>
      <c r="CX269" s="249"/>
      <c r="DA269" s="249"/>
      <c r="DD269" s="249"/>
      <c r="DG269" s="249"/>
      <c r="DJ269" s="249"/>
      <c r="DM269" s="249"/>
      <c r="DP269" s="249"/>
      <c r="DS269" s="249"/>
      <c r="DV269" s="249"/>
      <c r="DY269" s="249"/>
      <c r="EB269" s="249"/>
      <c r="EE269" s="249"/>
      <c r="EH269" s="249"/>
      <c r="EK269" s="249"/>
      <c r="EN269" s="249"/>
      <c r="EQ269" s="249"/>
      <c r="ET269" s="249"/>
      <c r="EW269" s="249"/>
      <c r="EZ269" s="249"/>
      <c r="FC269" s="249"/>
      <c r="FF269" s="249"/>
      <c r="FI269" s="249"/>
      <c r="FL269" s="249"/>
      <c r="FO269" s="249"/>
      <c r="FR269" s="249"/>
      <c r="FU269" s="249"/>
      <c r="FX269" s="249"/>
      <c r="GA269" s="249"/>
      <c r="GD269" s="249"/>
      <c r="GG269" s="249"/>
      <c r="GJ269" s="249"/>
      <c r="GM269" s="249"/>
      <c r="GP269" s="249"/>
      <c r="GS269" s="249"/>
      <c r="GV269" s="249"/>
      <c r="GY269" s="249"/>
      <c r="HB269" s="249"/>
      <c r="HE269" s="249"/>
    </row>
    <row r="270" spans="1:213" x14ac:dyDescent="0.2">
      <c r="A270" s="262" t="s">
        <v>221</v>
      </c>
      <c r="B270" s="283">
        <v>130</v>
      </c>
      <c r="C270" s="249" t="s">
        <v>26</v>
      </c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W270" s="249"/>
      <c r="Z270" s="249"/>
      <c r="AC270" s="249"/>
      <c r="AD270" s="249"/>
      <c r="AE270" s="249"/>
      <c r="AF270" s="249"/>
      <c r="AG270" s="249"/>
      <c r="AJ270" s="249"/>
      <c r="AM270" s="249"/>
      <c r="AP270" s="249"/>
      <c r="AS270" s="249"/>
      <c r="AV270" s="249"/>
      <c r="AY270" s="249"/>
      <c r="BB270" s="249"/>
      <c r="BE270" s="249"/>
      <c r="BH270" s="249"/>
      <c r="BK270" s="249"/>
      <c r="BN270" s="249"/>
      <c r="BQ270" s="249"/>
      <c r="BT270" s="249"/>
      <c r="BW270" s="249"/>
      <c r="BZ270" s="249"/>
      <c r="CC270" s="249"/>
      <c r="CF270" s="249"/>
      <c r="CI270" s="249"/>
      <c r="CL270" s="249"/>
      <c r="CO270" s="249"/>
      <c r="CR270" s="249"/>
      <c r="CU270" s="249"/>
      <c r="CX270" s="249"/>
      <c r="DA270" s="249"/>
      <c r="DD270" s="249"/>
      <c r="DG270" s="249"/>
      <c r="DJ270" s="249"/>
      <c r="DM270" s="249"/>
      <c r="DP270" s="249"/>
      <c r="DS270" s="249"/>
      <c r="DV270" s="249"/>
      <c r="DY270" s="249"/>
      <c r="EB270" s="249"/>
      <c r="EE270" s="249"/>
      <c r="EH270" s="249"/>
      <c r="EK270" s="249"/>
      <c r="EN270" s="249"/>
      <c r="EQ270" s="249"/>
      <c r="ET270" s="249"/>
      <c r="EW270" s="249"/>
      <c r="EZ270" s="249"/>
      <c r="FC270" s="249"/>
      <c r="FF270" s="249"/>
      <c r="FI270" s="249"/>
      <c r="FL270" s="249"/>
      <c r="FO270" s="249"/>
      <c r="FR270" s="249"/>
      <c r="FU270" s="249"/>
      <c r="FX270" s="249"/>
      <c r="GA270" s="249"/>
      <c r="GD270" s="249"/>
      <c r="GG270" s="249"/>
      <c r="GJ270" s="249"/>
      <c r="GM270" s="249"/>
      <c r="GP270" s="249"/>
      <c r="GS270" s="249"/>
      <c r="GV270" s="249"/>
      <c r="GY270" s="249"/>
      <c r="HB270" s="249"/>
      <c r="HE270" s="249"/>
    </row>
    <row r="271" spans="1:213" x14ac:dyDescent="0.2">
      <c r="A271" s="262" t="s">
        <v>186</v>
      </c>
      <c r="B271" s="284">
        <v>1</v>
      </c>
      <c r="C271" s="249" t="s">
        <v>69</v>
      </c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W271" s="249"/>
      <c r="Z271" s="249"/>
      <c r="AC271" s="249"/>
      <c r="AD271" s="249"/>
      <c r="AE271" s="249"/>
      <c r="AF271" s="249"/>
      <c r="AG271" s="249"/>
      <c r="AJ271" s="249"/>
      <c r="AM271" s="249"/>
      <c r="AP271" s="249"/>
      <c r="AS271" s="249"/>
      <c r="AV271" s="249"/>
      <c r="AY271" s="249"/>
      <c r="BB271" s="249"/>
      <c r="BE271" s="249"/>
      <c r="BH271" s="249"/>
      <c r="BK271" s="249"/>
      <c r="BN271" s="249"/>
      <c r="BQ271" s="249"/>
      <c r="BT271" s="249"/>
      <c r="BW271" s="249"/>
      <c r="BZ271" s="249"/>
      <c r="CC271" s="249"/>
      <c r="CF271" s="249"/>
      <c r="CI271" s="249"/>
      <c r="CL271" s="249"/>
      <c r="CO271" s="249"/>
      <c r="CR271" s="249"/>
      <c r="CU271" s="249"/>
      <c r="CX271" s="249"/>
      <c r="DA271" s="249"/>
      <c r="DD271" s="249"/>
      <c r="DG271" s="249"/>
      <c r="DJ271" s="249"/>
      <c r="DM271" s="249"/>
      <c r="DP271" s="249"/>
      <c r="DS271" s="249"/>
      <c r="DV271" s="249"/>
      <c r="DY271" s="249"/>
      <c r="EB271" s="249"/>
      <c r="EE271" s="249"/>
      <c r="EH271" s="249"/>
      <c r="EK271" s="249"/>
      <c r="EN271" s="249"/>
      <c r="EQ271" s="249"/>
      <c r="ET271" s="249"/>
      <c r="EW271" s="249"/>
      <c r="EZ271" s="249"/>
      <c r="FC271" s="249"/>
      <c r="FF271" s="249"/>
      <c r="FI271" s="249"/>
      <c r="FL271" s="249"/>
      <c r="FO271" s="249"/>
      <c r="FR271" s="249"/>
      <c r="FU271" s="249"/>
      <c r="FX271" s="249"/>
      <c r="GA271" s="249"/>
      <c r="GD271" s="249"/>
      <c r="GG271" s="249"/>
      <c r="GJ271" s="249"/>
      <c r="GM271" s="249"/>
      <c r="GP271" s="249"/>
      <c r="GS271" s="249"/>
      <c r="GV271" s="249"/>
      <c r="GY271" s="249"/>
      <c r="HB271" s="249"/>
      <c r="HE271" s="249"/>
    </row>
    <row r="272" spans="1:213" x14ac:dyDescent="0.2">
      <c r="A272" s="262" t="s">
        <v>436</v>
      </c>
      <c r="B272" s="283">
        <v>330</v>
      </c>
      <c r="C272" s="263" t="s">
        <v>54</v>
      </c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W272" s="249"/>
      <c r="Z272" s="249"/>
      <c r="AC272" s="249"/>
      <c r="AD272" s="249"/>
      <c r="AE272" s="249"/>
      <c r="AF272" s="249"/>
      <c r="AG272" s="249"/>
      <c r="AJ272" s="249"/>
      <c r="AM272" s="249"/>
      <c r="AP272" s="249"/>
      <c r="AS272" s="249"/>
      <c r="AV272" s="249"/>
      <c r="AY272" s="249"/>
      <c r="BB272" s="249"/>
      <c r="BE272" s="249"/>
      <c r="BH272" s="249"/>
      <c r="BK272" s="249"/>
      <c r="BN272" s="249"/>
      <c r="BQ272" s="249"/>
      <c r="BT272" s="249"/>
      <c r="BW272" s="249"/>
      <c r="BZ272" s="249"/>
      <c r="CC272" s="249"/>
      <c r="CF272" s="249"/>
      <c r="CI272" s="249"/>
      <c r="CL272" s="249"/>
      <c r="CO272" s="249"/>
      <c r="CR272" s="249"/>
      <c r="CU272" s="249"/>
      <c r="CX272" s="249"/>
      <c r="DA272" s="249"/>
      <c r="DD272" s="249"/>
      <c r="DG272" s="249"/>
      <c r="DJ272" s="249"/>
      <c r="DM272" s="249"/>
      <c r="DP272" s="249"/>
      <c r="DS272" s="249"/>
      <c r="DV272" s="249"/>
      <c r="DY272" s="249"/>
      <c r="EB272" s="249"/>
      <c r="EE272" s="249"/>
      <c r="EH272" s="249"/>
      <c r="EK272" s="249"/>
      <c r="EN272" s="249"/>
      <c r="EQ272" s="249"/>
      <c r="ET272" s="249"/>
      <c r="EW272" s="249"/>
      <c r="EZ272" s="249"/>
      <c r="FC272" s="249"/>
      <c r="FF272" s="249"/>
      <c r="FI272" s="249"/>
      <c r="FL272" s="249"/>
      <c r="FO272" s="249"/>
      <c r="FR272" s="249"/>
      <c r="FU272" s="249"/>
      <c r="FX272" s="249"/>
      <c r="GA272" s="249"/>
      <c r="GD272" s="249"/>
      <c r="GG272" s="249"/>
      <c r="GJ272" s="249"/>
      <c r="GM272" s="249"/>
      <c r="GP272" s="249"/>
      <c r="GS272" s="249"/>
      <c r="GV272" s="249"/>
      <c r="GY272" s="249"/>
      <c r="HB272" s="249"/>
      <c r="HE272" s="249"/>
    </row>
    <row r="273" spans="1:213" x14ac:dyDescent="0.2">
      <c r="A273" s="262" t="s">
        <v>56</v>
      </c>
      <c r="B273" s="284">
        <v>1</v>
      </c>
      <c r="C273" s="247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W273" s="249"/>
      <c r="Z273" s="249"/>
      <c r="AC273" s="249"/>
      <c r="AD273" s="249"/>
      <c r="AE273" s="249"/>
      <c r="AF273" s="249"/>
      <c r="AG273" s="249"/>
      <c r="AJ273" s="249"/>
      <c r="AM273" s="249"/>
      <c r="AP273" s="249"/>
      <c r="AS273" s="249"/>
      <c r="AV273" s="249"/>
      <c r="AY273" s="249"/>
      <c r="BB273" s="249"/>
      <c r="BE273" s="249"/>
      <c r="BH273" s="249"/>
      <c r="BK273" s="249"/>
      <c r="BN273" s="249"/>
      <c r="BQ273" s="249"/>
      <c r="BT273" s="249"/>
      <c r="BW273" s="249"/>
      <c r="BZ273" s="249"/>
      <c r="CC273" s="249"/>
      <c r="CF273" s="249"/>
      <c r="CI273" s="249"/>
      <c r="CL273" s="249"/>
      <c r="CO273" s="249"/>
      <c r="CR273" s="249"/>
      <c r="CU273" s="249"/>
      <c r="CX273" s="249"/>
      <c r="DA273" s="249"/>
      <c r="DD273" s="249"/>
      <c r="DG273" s="249"/>
      <c r="DJ273" s="249"/>
      <c r="DM273" s="249"/>
      <c r="DP273" s="249"/>
      <c r="DS273" s="249"/>
      <c r="DV273" s="249"/>
      <c r="DY273" s="249"/>
      <c r="EB273" s="249"/>
      <c r="EE273" s="249"/>
      <c r="EH273" s="249"/>
      <c r="EK273" s="249"/>
      <c r="EN273" s="249"/>
      <c r="EQ273" s="249"/>
      <c r="ET273" s="249"/>
      <c r="EW273" s="249"/>
      <c r="EZ273" s="249"/>
      <c r="FC273" s="249"/>
      <c r="FF273" s="249"/>
      <c r="FI273" s="249"/>
      <c r="FL273" s="249"/>
      <c r="FO273" s="249"/>
      <c r="FR273" s="249"/>
      <c r="FU273" s="249"/>
      <c r="FX273" s="249"/>
      <c r="GA273" s="249"/>
      <c r="GD273" s="249"/>
      <c r="GG273" s="249"/>
      <c r="GJ273" s="249"/>
      <c r="GM273" s="249"/>
      <c r="GP273" s="249"/>
      <c r="GS273" s="249"/>
      <c r="GV273" s="249"/>
      <c r="GY273" s="249"/>
      <c r="HB273" s="249"/>
      <c r="HE273" s="249"/>
    </row>
    <row r="274" spans="1:213" x14ac:dyDescent="0.2">
      <c r="A274" s="262" t="s">
        <v>52</v>
      </c>
      <c r="B274" s="284">
        <v>0.4</v>
      </c>
      <c r="C274" s="247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W274" s="249"/>
      <c r="Z274" s="249"/>
      <c r="AC274" s="249"/>
      <c r="AD274" s="249"/>
      <c r="AE274" s="249"/>
      <c r="AF274" s="249"/>
      <c r="AG274" s="249"/>
      <c r="AJ274" s="249"/>
      <c r="AM274" s="249"/>
      <c r="AP274" s="249"/>
      <c r="AS274" s="249"/>
      <c r="AV274" s="249"/>
      <c r="AY274" s="249"/>
      <c r="BB274" s="249"/>
      <c r="BE274" s="249"/>
      <c r="BH274" s="249"/>
      <c r="BK274" s="249"/>
      <c r="BN274" s="249"/>
      <c r="BQ274" s="249"/>
      <c r="BT274" s="249"/>
      <c r="BW274" s="249"/>
      <c r="BZ274" s="249"/>
      <c r="CC274" s="249"/>
      <c r="CF274" s="249"/>
      <c r="CI274" s="249"/>
      <c r="CL274" s="249"/>
      <c r="CO274" s="249"/>
      <c r="CR274" s="249"/>
      <c r="CU274" s="249"/>
      <c r="CX274" s="249"/>
      <c r="DA274" s="249"/>
      <c r="DD274" s="249"/>
      <c r="DG274" s="249"/>
      <c r="DJ274" s="249"/>
      <c r="DM274" s="249"/>
      <c r="DP274" s="249"/>
      <c r="DS274" s="249"/>
      <c r="DV274" s="249"/>
      <c r="DY274" s="249"/>
      <c r="EB274" s="249"/>
      <c r="EE274" s="249"/>
      <c r="EH274" s="249"/>
      <c r="EK274" s="249"/>
      <c r="EN274" s="249"/>
      <c r="EQ274" s="249"/>
      <c r="ET274" s="249"/>
      <c r="EW274" s="249"/>
      <c r="EZ274" s="249"/>
      <c r="FC274" s="249"/>
      <c r="FF274" s="249"/>
      <c r="FI274" s="249"/>
      <c r="FL274" s="249"/>
      <c r="FO274" s="249"/>
      <c r="FR274" s="249"/>
      <c r="FU274" s="249"/>
      <c r="FX274" s="249"/>
      <c r="GA274" s="249"/>
      <c r="GD274" s="249"/>
      <c r="GG274" s="249"/>
      <c r="GJ274" s="249"/>
      <c r="GM274" s="249"/>
      <c r="GP274" s="249"/>
      <c r="GS274" s="249"/>
      <c r="GV274" s="249"/>
      <c r="GY274" s="249"/>
      <c r="HB274" s="249"/>
      <c r="HE274" s="249"/>
    </row>
    <row r="275" spans="1:213" x14ac:dyDescent="0.2">
      <c r="A275" s="262" t="s">
        <v>62</v>
      </c>
      <c r="B275" s="284">
        <v>1</v>
      </c>
      <c r="C275" s="247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W275" s="249"/>
      <c r="Z275" s="249"/>
      <c r="AC275" s="249"/>
      <c r="AD275" s="249"/>
      <c r="AE275" s="249"/>
      <c r="AF275" s="249"/>
      <c r="AG275" s="249"/>
      <c r="AJ275" s="249"/>
      <c r="AM275" s="249"/>
      <c r="AP275" s="249"/>
      <c r="AS275" s="249"/>
      <c r="AV275" s="249"/>
      <c r="AY275" s="249"/>
      <c r="BB275" s="249"/>
      <c r="BE275" s="249"/>
      <c r="BH275" s="249"/>
      <c r="BK275" s="249"/>
      <c r="BN275" s="249"/>
      <c r="BQ275" s="249"/>
      <c r="BT275" s="249"/>
      <c r="BW275" s="249"/>
      <c r="BZ275" s="249"/>
      <c r="CC275" s="249"/>
      <c r="CF275" s="249"/>
      <c r="CI275" s="249"/>
      <c r="CL275" s="249"/>
      <c r="CO275" s="249"/>
      <c r="CR275" s="249"/>
      <c r="CU275" s="249"/>
      <c r="CX275" s="249"/>
      <c r="DA275" s="249"/>
      <c r="DD275" s="249"/>
      <c r="DG275" s="249"/>
      <c r="DJ275" s="249"/>
      <c r="DM275" s="249"/>
      <c r="DP275" s="249"/>
      <c r="DS275" s="249"/>
      <c r="DV275" s="249"/>
      <c r="DY275" s="249"/>
      <c r="EB275" s="249"/>
      <c r="EE275" s="249"/>
      <c r="EH275" s="249"/>
      <c r="EK275" s="249"/>
      <c r="EN275" s="249"/>
      <c r="EQ275" s="249"/>
      <c r="ET275" s="249"/>
      <c r="EW275" s="249"/>
      <c r="EZ275" s="249"/>
      <c r="FC275" s="249"/>
      <c r="FF275" s="249"/>
      <c r="FI275" s="249"/>
      <c r="FL275" s="249"/>
      <c r="FO275" s="249"/>
      <c r="FR275" s="249"/>
      <c r="FU275" s="249"/>
      <c r="FX275" s="249"/>
      <c r="GA275" s="249"/>
      <c r="GD275" s="249"/>
      <c r="GG275" s="249"/>
      <c r="GJ275" s="249"/>
      <c r="GM275" s="249"/>
      <c r="GP275" s="249"/>
      <c r="GS275" s="249"/>
      <c r="GV275" s="249"/>
      <c r="GY275" s="249"/>
      <c r="HB275" s="249"/>
      <c r="HE275" s="249"/>
    </row>
    <row r="276" spans="1:213" x14ac:dyDescent="0.2">
      <c r="A276" s="262" t="s">
        <v>471</v>
      </c>
      <c r="B276" s="283">
        <v>8</v>
      </c>
      <c r="C276" s="249" t="s">
        <v>224</v>
      </c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W276" s="249"/>
      <c r="Z276" s="249"/>
      <c r="AC276" s="249"/>
      <c r="AD276" s="249"/>
      <c r="AE276" s="249"/>
      <c r="AF276" s="249"/>
      <c r="AG276" s="249"/>
      <c r="AJ276" s="249"/>
      <c r="AM276" s="249"/>
      <c r="AP276" s="249"/>
      <c r="AS276" s="249"/>
      <c r="AV276" s="249"/>
      <c r="AY276" s="249"/>
      <c r="BB276" s="249"/>
      <c r="BE276" s="249"/>
      <c r="BH276" s="249"/>
      <c r="BK276" s="249"/>
      <c r="BN276" s="249"/>
      <c r="BQ276" s="249"/>
      <c r="BT276" s="249"/>
      <c r="BW276" s="249"/>
      <c r="BZ276" s="249"/>
      <c r="CC276" s="249"/>
      <c r="CF276" s="249"/>
      <c r="CI276" s="249"/>
      <c r="CL276" s="249"/>
      <c r="CO276" s="249"/>
      <c r="CR276" s="249"/>
      <c r="CU276" s="249"/>
      <c r="CX276" s="249"/>
      <c r="DA276" s="249"/>
      <c r="DD276" s="249"/>
      <c r="DG276" s="249"/>
      <c r="DJ276" s="249"/>
      <c r="DM276" s="249"/>
      <c r="DP276" s="249"/>
      <c r="DS276" s="249"/>
      <c r="DV276" s="249"/>
      <c r="DY276" s="249"/>
      <c r="EB276" s="249"/>
      <c r="EE276" s="249"/>
      <c r="EH276" s="249"/>
      <c r="EK276" s="249"/>
      <c r="EN276" s="249"/>
      <c r="EQ276" s="249"/>
      <c r="ET276" s="249"/>
      <c r="EW276" s="249"/>
      <c r="EZ276" s="249"/>
      <c r="FC276" s="249"/>
      <c r="FF276" s="249"/>
      <c r="FI276" s="249"/>
      <c r="FL276" s="249"/>
      <c r="FO276" s="249"/>
      <c r="FR276" s="249"/>
      <c r="FU276" s="249"/>
      <c r="FX276" s="249"/>
      <c r="GA276" s="249"/>
      <c r="GD276" s="249"/>
      <c r="GG276" s="249"/>
      <c r="GJ276" s="249"/>
      <c r="GM276" s="249"/>
      <c r="GP276" s="249"/>
      <c r="GS276" s="249"/>
      <c r="GV276" s="249"/>
      <c r="GY276" s="249"/>
      <c r="HB276" s="249"/>
      <c r="HE276" s="249"/>
    </row>
    <row r="277" spans="1:213" x14ac:dyDescent="0.2">
      <c r="A277" s="262" t="s">
        <v>472</v>
      </c>
      <c r="B277" s="283">
        <v>0</v>
      </c>
      <c r="C277" s="249" t="s">
        <v>224</v>
      </c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W277" s="249"/>
      <c r="Z277" s="249"/>
      <c r="AC277" s="249"/>
      <c r="AD277" s="249"/>
      <c r="AE277" s="249"/>
      <c r="AF277" s="249"/>
      <c r="AG277" s="249"/>
      <c r="AJ277" s="249"/>
      <c r="AM277" s="249"/>
      <c r="AP277" s="249"/>
      <c r="AS277" s="249"/>
      <c r="AV277" s="249"/>
      <c r="AY277" s="249"/>
      <c r="BB277" s="249"/>
      <c r="BE277" s="249"/>
      <c r="BH277" s="249"/>
      <c r="BK277" s="249"/>
      <c r="BN277" s="249"/>
      <c r="BQ277" s="249"/>
      <c r="BT277" s="249"/>
      <c r="BW277" s="249"/>
      <c r="BZ277" s="249"/>
      <c r="CC277" s="249"/>
      <c r="CF277" s="249"/>
      <c r="CI277" s="249"/>
      <c r="CL277" s="249"/>
      <c r="CO277" s="249"/>
      <c r="CR277" s="249"/>
      <c r="CU277" s="249"/>
      <c r="CX277" s="249"/>
      <c r="DA277" s="249"/>
      <c r="DD277" s="249"/>
      <c r="DG277" s="249"/>
      <c r="DJ277" s="249"/>
      <c r="DM277" s="249"/>
      <c r="DP277" s="249"/>
      <c r="DS277" s="249"/>
      <c r="DV277" s="249"/>
      <c r="DY277" s="249"/>
      <c r="EB277" s="249"/>
      <c r="EE277" s="249"/>
      <c r="EH277" s="249"/>
      <c r="EK277" s="249"/>
      <c r="EN277" s="249"/>
      <c r="EQ277" s="249"/>
      <c r="ET277" s="249"/>
      <c r="EW277" s="249"/>
      <c r="EZ277" s="249"/>
      <c r="FC277" s="249"/>
      <c r="FF277" s="249"/>
      <c r="FI277" s="249"/>
      <c r="FL277" s="249"/>
      <c r="FO277" s="249"/>
      <c r="FR277" s="249"/>
      <c r="FU277" s="249"/>
      <c r="FX277" s="249"/>
      <c r="GA277" s="249"/>
      <c r="GD277" s="249"/>
      <c r="GG277" s="249"/>
      <c r="GJ277" s="249"/>
      <c r="GM277" s="249"/>
      <c r="GP277" s="249"/>
      <c r="GS277" s="249"/>
      <c r="GV277" s="249"/>
      <c r="GY277" s="249"/>
      <c r="HB277" s="249"/>
      <c r="HE277" s="249"/>
    </row>
    <row r="278" spans="1:213" x14ac:dyDescent="0.2">
      <c r="A278" s="262" t="s">
        <v>103</v>
      </c>
      <c r="B278" s="283">
        <v>0.4</v>
      </c>
      <c r="C278" s="247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W278" s="249"/>
      <c r="Z278" s="249"/>
      <c r="AC278" s="249"/>
      <c r="AD278" s="249"/>
      <c r="AE278" s="249"/>
      <c r="AF278" s="249"/>
      <c r="AG278" s="249"/>
      <c r="AJ278" s="249"/>
      <c r="AM278" s="249"/>
      <c r="AP278" s="249"/>
      <c r="AS278" s="249"/>
      <c r="AV278" s="249"/>
      <c r="AY278" s="249"/>
      <c r="BB278" s="249"/>
      <c r="BE278" s="249"/>
      <c r="BH278" s="249"/>
      <c r="BK278" s="249"/>
      <c r="BN278" s="249"/>
      <c r="BQ278" s="249"/>
      <c r="BT278" s="249"/>
      <c r="BW278" s="249"/>
      <c r="BZ278" s="249"/>
      <c r="CC278" s="249"/>
      <c r="CF278" s="249"/>
      <c r="CI278" s="249"/>
      <c r="CL278" s="249"/>
      <c r="CO278" s="249"/>
      <c r="CR278" s="249"/>
      <c r="CU278" s="249"/>
      <c r="CX278" s="249"/>
      <c r="DA278" s="249"/>
      <c r="DD278" s="249"/>
      <c r="DG278" s="249"/>
      <c r="DJ278" s="249"/>
      <c r="DM278" s="249"/>
      <c r="DP278" s="249"/>
      <c r="DS278" s="249"/>
      <c r="DV278" s="249"/>
      <c r="DY278" s="249"/>
      <c r="EB278" s="249"/>
      <c r="EE278" s="249"/>
      <c r="EH278" s="249"/>
      <c r="EK278" s="249"/>
      <c r="EN278" s="249"/>
      <c r="EQ278" s="249"/>
      <c r="ET278" s="249"/>
      <c r="EW278" s="249"/>
      <c r="EZ278" s="249"/>
      <c r="FC278" s="249"/>
      <c r="FF278" s="249"/>
      <c r="FI278" s="249"/>
      <c r="FL278" s="249"/>
      <c r="FO278" s="249"/>
      <c r="FR278" s="249"/>
      <c r="FU278" s="249"/>
      <c r="FX278" s="249"/>
      <c r="GA278" s="249"/>
      <c r="GD278" s="249"/>
      <c r="GG278" s="249"/>
      <c r="GJ278" s="249"/>
      <c r="GM278" s="249"/>
      <c r="GP278" s="249"/>
      <c r="GS278" s="249"/>
      <c r="GV278" s="249"/>
      <c r="GY278" s="249"/>
      <c r="HB278" s="249"/>
      <c r="HE278" s="249"/>
    </row>
    <row r="279" spans="1:213" x14ac:dyDescent="0.2">
      <c r="A279" s="262" t="s">
        <v>220</v>
      </c>
      <c r="B279" s="283">
        <v>5</v>
      </c>
      <c r="C279" s="249" t="s">
        <v>129</v>
      </c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W279" s="249"/>
      <c r="Z279" s="249"/>
      <c r="AC279" s="249"/>
      <c r="AD279" s="249"/>
      <c r="AE279" s="249"/>
      <c r="AF279" s="249"/>
      <c r="AG279" s="249"/>
      <c r="AJ279" s="249"/>
      <c r="AM279" s="249"/>
      <c r="AP279" s="249"/>
      <c r="AS279" s="249"/>
      <c r="AV279" s="249"/>
      <c r="AY279" s="249"/>
      <c r="BB279" s="249"/>
      <c r="BE279" s="249"/>
      <c r="BH279" s="249"/>
      <c r="BK279" s="249"/>
      <c r="BN279" s="249"/>
      <c r="BQ279" s="249"/>
      <c r="BT279" s="249"/>
      <c r="BW279" s="249"/>
      <c r="BZ279" s="249"/>
      <c r="CC279" s="249"/>
      <c r="CF279" s="249"/>
      <c r="CI279" s="249"/>
      <c r="CL279" s="249"/>
      <c r="CO279" s="249"/>
      <c r="CR279" s="249"/>
      <c r="CU279" s="249"/>
      <c r="CX279" s="249"/>
      <c r="DA279" s="249"/>
      <c r="DD279" s="249"/>
      <c r="DG279" s="249"/>
      <c r="DJ279" s="249"/>
      <c r="DM279" s="249"/>
      <c r="DP279" s="249"/>
      <c r="DS279" s="249"/>
      <c r="DV279" s="249"/>
      <c r="DY279" s="249"/>
      <c r="EB279" s="249"/>
      <c r="EE279" s="249"/>
      <c r="EH279" s="249"/>
      <c r="EK279" s="249"/>
      <c r="EN279" s="249"/>
      <c r="EQ279" s="249"/>
      <c r="ET279" s="249"/>
      <c r="EW279" s="249"/>
      <c r="EZ279" s="249"/>
      <c r="FC279" s="249"/>
      <c r="FF279" s="249"/>
      <c r="FI279" s="249"/>
      <c r="FL279" s="249"/>
      <c r="FO279" s="249"/>
      <c r="FR279" s="249"/>
      <c r="FU279" s="249"/>
      <c r="FX279" s="249"/>
      <c r="GA279" s="249"/>
      <c r="GD279" s="249"/>
      <c r="GG279" s="249"/>
      <c r="GJ279" s="249"/>
      <c r="GM279" s="249"/>
      <c r="GP279" s="249"/>
      <c r="GS279" s="249"/>
      <c r="GV279" s="249"/>
      <c r="GY279" s="249"/>
      <c r="HB279" s="249"/>
      <c r="HE279" s="249"/>
    </row>
    <row r="280" spans="1:213" x14ac:dyDescent="0.2">
      <c r="A280" s="262" t="s">
        <v>219</v>
      </c>
      <c r="B280" s="283">
        <v>26</v>
      </c>
      <c r="C280" s="249" t="s">
        <v>130</v>
      </c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W280" s="249"/>
      <c r="Z280" s="249"/>
      <c r="AC280" s="249"/>
      <c r="AD280" s="249"/>
      <c r="AE280" s="249"/>
      <c r="AF280" s="249"/>
      <c r="AG280" s="249"/>
      <c r="AJ280" s="249"/>
      <c r="AM280" s="249"/>
      <c r="AP280" s="249"/>
      <c r="AS280" s="249"/>
      <c r="AV280" s="249"/>
      <c r="AY280" s="249"/>
      <c r="BB280" s="249"/>
      <c r="BE280" s="249"/>
      <c r="BH280" s="249"/>
      <c r="BK280" s="249"/>
      <c r="BN280" s="249"/>
      <c r="BQ280" s="249"/>
      <c r="BT280" s="249"/>
      <c r="BW280" s="249"/>
      <c r="BZ280" s="249"/>
      <c r="CC280" s="249"/>
      <c r="CF280" s="249"/>
      <c r="CI280" s="249"/>
      <c r="CL280" s="249"/>
      <c r="CO280" s="249"/>
      <c r="CR280" s="249"/>
      <c r="CU280" s="249"/>
      <c r="CX280" s="249"/>
      <c r="DA280" s="249"/>
      <c r="DD280" s="249"/>
      <c r="DG280" s="249"/>
      <c r="DJ280" s="249"/>
      <c r="DM280" s="249"/>
      <c r="DP280" s="249"/>
      <c r="DS280" s="249"/>
      <c r="DV280" s="249"/>
      <c r="DY280" s="249"/>
      <c r="EB280" s="249"/>
      <c r="EE280" s="249"/>
      <c r="EH280" s="249"/>
      <c r="EK280" s="249"/>
      <c r="EN280" s="249"/>
      <c r="EQ280" s="249"/>
      <c r="ET280" s="249"/>
      <c r="EW280" s="249"/>
      <c r="EZ280" s="249"/>
      <c r="FC280" s="249"/>
      <c r="FF280" s="249"/>
      <c r="FI280" s="249"/>
      <c r="FL280" s="249"/>
      <c r="FO280" s="249"/>
      <c r="FR280" s="249"/>
      <c r="FU280" s="249"/>
      <c r="FX280" s="249"/>
      <c r="GA280" s="249"/>
      <c r="GD280" s="249"/>
      <c r="GG280" s="249"/>
      <c r="GJ280" s="249"/>
      <c r="GM280" s="249"/>
      <c r="GP280" s="249"/>
      <c r="GS280" s="249"/>
      <c r="GV280" s="249"/>
      <c r="GY280" s="249"/>
      <c r="HB280" s="249"/>
      <c r="HE280" s="249"/>
    </row>
    <row r="281" spans="1:213" x14ac:dyDescent="0.2">
      <c r="A281" s="663" t="s">
        <v>576</v>
      </c>
      <c r="B281" s="663"/>
      <c r="C281" s="66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W281" s="249"/>
      <c r="Z281" s="249"/>
      <c r="AC281" s="249"/>
      <c r="AD281" s="249"/>
      <c r="AE281" s="249"/>
      <c r="AF281" s="249"/>
      <c r="AG281" s="249"/>
      <c r="AJ281" s="249"/>
      <c r="AM281" s="249"/>
      <c r="AP281" s="249"/>
      <c r="AS281" s="249"/>
      <c r="AV281" s="249"/>
      <c r="AY281" s="249"/>
      <c r="BB281" s="249"/>
      <c r="BE281" s="249"/>
      <c r="BH281" s="249"/>
      <c r="BK281" s="249"/>
      <c r="BN281" s="249"/>
      <c r="BQ281" s="249"/>
      <c r="BT281" s="249"/>
      <c r="BW281" s="249"/>
      <c r="BZ281" s="249"/>
      <c r="CC281" s="249"/>
      <c r="CF281" s="249"/>
      <c r="CI281" s="249"/>
      <c r="CL281" s="249"/>
      <c r="CO281" s="249"/>
      <c r="CR281" s="249"/>
      <c r="CU281" s="249"/>
      <c r="CX281" s="249"/>
      <c r="DA281" s="249"/>
      <c r="DD281" s="249"/>
      <c r="DG281" s="249"/>
      <c r="DJ281" s="249"/>
      <c r="DM281" s="249"/>
      <c r="DP281" s="249"/>
      <c r="DS281" s="249"/>
      <c r="DV281" s="249"/>
      <c r="DY281" s="249"/>
      <c r="EB281" s="249"/>
      <c r="EE281" s="249"/>
      <c r="EH281" s="249"/>
      <c r="EK281" s="249"/>
      <c r="EN281" s="249"/>
      <c r="EQ281" s="249"/>
      <c r="ET281" s="249"/>
      <c r="EW281" s="249"/>
      <c r="EZ281" s="249"/>
      <c r="FC281" s="249"/>
      <c r="FF281" s="249"/>
      <c r="FI281" s="249"/>
      <c r="FL281" s="249"/>
      <c r="FO281" s="249"/>
      <c r="FR281" s="249"/>
      <c r="FU281" s="249"/>
      <c r="FX281" s="249"/>
      <c r="GA281" s="249"/>
      <c r="GD281" s="249"/>
      <c r="GG281" s="249"/>
      <c r="GJ281" s="249"/>
      <c r="GM281" s="249"/>
      <c r="GP281" s="249"/>
      <c r="GS281" s="249"/>
      <c r="GV281" s="249"/>
      <c r="GY281" s="249"/>
      <c r="HB281" s="249"/>
      <c r="HE281" s="249"/>
    </row>
    <row r="282" spans="1:213" x14ac:dyDescent="0.2">
      <c r="A282" s="263" t="s">
        <v>577</v>
      </c>
      <c r="B282" s="283">
        <v>1.5</v>
      </c>
      <c r="C282" s="249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W282" s="249"/>
      <c r="Z282" s="249"/>
      <c r="AC282" s="249"/>
      <c r="AD282" s="249"/>
      <c r="AE282" s="249"/>
      <c r="AF282" s="249"/>
      <c r="AG282" s="249"/>
      <c r="AJ282" s="249"/>
      <c r="AM282" s="249"/>
      <c r="AP282" s="249"/>
      <c r="AS282" s="249"/>
      <c r="AV282" s="249"/>
      <c r="AY282" s="249"/>
      <c r="BB282" s="249"/>
      <c r="BE282" s="249"/>
      <c r="BH282" s="249"/>
      <c r="BK282" s="249"/>
      <c r="BN282" s="249"/>
      <c r="BQ282" s="249"/>
      <c r="BT282" s="249"/>
      <c r="BW282" s="249"/>
      <c r="BZ282" s="249"/>
      <c r="CC282" s="249"/>
      <c r="CF282" s="249"/>
      <c r="CI282" s="249"/>
      <c r="CL282" s="249"/>
      <c r="CO282" s="249"/>
      <c r="CR282" s="249"/>
      <c r="CU282" s="249"/>
      <c r="CX282" s="249"/>
      <c r="DA282" s="249"/>
      <c r="DD282" s="249"/>
      <c r="DG282" s="249"/>
      <c r="DJ282" s="249"/>
      <c r="DM282" s="249"/>
      <c r="DP282" s="249"/>
      <c r="DS282" s="249"/>
      <c r="DV282" s="249"/>
      <c r="DY282" s="249"/>
      <c r="EB282" s="249"/>
      <c r="EE282" s="249"/>
      <c r="EH282" s="249"/>
      <c r="EK282" s="249"/>
      <c r="EN282" s="249"/>
      <c r="EQ282" s="249"/>
      <c r="ET282" s="249"/>
      <c r="EW282" s="249"/>
      <c r="EZ282" s="249"/>
      <c r="FC282" s="249"/>
      <c r="FF282" s="249"/>
      <c r="FI282" s="249"/>
      <c r="FL282" s="249"/>
      <c r="FO282" s="249"/>
      <c r="FR282" s="249"/>
      <c r="FU282" s="249"/>
      <c r="FX282" s="249"/>
      <c r="GA282" s="249"/>
      <c r="GD282" s="249"/>
      <c r="GG282" s="249"/>
      <c r="GJ282" s="249"/>
      <c r="GM282" s="249"/>
      <c r="GP282" s="249"/>
      <c r="GS282" s="249"/>
      <c r="GV282" s="249"/>
      <c r="GY282" s="249"/>
      <c r="HB282" s="249"/>
      <c r="HE282" s="249"/>
    </row>
    <row r="283" spans="1:213" x14ac:dyDescent="0.2">
      <c r="A283" s="249" t="s">
        <v>100</v>
      </c>
      <c r="B283" s="283">
        <v>0.3</v>
      </c>
      <c r="C283" s="249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W283" s="249"/>
      <c r="Z283" s="249"/>
      <c r="AC283" s="249"/>
      <c r="AD283" s="249"/>
      <c r="AE283" s="249"/>
      <c r="AF283" s="249"/>
      <c r="AG283" s="249"/>
      <c r="AJ283" s="249"/>
      <c r="AM283" s="249"/>
      <c r="AP283" s="249"/>
      <c r="AS283" s="249"/>
      <c r="AV283" s="249"/>
      <c r="AY283" s="249"/>
      <c r="BB283" s="249"/>
      <c r="BE283" s="249"/>
      <c r="BH283" s="249"/>
      <c r="BK283" s="249"/>
      <c r="BN283" s="249"/>
      <c r="BQ283" s="249"/>
      <c r="BT283" s="249"/>
      <c r="BW283" s="249"/>
      <c r="BZ283" s="249"/>
      <c r="CC283" s="249"/>
      <c r="CF283" s="249"/>
      <c r="CI283" s="249"/>
      <c r="CL283" s="249"/>
      <c r="CO283" s="249"/>
      <c r="CR283" s="249"/>
      <c r="CU283" s="249"/>
      <c r="CX283" s="249"/>
      <c r="DA283" s="249"/>
      <c r="DD283" s="249"/>
      <c r="DG283" s="249"/>
      <c r="DJ283" s="249"/>
      <c r="DM283" s="249"/>
      <c r="DP283" s="249"/>
      <c r="DS283" s="249"/>
      <c r="DV283" s="249"/>
      <c r="DY283" s="249"/>
      <c r="EB283" s="249"/>
      <c r="EE283" s="249"/>
      <c r="EH283" s="249"/>
      <c r="EK283" s="249"/>
      <c r="EN283" s="249"/>
      <c r="EQ283" s="249"/>
      <c r="ET283" s="249"/>
      <c r="EW283" s="249"/>
      <c r="EZ283" s="249"/>
      <c r="FC283" s="249"/>
      <c r="FF283" s="249"/>
      <c r="FI283" s="249"/>
      <c r="FL283" s="249"/>
      <c r="FO283" s="249"/>
      <c r="FR283" s="249"/>
      <c r="FU283" s="249"/>
      <c r="FX283" s="249"/>
      <c r="GA283" s="249"/>
      <c r="GD283" s="249"/>
      <c r="GG283" s="249"/>
      <c r="GJ283" s="249"/>
      <c r="GM283" s="249"/>
      <c r="GP283" s="249"/>
      <c r="GS283" s="249"/>
      <c r="GV283" s="249"/>
      <c r="GY283" s="249"/>
      <c r="HB283" s="249"/>
      <c r="HE283" s="249"/>
    </row>
    <row r="284" spans="1:213" x14ac:dyDescent="0.2">
      <c r="A284" s="249" t="s">
        <v>107</v>
      </c>
      <c r="B284" s="283">
        <v>26</v>
      </c>
      <c r="C284" s="249" t="s">
        <v>69</v>
      </c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W284" s="249"/>
      <c r="Z284" s="249"/>
      <c r="AC284" s="249"/>
      <c r="AD284" s="249"/>
      <c r="AE284" s="249"/>
      <c r="AF284" s="249"/>
      <c r="AG284" s="249"/>
      <c r="AJ284" s="249"/>
      <c r="AM284" s="249"/>
      <c r="AP284" s="249"/>
      <c r="AS284" s="249"/>
      <c r="AV284" s="249"/>
      <c r="AY284" s="249"/>
      <c r="BB284" s="249"/>
      <c r="BE284" s="249"/>
      <c r="BH284" s="249"/>
      <c r="BK284" s="249"/>
      <c r="BN284" s="249"/>
      <c r="BQ284" s="249"/>
      <c r="BT284" s="249"/>
      <c r="BW284" s="249"/>
      <c r="BZ284" s="249"/>
      <c r="CC284" s="249"/>
      <c r="CF284" s="249"/>
      <c r="CI284" s="249"/>
      <c r="CL284" s="249"/>
      <c r="CO284" s="249"/>
      <c r="CR284" s="249"/>
      <c r="CU284" s="249"/>
      <c r="CX284" s="249"/>
      <c r="DA284" s="249"/>
      <c r="DD284" s="249"/>
      <c r="DG284" s="249"/>
      <c r="DJ284" s="249"/>
      <c r="DM284" s="249"/>
      <c r="DP284" s="249"/>
      <c r="DS284" s="249"/>
      <c r="DV284" s="249"/>
      <c r="DY284" s="249"/>
      <c r="EB284" s="249"/>
      <c r="EE284" s="249"/>
      <c r="EH284" s="249"/>
      <c r="EK284" s="249"/>
      <c r="EN284" s="249"/>
      <c r="EQ284" s="249"/>
      <c r="ET284" s="249"/>
      <c r="EW284" s="249"/>
      <c r="EZ284" s="249"/>
      <c r="FC284" s="249"/>
      <c r="FF284" s="249"/>
      <c r="FI284" s="249"/>
      <c r="FL284" s="249"/>
      <c r="FO284" s="249"/>
      <c r="FR284" s="249"/>
      <c r="FU284" s="249"/>
      <c r="FX284" s="249"/>
      <c r="GA284" s="249"/>
      <c r="GD284" s="249"/>
      <c r="GG284" s="249"/>
      <c r="GJ284" s="249"/>
      <c r="GM284" s="249"/>
      <c r="GP284" s="249"/>
      <c r="GS284" s="249"/>
      <c r="GV284" s="249"/>
      <c r="GY284" s="249"/>
      <c r="HB284" s="249"/>
      <c r="HE284" s="249"/>
    </row>
    <row r="285" spans="1:213" x14ac:dyDescent="0.2">
      <c r="A285" s="263" t="s">
        <v>39</v>
      </c>
      <c r="B285" s="283">
        <v>70</v>
      </c>
      <c r="C285" s="249" t="s">
        <v>69</v>
      </c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W285" s="249"/>
      <c r="Z285" s="249"/>
      <c r="AC285" s="249"/>
      <c r="AD285" s="249"/>
      <c r="AE285" s="249"/>
      <c r="AF285" s="249"/>
      <c r="AG285" s="249"/>
      <c r="AJ285" s="249"/>
      <c r="AM285" s="249"/>
      <c r="AP285" s="249"/>
      <c r="AS285" s="249"/>
      <c r="AV285" s="249"/>
      <c r="AY285" s="249"/>
      <c r="BB285" s="249"/>
      <c r="BE285" s="249"/>
      <c r="BH285" s="249"/>
      <c r="BK285" s="249"/>
      <c r="BN285" s="249"/>
      <c r="BQ285" s="249"/>
      <c r="BT285" s="249"/>
      <c r="BW285" s="249"/>
      <c r="BZ285" s="249"/>
      <c r="CC285" s="249"/>
      <c r="CF285" s="249"/>
      <c r="CI285" s="249"/>
      <c r="CL285" s="249"/>
      <c r="CO285" s="249"/>
      <c r="CR285" s="249"/>
      <c r="CU285" s="249"/>
      <c r="CX285" s="249"/>
      <c r="DA285" s="249"/>
      <c r="DD285" s="249"/>
      <c r="DG285" s="249"/>
      <c r="DJ285" s="249"/>
      <c r="DM285" s="249"/>
      <c r="DP285" s="249"/>
      <c r="DS285" s="249"/>
      <c r="DV285" s="249"/>
      <c r="DY285" s="249"/>
      <c r="EB285" s="249"/>
      <c r="EE285" s="249"/>
      <c r="EH285" s="249"/>
      <c r="EK285" s="249"/>
      <c r="EN285" s="249"/>
      <c r="EQ285" s="249"/>
      <c r="ET285" s="249"/>
      <c r="EW285" s="249"/>
      <c r="EZ285" s="249"/>
      <c r="FC285" s="249"/>
      <c r="FF285" s="249"/>
      <c r="FI285" s="249"/>
      <c r="FL285" s="249"/>
      <c r="FO285" s="249"/>
      <c r="FR285" s="249"/>
      <c r="FU285" s="249"/>
      <c r="FX285" s="249"/>
      <c r="GA285" s="249"/>
      <c r="GD285" s="249"/>
      <c r="GG285" s="249"/>
      <c r="GJ285" s="249"/>
      <c r="GM285" s="249"/>
      <c r="GP285" s="249"/>
      <c r="GS285" s="249"/>
      <c r="GV285" s="249"/>
      <c r="GY285" s="249"/>
      <c r="HB285" s="249"/>
      <c r="HE285" s="249"/>
    </row>
    <row r="286" spans="1:213" x14ac:dyDescent="0.2">
      <c r="A286" s="263" t="s">
        <v>83</v>
      </c>
      <c r="B286" s="283">
        <v>1</v>
      </c>
      <c r="C286" s="249" t="s">
        <v>108</v>
      </c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W286" s="249"/>
      <c r="Z286" s="249"/>
      <c r="AC286" s="249"/>
      <c r="AD286" s="249"/>
      <c r="AE286" s="249"/>
      <c r="AF286" s="249"/>
      <c r="AG286" s="249"/>
      <c r="AJ286" s="249"/>
      <c r="AM286" s="249"/>
      <c r="AP286" s="249"/>
      <c r="AS286" s="249"/>
      <c r="AV286" s="249"/>
      <c r="AY286" s="249"/>
      <c r="BB286" s="249"/>
      <c r="BE286" s="249"/>
      <c r="BH286" s="249"/>
      <c r="BK286" s="249"/>
      <c r="BN286" s="249"/>
      <c r="BQ286" s="249"/>
      <c r="BT286" s="249"/>
      <c r="BW286" s="249"/>
      <c r="BZ286" s="249"/>
      <c r="CC286" s="249"/>
      <c r="CF286" s="249"/>
      <c r="CI286" s="249"/>
      <c r="CL286" s="249"/>
      <c r="CO286" s="249"/>
      <c r="CR286" s="249"/>
      <c r="CU286" s="249"/>
      <c r="CX286" s="249"/>
      <c r="DA286" s="249"/>
      <c r="DD286" s="249"/>
      <c r="DG286" s="249"/>
      <c r="DJ286" s="249"/>
      <c r="DM286" s="249"/>
      <c r="DP286" s="249"/>
      <c r="DS286" s="249"/>
      <c r="DV286" s="249"/>
      <c r="DY286" s="249"/>
      <c r="EB286" s="249"/>
      <c r="EE286" s="249"/>
      <c r="EH286" s="249"/>
      <c r="EK286" s="249"/>
      <c r="EN286" s="249"/>
      <c r="EQ286" s="249"/>
      <c r="ET286" s="249"/>
      <c r="EW286" s="249"/>
      <c r="EZ286" s="249"/>
      <c r="FC286" s="249"/>
      <c r="FF286" s="249"/>
      <c r="FI286" s="249"/>
      <c r="FL286" s="249"/>
      <c r="FO286" s="249"/>
      <c r="FR286" s="249"/>
      <c r="FU286" s="249"/>
      <c r="FX286" s="249"/>
      <c r="GA286" s="249"/>
      <c r="GD286" s="249"/>
      <c r="GG286" s="249"/>
      <c r="GJ286" s="249"/>
      <c r="GM286" s="249"/>
      <c r="GP286" s="249"/>
      <c r="GS286" s="249"/>
      <c r="GV286" s="249"/>
      <c r="GY286" s="249"/>
      <c r="HB286" s="249"/>
      <c r="HE286" s="249"/>
    </row>
    <row r="287" spans="1:213" x14ac:dyDescent="0.2">
      <c r="A287" s="249" t="s">
        <v>109</v>
      </c>
      <c r="B287" s="283">
        <v>1</v>
      </c>
      <c r="C287" s="249" t="s">
        <v>110</v>
      </c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W287" s="249"/>
      <c r="Z287" s="249"/>
      <c r="AC287" s="249"/>
      <c r="AD287" s="249"/>
      <c r="AE287" s="249"/>
      <c r="AF287" s="249"/>
      <c r="AG287" s="249"/>
      <c r="AJ287" s="249"/>
      <c r="AM287" s="249"/>
      <c r="AP287" s="249"/>
      <c r="AS287" s="249"/>
      <c r="AV287" s="249"/>
      <c r="AY287" s="249"/>
      <c r="BB287" s="249"/>
      <c r="BE287" s="249"/>
      <c r="BH287" s="249"/>
      <c r="BK287" s="249"/>
      <c r="BN287" s="249"/>
      <c r="BQ287" s="249"/>
      <c r="BT287" s="249"/>
      <c r="BW287" s="249"/>
      <c r="BZ287" s="249"/>
      <c r="CC287" s="249"/>
      <c r="CF287" s="249"/>
      <c r="CI287" s="249"/>
      <c r="CL287" s="249"/>
      <c r="CO287" s="249"/>
      <c r="CR287" s="249"/>
      <c r="CU287" s="249"/>
      <c r="CX287" s="249"/>
      <c r="DA287" s="249"/>
      <c r="DD287" s="249"/>
      <c r="DG287" s="249"/>
      <c r="DJ287" s="249"/>
      <c r="DM287" s="249"/>
      <c r="DP287" s="249"/>
      <c r="DS287" s="249"/>
      <c r="DV287" s="249"/>
      <c r="DY287" s="249"/>
      <c r="EB287" s="249"/>
      <c r="EE287" s="249"/>
      <c r="EH287" s="249"/>
      <c r="EK287" s="249"/>
      <c r="EN287" s="249"/>
      <c r="EQ287" s="249"/>
      <c r="ET287" s="249"/>
      <c r="EW287" s="249"/>
      <c r="EZ287" s="249"/>
      <c r="FC287" s="249"/>
      <c r="FF287" s="249"/>
      <c r="FI287" s="249"/>
      <c r="FL287" s="249"/>
      <c r="FO287" s="249"/>
      <c r="FR287" s="249"/>
      <c r="FU287" s="249"/>
      <c r="FX287" s="249"/>
      <c r="GA287" s="249"/>
      <c r="GD287" s="249"/>
      <c r="GG287" s="249"/>
      <c r="GJ287" s="249"/>
      <c r="GM287" s="249"/>
      <c r="GP287" s="249"/>
      <c r="GS287" s="249"/>
      <c r="GV287" s="249"/>
      <c r="GY287" s="249"/>
      <c r="HB287" s="249"/>
      <c r="HE287" s="249"/>
    </row>
    <row r="288" spans="1:213" x14ac:dyDescent="0.2">
      <c r="A288" s="249" t="s">
        <v>114</v>
      </c>
      <c r="B288" s="283">
        <v>0.18</v>
      </c>
      <c r="C288" s="249" t="s">
        <v>108</v>
      </c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W288" s="249"/>
      <c r="Z288" s="249"/>
      <c r="AC288" s="249"/>
      <c r="AD288" s="249"/>
      <c r="AE288" s="249"/>
      <c r="AF288" s="249"/>
      <c r="AG288" s="249"/>
      <c r="AJ288" s="249"/>
      <c r="AM288" s="249"/>
      <c r="AP288" s="249"/>
      <c r="AS288" s="249"/>
      <c r="AV288" s="249"/>
      <c r="AY288" s="249"/>
      <c r="BB288" s="249"/>
      <c r="BE288" s="249"/>
      <c r="BH288" s="249"/>
      <c r="BK288" s="249"/>
      <c r="BN288" s="249"/>
      <c r="BQ288" s="249"/>
      <c r="BT288" s="249"/>
      <c r="BW288" s="249"/>
      <c r="BZ288" s="249"/>
      <c r="CC288" s="249"/>
      <c r="CF288" s="249"/>
      <c r="CI288" s="249"/>
      <c r="CL288" s="249"/>
      <c r="CO288" s="249"/>
      <c r="CR288" s="249"/>
      <c r="CU288" s="249"/>
      <c r="CX288" s="249"/>
      <c r="DA288" s="249"/>
      <c r="DD288" s="249"/>
      <c r="DG288" s="249"/>
      <c r="DJ288" s="249"/>
      <c r="DM288" s="249"/>
      <c r="DP288" s="249"/>
      <c r="DS288" s="249"/>
      <c r="DV288" s="249"/>
      <c r="DY288" s="249"/>
      <c r="EB288" s="249"/>
      <c r="EE288" s="249"/>
      <c r="EH288" s="249"/>
      <c r="EK288" s="249"/>
      <c r="EN288" s="249"/>
      <c r="EQ288" s="249"/>
      <c r="ET288" s="249"/>
      <c r="EW288" s="249"/>
      <c r="EZ288" s="249"/>
      <c r="FC288" s="249"/>
      <c r="FF288" s="249"/>
      <c r="FI288" s="249"/>
      <c r="FL288" s="249"/>
      <c r="FO288" s="249"/>
      <c r="FR288" s="249"/>
      <c r="FU288" s="249"/>
      <c r="FX288" s="249"/>
      <c r="GA288" s="249"/>
      <c r="GD288" s="249"/>
      <c r="GG288" s="249"/>
      <c r="GJ288" s="249"/>
      <c r="GM288" s="249"/>
      <c r="GP288" s="249"/>
      <c r="GS288" s="249"/>
      <c r="GV288" s="249"/>
      <c r="GY288" s="249"/>
      <c r="HB288" s="249"/>
      <c r="HE288" s="249"/>
    </row>
    <row r="289" spans="1:213" x14ac:dyDescent="0.2">
      <c r="A289" s="249" t="s">
        <v>116</v>
      </c>
      <c r="B289" s="283">
        <v>1</v>
      </c>
      <c r="C289" s="249" t="s">
        <v>113</v>
      </c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W289" s="249"/>
      <c r="Z289" s="249"/>
      <c r="AC289" s="249"/>
      <c r="AD289" s="249"/>
      <c r="AE289" s="249"/>
      <c r="AF289" s="249"/>
      <c r="AG289" s="249"/>
      <c r="AJ289" s="249"/>
      <c r="AM289" s="249"/>
      <c r="AP289" s="249"/>
      <c r="AS289" s="249"/>
      <c r="AV289" s="249"/>
      <c r="AY289" s="249"/>
      <c r="BB289" s="249"/>
      <c r="BE289" s="249"/>
      <c r="BH289" s="249"/>
      <c r="BK289" s="249"/>
      <c r="BN289" s="249"/>
      <c r="BQ289" s="249"/>
      <c r="BT289" s="249"/>
      <c r="BW289" s="249"/>
      <c r="BZ289" s="249"/>
      <c r="CC289" s="249"/>
      <c r="CF289" s="249"/>
      <c r="CI289" s="249"/>
      <c r="CL289" s="249"/>
      <c r="CO289" s="249"/>
      <c r="CR289" s="249"/>
      <c r="CU289" s="249"/>
      <c r="CX289" s="249"/>
      <c r="DA289" s="249"/>
      <c r="DD289" s="249"/>
      <c r="DG289" s="249"/>
      <c r="DJ289" s="249"/>
      <c r="DM289" s="249"/>
      <c r="DP289" s="249"/>
      <c r="DS289" s="249"/>
      <c r="DV289" s="249"/>
      <c r="DY289" s="249"/>
      <c r="EB289" s="249"/>
      <c r="EE289" s="249"/>
      <c r="EH289" s="249"/>
      <c r="EK289" s="249"/>
      <c r="EN289" s="249"/>
      <c r="EQ289" s="249"/>
      <c r="ET289" s="249"/>
      <c r="EW289" s="249"/>
      <c r="EZ289" s="249"/>
      <c r="FC289" s="249"/>
      <c r="FF289" s="249"/>
      <c r="FI289" s="249"/>
      <c r="FL289" s="249"/>
      <c r="FO289" s="249"/>
      <c r="FR289" s="249"/>
      <c r="FU289" s="249"/>
      <c r="FX289" s="249"/>
      <c r="GA289" s="249"/>
      <c r="GD289" s="249"/>
      <c r="GG289" s="249"/>
      <c r="GJ289" s="249"/>
      <c r="GM289" s="249"/>
      <c r="GP289" s="249"/>
      <c r="GS289" s="249"/>
      <c r="GV289" s="249"/>
      <c r="GY289" s="249"/>
      <c r="HB289" s="249"/>
      <c r="HE289" s="249"/>
    </row>
    <row r="290" spans="1:213" x14ac:dyDescent="0.2">
      <c r="A290" s="249" t="s">
        <v>118</v>
      </c>
      <c r="B290" s="283">
        <v>1</v>
      </c>
      <c r="C290" s="249" t="s">
        <v>113</v>
      </c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W290" s="249"/>
      <c r="Z290" s="249"/>
      <c r="AC290" s="249"/>
      <c r="AD290" s="249"/>
      <c r="AE290" s="249"/>
      <c r="AF290" s="249"/>
      <c r="AG290" s="249"/>
      <c r="AJ290" s="249"/>
      <c r="AM290" s="249"/>
      <c r="AP290" s="249"/>
      <c r="AS290" s="249"/>
      <c r="AV290" s="249"/>
      <c r="AY290" s="249"/>
      <c r="BB290" s="249"/>
      <c r="BE290" s="249"/>
      <c r="BH290" s="249"/>
      <c r="BK290" s="249"/>
      <c r="BN290" s="249"/>
      <c r="BQ290" s="249"/>
      <c r="BT290" s="249"/>
      <c r="BW290" s="249"/>
      <c r="BZ290" s="249"/>
      <c r="CC290" s="249"/>
      <c r="CF290" s="249"/>
      <c r="CI290" s="249"/>
      <c r="CL290" s="249"/>
      <c r="CO290" s="249"/>
      <c r="CR290" s="249"/>
      <c r="CU290" s="249"/>
      <c r="CX290" s="249"/>
      <c r="DA290" s="249"/>
      <c r="DD290" s="249"/>
      <c r="DG290" s="249"/>
      <c r="DJ290" s="249"/>
      <c r="DM290" s="249"/>
      <c r="DP290" s="249"/>
      <c r="DS290" s="249"/>
      <c r="DV290" s="249"/>
      <c r="DY290" s="249"/>
      <c r="EB290" s="249"/>
      <c r="EE290" s="249"/>
      <c r="EH290" s="249"/>
      <c r="EK290" s="249"/>
      <c r="EN290" s="249"/>
      <c r="EQ290" s="249"/>
      <c r="ET290" s="249"/>
      <c r="EW290" s="249"/>
      <c r="EZ290" s="249"/>
      <c r="FC290" s="249"/>
      <c r="FF290" s="249"/>
      <c r="FI290" s="249"/>
      <c r="FL290" s="249"/>
      <c r="FO290" s="249"/>
      <c r="FR290" s="249"/>
      <c r="FU290" s="249"/>
      <c r="FX290" s="249"/>
      <c r="GA290" s="249"/>
      <c r="GD290" s="249"/>
      <c r="GG290" s="249"/>
      <c r="GJ290" s="249"/>
      <c r="GM290" s="249"/>
      <c r="GP290" s="249"/>
      <c r="GS290" s="249"/>
      <c r="GV290" s="249"/>
      <c r="GY290" s="249"/>
      <c r="HB290" s="249"/>
      <c r="HE290" s="249"/>
    </row>
    <row r="291" spans="1:213" x14ac:dyDescent="0.2">
      <c r="A291" s="249" t="s">
        <v>119</v>
      </c>
      <c r="B291" s="283">
        <v>1</v>
      </c>
      <c r="C291" s="249" t="s">
        <v>113</v>
      </c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W291" s="249"/>
      <c r="Z291" s="249"/>
      <c r="AC291" s="249"/>
      <c r="AD291" s="249"/>
      <c r="AE291" s="249"/>
      <c r="AF291" s="249"/>
      <c r="AG291" s="249"/>
      <c r="AJ291" s="249"/>
      <c r="AM291" s="249"/>
      <c r="AP291" s="249"/>
      <c r="AS291" s="249"/>
      <c r="AV291" s="249"/>
      <c r="AY291" s="249"/>
      <c r="BB291" s="249"/>
      <c r="BE291" s="249"/>
      <c r="BH291" s="249"/>
      <c r="BK291" s="249"/>
      <c r="BN291" s="249"/>
      <c r="BQ291" s="249"/>
      <c r="BT291" s="249"/>
      <c r="BW291" s="249"/>
      <c r="BZ291" s="249"/>
      <c r="CC291" s="249"/>
      <c r="CF291" s="249"/>
      <c r="CI291" s="249"/>
      <c r="CL291" s="249"/>
      <c r="CO291" s="249"/>
      <c r="CR291" s="249"/>
      <c r="CU291" s="249"/>
      <c r="CX291" s="249"/>
      <c r="DA291" s="249"/>
      <c r="DD291" s="249"/>
      <c r="DG291" s="249"/>
      <c r="DJ291" s="249"/>
      <c r="DM291" s="249"/>
      <c r="DP291" s="249"/>
      <c r="DS291" s="249"/>
      <c r="DV291" s="249"/>
      <c r="DY291" s="249"/>
      <c r="EB291" s="249"/>
      <c r="EE291" s="249"/>
      <c r="EH291" s="249"/>
      <c r="EK291" s="249"/>
      <c r="EN291" s="249"/>
      <c r="EQ291" s="249"/>
      <c r="ET291" s="249"/>
      <c r="EW291" s="249"/>
      <c r="EZ291" s="249"/>
      <c r="FC291" s="249"/>
      <c r="FF291" s="249"/>
      <c r="FI291" s="249"/>
      <c r="FL291" s="249"/>
      <c r="FO291" s="249"/>
      <c r="FR291" s="249"/>
      <c r="FU291" s="249"/>
      <c r="FX291" s="249"/>
      <c r="GA291" s="249"/>
      <c r="GD291" s="249"/>
      <c r="GG291" s="249"/>
      <c r="GJ291" s="249"/>
      <c r="GM291" s="249"/>
      <c r="GP291" s="249"/>
      <c r="GS291" s="249"/>
      <c r="GV291" s="249"/>
      <c r="GY291" s="249"/>
      <c r="HB291" s="249"/>
      <c r="HE291" s="249"/>
    </row>
  </sheetData>
  <mergeCells count="335">
    <mergeCell ref="CC35:CG38"/>
    <mergeCell ref="BK40:BO43"/>
    <mergeCell ref="AF42:AH44"/>
    <mergeCell ref="A281:C281"/>
    <mergeCell ref="FW1:FY1"/>
    <mergeCell ref="D41:F41"/>
    <mergeCell ref="BA21:BA23"/>
    <mergeCell ref="BB21:BB23"/>
    <mergeCell ref="BC21:BC23"/>
    <mergeCell ref="BD21:BD23"/>
    <mergeCell ref="BE21:BE23"/>
    <mergeCell ref="BF21:BF23"/>
    <mergeCell ref="BJ21:BJ23"/>
    <mergeCell ref="BK21:BK23"/>
    <mergeCell ref="BL21:BL23"/>
    <mergeCell ref="AL21:AL23"/>
    <mergeCell ref="AM21:AM23"/>
    <mergeCell ref="AN21:AN23"/>
    <mergeCell ref="AR21:AR23"/>
    <mergeCell ref="AS21:AS23"/>
    <mergeCell ref="AT21:AT23"/>
    <mergeCell ref="AU21:AU23"/>
    <mergeCell ref="AV21:AV23"/>
    <mergeCell ref="BD20:BF20"/>
    <mergeCell ref="BJ20:BL20"/>
    <mergeCell ref="AW21:AW23"/>
    <mergeCell ref="M21:M23"/>
    <mergeCell ref="N21:N23"/>
    <mergeCell ref="O21:O23"/>
    <mergeCell ref="P21:P23"/>
    <mergeCell ref="Q21:Q23"/>
    <mergeCell ref="R21:R23"/>
    <mergeCell ref="AI21:AI23"/>
    <mergeCell ref="AJ21:AJ23"/>
    <mergeCell ref="AK21:AK23"/>
    <mergeCell ref="V23:X23"/>
    <mergeCell ref="Y23:AA23"/>
    <mergeCell ref="A230:C230"/>
    <mergeCell ref="AR2:AR4"/>
    <mergeCell ref="Q2:Q4"/>
    <mergeCell ref="R2:R4"/>
    <mergeCell ref="S2:S4"/>
    <mergeCell ref="T2:T4"/>
    <mergeCell ref="U2:U4"/>
    <mergeCell ref="V1:X1"/>
    <mergeCell ref="Y1:AA1"/>
    <mergeCell ref="AB1:AB4"/>
    <mergeCell ref="AI1:AK1"/>
    <mergeCell ref="AL1:AN1"/>
    <mergeCell ref="AO1:AQ1"/>
    <mergeCell ref="AR1:AT1"/>
    <mergeCell ref="M20:O20"/>
    <mergeCell ref="P20:R20"/>
    <mergeCell ref="AI20:AK20"/>
    <mergeCell ref="AL20:AN20"/>
    <mergeCell ref="AR20:AT20"/>
    <mergeCell ref="D29:F29"/>
    <mergeCell ref="AN2:AN4"/>
    <mergeCell ref="AO2:AO4"/>
    <mergeCell ref="AP2:AP4"/>
    <mergeCell ref="AQ2:AQ4"/>
    <mergeCell ref="A132:C132"/>
    <mergeCell ref="A218:C218"/>
    <mergeCell ref="AU20:AW20"/>
    <mergeCell ref="BA20:BC20"/>
    <mergeCell ref="BB2:BB4"/>
    <mergeCell ref="BC2:BC4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242:C242"/>
    <mergeCell ref="A254:C254"/>
    <mergeCell ref="A268:C268"/>
    <mergeCell ref="D1:F1"/>
    <mergeCell ref="G1:I1"/>
    <mergeCell ref="J1:L1"/>
    <mergeCell ref="M1:O1"/>
    <mergeCell ref="P1:R1"/>
    <mergeCell ref="S1:U1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A1:C1"/>
    <mergeCell ref="A50:C50"/>
    <mergeCell ref="A98:C98"/>
    <mergeCell ref="A14:C17"/>
    <mergeCell ref="A2:C2"/>
    <mergeCell ref="AS2:AS4"/>
    <mergeCell ref="AT2:AT4"/>
    <mergeCell ref="AU2:AU4"/>
    <mergeCell ref="AV2:AV4"/>
    <mergeCell ref="AW2:AW4"/>
    <mergeCell ref="AX2:AX4"/>
    <mergeCell ref="AY2:AY4"/>
    <mergeCell ref="BA1:BC1"/>
    <mergeCell ref="BD1:BF1"/>
    <mergeCell ref="BD2:BD4"/>
    <mergeCell ref="BE2:BE4"/>
    <mergeCell ref="BF2:BF4"/>
    <mergeCell ref="AU1:AW1"/>
    <mergeCell ref="AX1:AZ1"/>
    <mergeCell ref="AZ2:AZ4"/>
    <mergeCell ref="BA2:BA4"/>
    <mergeCell ref="BG1:BI1"/>
    <mergeCell ref="BJ1:BL1"/>
    <mergeCell ref="BM1:BO1"/>
    <mergeCell ref="BP1:BR1"/>
    <mergeCell ref="BS1:BU1"/>
    <mergeCell ref="BV1:BX1"/>
    <mergeCell ref="BY1:CA1"/>
    <mergeCell ref="CB1:CD1"/>
    <mergeCell ref="CE1:CG1"/>
    <mergeCell ref="CH1:CJ1"/>
    <mergeCell ref="CK1:CM1"/>
    <mergeCell ref="CN1:CP1"/>
    <mergeCell ref="CQ1:CS1"/>
    <mergeCell ref="CT1:CV1"/>
    <mergeCell ref="CW1:CY1"/>
    <mergeCell ref="CZ1:DB1"/>
    <mergeCell ref="DC1:DE1"/>
    <mergeCell ref="DF1:DH1"/>
    <mergeCell ref="DI1:DK1"/>
    <mergeCell ref="DL1:DN1"/>
    <mergeCell ref="DO1:DQ1"/>
    <mergeCell ref="DR1:DT1"/>
    <mergeCell ref="DU1:DW1"/>
    <mergeCell ref="DX1:DZ1"/>
    <mergeCell ref="EA1:EC1"/>
    <mergeCell ref="ED1:EF1"/>
    <mergeCell ref="EG1:EI1"/>
    <mergeCell ref="EJ1:EL1"/>
    <mergeCell ref="EM1:EO1"/>
    <mergeCell ref="EP1:ER1"/>
    <mergeCell ref="ES1:EU1"/>
    <mergeCell ref="EV1:EX1"/>
    <mergeCell ref="EY1:FA1"/>
    <mergeCell ref="FB1:FD1"/>
    <mergeCell ref="FE1:FG1"/>
    <mergeCell ref="FH1:FJ1"/>
    <mergeCell ref="FK1:FM1"/>
    <mergeCell ref="FN1:FP1"/>
    <mergeCell ref="FQ1:FS1"/>
    <mergeCell ref="FT1:FV1"/>
    <mergeCell ref="FZ1:GB1"/>
    <mergeCell ref="GC1:GE1"/>
    <mergeCell ref="GF1:GH1"/>
    <mergeCell ref="GI1:GK1"/>
    <mergeCell ref="GL1:GN1"/>
    <mergeCell ref="GO1:GQ1"/>
    <mergeCell ref="GR1:GT1"/>
    <mergeCell ref="GU1:GW1"/>
    <mergeCell ref="GX1:GZ1"/>
    <mergeCell ref="HA1:HC1"/>
    <mergeCell ref="HD1:HF1"/>
    <mergeCell ref="BG2:BG4"/>
    <mergeCell ref="BH2:BH4"/>
    <mergeCell ref="BI2:BI4"/>
    <mergeCell ref="BJ2:BJ4"/>
    <mergeCell ref="BK2:BK4"/>
    <mergeCell ref="BL2:BL4"/>
    <mergeCell ref="BM2:BM4"/>
    <mergeCell ref="BN2:BN4"/>
    <mergeCell ref="BO2:BO4"/>
    <mergeCell ref="BP2:BP4"/>
    <mergeCell ref="BQ2:BQ4"/>
    <mergeCell ref="BR2:BR4"/>
    <mergeCell ref="BV2:BV4"/>
    <mergeCell ref="BW2:BW4"/>
    <mergeCell ref="BX2:BX4"/>
    <mergeCell ref="BY2:BY4"/>
    <mergeCell ref="BZ2:BZ4"/>
    <mergeCell ref="CA2:CA4"/>
    <mergeCell ref="CB2:CB4"/>
    <mergeCell ref="CC2:CC4"/>
    <mergeCell ref="CD2:CD4"/>
    <mergeCell ref="CE2:CE4"/>
    <mergeCell ref="CF2:CF4"/>
    <mergeCell ref="CG2:CG4"/>
    <mergeCell ref="CH2:CH4"/>
    <mergeCell ref="CI2:CI4"/>
    <mergeCell ref="CJ2:CJ4"/>
    <mergeCell ref="CK2:CK4"/>
    <mergeCell ref="CL2:CL4"/>
    <mergeCell ref="CM2:CM4"/>
    <mergeCell ref="CN2:CN4"/>
    <mergeCell ref="CO2:CO4"/>
    <mergeCell ref="CP2:CP4"/>
    <mergeCell ref="CQ2:CQ4"/>
    <mergeCell ref="CR2:CR4"/>
    <mergeCell ref="CS2:CS4"/>
    <mergeCell ref="DC2:DC4"/>
    <mergeCell ref="DD2:DD4"/>
    <mergeCell ref="DE2:DE4"/>
    <mergeCell ref="DF2:DF4"/>
    <mergeCell ref="DG2:DG4"/>
    <mergeCell ref="DH2:DH4"/>
    <mergeCell ref="DI2:DI4"/>
    <mergeCell ref="DJ2:DJ4"/>
    <mergeCell ref="DK2:DK4"/>
    <mergeCell ref="DL2:DL4"/>
    <mergeCell ref="DM2:DM4"/>
    <mergeCell ref="DN2:DN4"/>
    <mergeCell ref="DO2:DO4"/>
    <mergeCell ref="DP2:DP4"/>
    <mergeCell ref="DQ2:DQ4"/>
    <mergeCell ref="DR2:DR4"/>
    <mergeCell ref="DS2:DS4"/>
    <mergeCell ref="DT2:DT4"/>
    <mergeCell ref="DU2:DU4"/>
    <mergeCell ref="DV2:DV4"/>
    <mergeCell ref="DW2:DW4"/>
    <mergeCell ref="DX2:DX4"/>
    <mergeCell ref="DY2:DY4"/>
    <mergeCell ref="DZ2:DZ4"/>
    <mergeCell ref="EA2:EA4"/>
    <mergeCell ref="EB2:EB4"/>
    <mergeCell ref="EC2:EC4"/>
    <mergeCell ref="ED2:ED4"/>
    <mergeCell ref="EE2:EE4"/>
    <mergeCell ref="EF2:EF4"/>
    <mergeCell ref="EG2:EG4"/>
    <mergeCell ref="EH2:EH4"/>
    <mergeCell ref="EI2:EI4"/>
    <mergeCell ref="EJ2:EJ4"/>
    <mergeCell ref="EK2:EK4"/>
    <mergeCell ref="EL2:EL4"/>
    <mergeCell ref="EM2:EM4"/>
    <mergeCell ref="EN2:EN4"/>
    <mergeCell ref="EO2:EO4"/>
    <mergeCell ref="EP2:EP4"/>
    <mergeCell ref="EQ2:EQ4"/>
    <mergeCell ref="ER2:ER4"/>
    <mergeCell ref="ES2:ES4"/>
    <mergeCell ref="ET2:ET4"/>
    <mergeCell ref="EU2:EU4"/>
    <mergeCell ref="EV2:EV4"/>
    <mergeCell ref="EW2:EW4"/>
    <mergeCell ref="EX2:EX4"/>
    <mergeCell ref="EY2:EY4"/>
    <mergeCell ref="EZ2:EZ4"/>
    <mergeCell ref="FA2:FA4"/>
    <mergeCell ref="FB2:FB4"/>
    <mergeCell ref="FC2:FC4"/>
    <mergeCell ref="FD2:FD4"/>
    <mergeCell ref="FE2:FE4"/>
    <mergeCell ref="FF2:FF4"/>
    <mergeCell ref="FG2:FG4"/>
    <mergeCell ref="FH2:FH4"/>
    <mergeCell ref="FI2:FI4"/>
    <mergeCell ref="FJ2:FJ4"/>
    <mergeCell ref="FK2:FK4"/>
    <mergeCell ref="FL2:FL4"/>
    <mergeCell ref="FM2:FM4"/>
    <mergeCell ref="FN2:FN4"/>
    <mergeCell ref="FO2:FO4"/>
    <mergeCell ref="FP2:FP4"/>
    <mergeCell ref="FQ2:FQ4"/>
    <mergeCell ref="FR2:FR4"/>
    <mergeCell ref="FS2:FS4"/>
    <mergeCell ref="FT2:FT4"/>
    <mergeCell ref="FU2:FU4"/>
    <mergeCell ref="FV2:FV4"/>
    <mergeCell ref="GZ2:GZ4"/>
    <mergeCell ref="HA2:HA4"/>
    <mergeCell ref="HB2:HB4"/>
    <mergeCell ref="HC2:HC4"/>
    <mergeCell ref="CS19:CS21"/>
    <mergeCell ref="GO2:GO4"/>
    <mergeCell ref="GP2:GP4"/>
    <mergeCell ref="GQ2:GQ4"/>
    <mergeCell ref="GR2:GR4"/>
    <mergeCell ref="GS2:GS4"/>
    <mergeCell ref="GT2:GT4"/>
    <mergeCell ref="GU2:GU4"/>
    <mergeCell ref="GV2:GV4"/>
    <mergeCell ref="GW2:GW4"/>
    <mergeCell ref="GF2:GF4"/>
    <mergeCell ref="GG2:GG4"/>
    <mergeCell ref="GX2:GX4"/>
    <mergeCell ref="GY2:GY4"/>
    <mergeCell ref="GH2:GH4"/>
    <mergeCell ref="GI2:GI4"/>
    <mergeCell ref="GJ2:GJ4"/>
    <mergeCell ref="GK2:GK4"/>
    <mergeCell ref="GL2:GL4"/>
    <mergeCell ref="GM2:GM4"/>
    <mergeCell ref="GN2:GN4"/>
    <mergeCell ref="FW2:FW4"/>
    <mergeCell ref="FX2:FX4"/>
    <mergeCell ref="FY2:FY4"/>
    <mergeCell ref="FZ2:FZ4"/>
    <mergeCell ref="GA2:GA4"/>
    <mergeCell ref="GB2:GB4"/>
    <mergeCell ref="GC2:GC4"/>
    <mergeCell ref="GD2:GD4"/>
    <mergeCell ref="GE2:GE4"/>
    <mergeCell ref="CN18:CP18"/>
    <mergeCell ref="CQ18:CS18"/>
    <mergeCell ref="CK18:CM18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BM20:BO20"/>
    <mergeCell ref="BM21:BM23"/>
    <mergeCell ref="BN21:BN23"/>
    <mergeCell ref="BO21:BO23"/>
    <mergeCell ref="HD21:HF21"/>
    <mergeCell ref="CK19:CK21"/>
    <mergeCell ref="CL19:CL21"/>
    <mergeCell ref="CM19:CM21"/>
    <mergeCell ref="CN19:CN21"/>
    <mergeCell ref="CO19:CO21"/>
    <mergeCell ref="CP19:CP21"/>
    <mergeCell ref="CQ19:CQ21"/>
    <mergeCell ref="CR19:CR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1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53" bestFit="1" customWidth="1"/>
    <col min="2" max="2" width="9.85546875" style="53" bestFit="1" customWidth="1"/>
    <col min="3" max="3" width="20.140625" style="53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2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28515625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9.28515625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6.285156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.28515625" style="249" bestFit="1" customWidth="1"/>
    <col min="128" max="128" width="12" style="249" bestFit="1" customWidth="1"/>
    <col min="129" max="129" width="9.28515625" style="289" bestFit="1" customWidth="1"/>
    <col min="130" max="130" width="6.285156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.28515625" style="249" bestFit="1" customWidth="1"/>
    <col min="143" max="143" width="12" style="249" bestFit="1" customWidth="1"/>
    <col min="144" max="144" width="9.28515625" style="289" bestFit="1" customWidth="1"/>
    <col min="145" max="145" width="6.28515625" style="249" bestFit="1" customWidth="1"/>
    <col min="146" max="146" width="12" style="249" bestFit="1" customWidth="1"/>
    <col min="147" max="147" width="9.2851562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6.285156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6.285156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6.285156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6.285156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customHeight="1" thickTop="1" thickBot="1" x14ac:dyDescent="0.25">
      <c r="A1" s="691" t="s">
        <v>279</v>
      </c>
      <c r="B1" s="692"/>
      <c r="C1" s="693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4"/>
      <c r="P1" s="645" t="s">
        <v>512</v>
      </c>
      <c r="Q1" s="613"/>
      <c r="R1" s="614"/>
      <c r="S1" s="645" t="s">
        <v>513</v>
      </c>
      <c r="T1" s="613"/>
      <c r="U1" s="646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1/((1/H10)+(1/H11)+(1/H12)+(1/H13))</f>
        <v>4.3779262179128279E-4</v>
      </c>
      <c r="I2" s="625" t="s">
        <v>14</v>
      </c>
      <c r="J2" s="619" t="s">
        <v>507</v>
      </c>
      <c r="K2" s="623">
        <f>1/((1/K14)+(1/K15)+(1/K16+(1/K17)))</f>
        <v>6.2950564690597019E-3</v>
      </c>
      <c r="L2" s="621" t="s">
        <v>13</v>
      </c>
      <c r="M2" s="617" t="s">
        <v>516</v>
      </c>
      <c r="N2" s="647">
        <f>(N5*N6*N7)/((1-EXP(-N7*N6))*N10*N15*(N9/365)*N13*(((N14/24)*N12)+((N16/24)*N11)))</f>
        <v>1.3900842461540873E-2</v>
      </c>
      <c r="O2" s="689" t="s">
        <v>13</v>
      </c>
      <c r="P2" s="639" t="s">
        <v>516</v>
      </c>
      <c r="Q2" s="647">
        <f>(Q5*Q6*Q7)/((1-EXP(-Q7*Q6))*Q10*Q15*(Q9/365)*Q13*(((Q14/24)*Q12)+((Q16/24)*Q11)))</f>
        <v>7.4602575186562936E-2</v>
      </c>
      <c r="R2" s="637" t="s">
        <v>13</v>
      </c>
      <c r="S2" s="639" t="s">
        <v>516</v>
      </c>
      <c r="T2" s="647">
        <f>(T5*T6*T7)/((1-EXP(-T7*T6))*T10*T15*(T9/365)*T13*(((T14/24)*T12)+((T16/24)*T11)))</f>
        <v>1.6392934284415798E-2</v>
      </c>
      <c r="U2" s="643" t="s">
        <v>13</v>
      </c>
      <c r="V2" s="55"/>
      <c r="W2" s="357"/>
      <c r="X2" s="56"/>
      <c r="Y2" s="57"/>
      <c r="Z2" s="357"/>
      <c r="AA2" s="58"/>
      <c r="AB2" s="650"/>
      <c r="AC2" s="660">
        <f>1/((1/AC32)+(1/AC33)+(1/AC34))</f>
        <v>2.0958639019868285E-2</v>
      </c>
      <c r="AD2" s="657">
        <f>1/((1/AD32)+(1/AD33)+(1/AD34))</f>
        <v>5.2342074613823862E-2</v>
      </c>
      <c r="AE2" s="657">
        <f>1/((1/AE32)+(1/AE33)+(1/AE34))</f>
        <v>2.3287376688742548E-2</v>
      </c>
      <c r="AF2" s="657">
        <f>1/((1/AF32)+(1/AF33)+(1/AF34))</f>
        <v>4.8759154334092401</v>
      </c>
      <c r="AG2" s="654">
        <f>1/((1/AG32)+(1/AG33)+(1/AG34))</f>
        <v>8.9068052090567544</v>
      </c>
      <c r="AH2" s="652" t="s">
        <v>13</v>
      </c>
      <c r="AI2" s="381" t="s">
        <v>516</v>
      </c>
      <c r="AJ2" s="387">
        <f>(AJ5*AJ6*AJ7)/((1-EXP(-AJ7*AJ6))*AJ15*(AJ9/365)*AJ10*(AJ16/24)*AJ11*AJ13)</f>
        <v>5.2601537628819382E-2</v>
      </c>
      <c r="AK2" s="629" t="s">
        <v>13</v>
      </c>
      <c r="AL2" s="383" t="s">
        <v>516</v>
      </c>
      <c r="AM2" s="387">
        <f>(AM5*AM6*AM7)/((1-EXP(-AM7*AM6))*AM15*(AM9/365)*AM10*(AM16/24)*AM11*AM13)</f>
        <v>0.2823001682624513</v>
      </c>
      <c r="AN2" s="629" t="s">
        <v>13</v>
      </c>
      <c r="AO2" s="383" t="s">
        <v>516</v>
      </c>
      <c r="AP2" s="387">
        <f>(AP5*AP6*AP7)/((1-EXP(-AP7*AP6))*AP15*(AP9/365)*AP10*(AP16/24)*AP11*AP13)</f>
        <v>6.2031747499775476E-2</v>
      </c>
      <c r="AQ2" s="635" t="s">
        <v>13</v>
      </c>
      <c r="AR2" s="381" t="s">
        <v>516</v>
      </c>
      <c r="AS2" s="387">
        <f>(AS5*AS6*AS7)/((1-EXP(-AS7*AS6))*AS15*(AS9/365)*AS10*(AS14/24)*AS12*AS13)</f>
        <v>2.3378461168364163E-2</v>
      </c>
      <c r="AT2" s="391" t="s">
        <v>13</v>
      </c>
      <c r="AU2" s="383" t="s">
        <v>516</v>
      </c>
      <c r="AV2" s="387">
        <f>(AV5*AV6*AV7)/((1-EXP(-AV7*AV6))*AV15*(AV9/365)*AV10*(AV14/24)*AV12*AV13)</f>
        <v>0.12546674144997833</v>
      </c>
      <c r="AW2" s="391" t="s">
        <v>13</v>
      </c>
      <c r="AX2" s="383" t="s">
        <v>516</v>
      </c>
      <c r="AY2" s="387">
        <f>(AY5*AY6*AY7)/((1-EXP(-AY7*AY6))*AY15*(AY9/365)*AY10*(AY14/24)*AY12*AY13)</f>
        <v>2.7569665555455765E-2</v>
      </c>
      <c r="AZ2" s="385" t="s">
        <v>13</v>
      </c>
      <c r="BA2" s="381" t="s">
        <v>516</v>
      </c>
      <c r="BB2" s="387">
        <f>(BB5*BB6*BB7)/((1-EXP(-BB7*BB6))*BB15*(BB9/365)*BB10*((BB14+BB16)/24)*BB12*BB13)</f>
        <v>2.1040615051527753E-2</v>
      </c>
      <c r="BC2" s="391" t="s">
        <v>13</v>
      </c>
      <c r="BD2" s="383" t="s">
        <v>516</v>
      </c>
      <c r="BE2" s="387">
        <f>(BE5*BE6*BE7)/((1-EXP(-BE7*BE6))*BE15*(BE9/365)*BE10*((BE14+BE16)/24)*BE12*BE13)</f>
        <v>0.11292006730498053</v>
      </c>
      <c r="BF2" s="391" t="s">
        <v>13</v>
      </c>
      <c r="BG2" s="383" t="s">
        <v>516</v>
      </c>
      <c r="BH2" s="387">
        <f>(BH5*BH6*BH7)/((1-EXP(-BH7*BH6))*BH15*(BH9/365)*BH10*((BH14+BH16)/24)*BH12*BH13)</f>
        <v>2.481269899991019E-2</v>
      </c>
      <c r="BI2" s="385" t="s">
        <v>13</v>
      </c>
      <c r="BJ2" s="381" t="s">
        <v>558</v>
      </c>
      <c r="BK2" s="389">
        <f>(BK5*BK6*BK7)/((1-EXP(-BK7*BK6))*BK12*BK16*(BK9/365)*BK14*(BK15/24)*BK13)</f>
        <v>10.246914248066755</v>
      </c>
      <c r="BL2" s="391" t="s">
        <v>13</v>
      </c>
      <c r="BM2" s="383" t="s">
        <v>559</v>
      </c>
      <c r="BN2" s="389">
        <f>(BN5*BN6*BN7)/((1-EXP(-BN7*BN6))*BN12*BN16*(BN9/365)*BN14*(BN15/24)*BN13)</f>
        <v>148.96764220920139</v>
      </c>
      <c r="BO2" s="391" t="s">
        <v>13</v>
      </c>
      <c r="BP2" s="383" t="s">
        <v>560</v>
      </c>
      <c r="BQ2" s="389">
        <f>(BQ5*BQ6*BQ7)/((1-EXP(-BQ7*BQ6))*BQ12*BQ16*(BQ9/365)*BQ14*(BQ15/24)*BQ13)</f>
        <v>15.64567246185992</v>
      </c>
      <c r="BR2" s="385" t="s">
        <v>13</v>
      </c>
      <c r="BS2" s="59"/>
      <c r="BT2" s="110"/>
      <c r="BU2" s="250"/>
      <c r="BV2" s="402" t="s">
        <v>563</v>
      </c>
      <c r="BW2" s="400">
        <f>1/((1/BW10)+(1/BW11))</f>
        <v>26.651214066876904</v>
      </c>
      <c r="BX2" s="404" t="s">
        <v>14</v>
      </c>
      <c r="BY2" s="402" t="s">
        <v>563</v>
      </c>
      <c r="BZ2" s="400">
        <f>1/((1/BZ13)+(1/BZ14)+(1/BZ15))</f>
        <v>2.9102169826123943</v>
      </c>
      <c r="CA2" s="398" t="s">
        <v>13</v>
      </c>
      <c r="CB2" s="410" t="s">
        <v>558</v>
      </c>
      <c r="CC2" s="400">
        <f>(CC5*CC6*CC7)/((1-EXP(-CC7*CC6))*CC10*CC14*(CC9/365)*CC12*(CC13/24)*CC11)</f>
        <v>5.4946601466585978</v>
      </c>
      <c r="CD2" s="404" t="s">
        <v>13</v>
      </c>
      <c r="CE2" s="402" t="s">
        <v>559</v>
      </c>
      <c r="CF2" s="400">
        <f>(CF5*CF6*CF7)/((1-EXP(-CF7*CF6))*CF10*CF14*(CF9/365)*CF12*(CF13/24)*CF11)</f>
        <v>79.880298299853919</v>
      </c>
      <c r="CG2" s="404" t="s">
        <v>13</v>
      </c>
      <c r="CH2" s="402" t="s">
        <v>560</v>
      </c>
      <c r="CI2" s="400">
        <f>(CI5*CI6*CI7)/((1-EXP(-CI7*CI6))*CI10*CI14*(CI9/365)*CI12*(CI13/24)*CI11)</f>
        <v>8.3896137766620598</v>
      </c>
      <c r="CJ2" s="398" t="s">
        <v>13</v>
      </c>
      <c r="CK2" s="410" t="s">
        <v>510</v>
      </c>
      <c r="CL2" s="400">
        <f>CL5/(CL6*CL7*CL8*CL9)</f>
        <v>0.99712329928157262</v>
      </c>
      <c r="CM2" s="404" t="s">
        <v>13</v>
      </c>
      <c r="CN2" s="402" t="s">
        <v>7</v>
      </c>
      <c r="CO2" s="688" t="e">
        <f>(CL2/(CO5*((CO10*CO12*CO13*(CO6+CO7))+(CO11*CO12))))*CL12</f>
        <v>#DIV/0!</v>
      </c>
      <c r="CP2" s="412" t="s">
        <v>13</v>
      </c>
      <c r="CQ2" s="402" t="s">
        <v>6</v>
      </c>
      <c r="CR2" s="400" t="e">
        <f>CL2/(CR5*CR6*(1/CR7))</f>
        <v>#DIV/0!</v>
      </c>
      <c r="CS2" s="415" t="s">
        <v>14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(DD5)/(DD6*(DD7+DD10)*DD20)</f>
        <v>5.0763000409861979E-4</v>
      </c>
      <c r="DE2" s="672" t="s">
        <v>13</v>
      </c>
      <c r="DF2" s="670" t="s">
        <v>510</v>
      </c>
      <c r="DG2" s="668">
        <f>(DD2/((1/DG24)*(DG5+DG6+DG7)))</f>
        <v>3.7869605969525162E-2</v>
      </c>
      <c r="DH2" s="666" t="s">
        <v>14</v>
      </c>
      <c r="DI2" s="680" t="s">
        <v>510</v>
      </c>
      <c r="DJ2" s="668">
        <f>(DD2/(DJ5+DJ6))*CU11</f>
        <v>1.8633867545363161E-3</v>
      </c>
      <c r="DK2" s="666" t="s">
        <v>14</v>
      </c>
      <c r="DL2" s="680" t="s">
        <v>554</v>
      </c>
      <c r="DM2" s="668">
        <f>(DD2/(DM5+DM6))*((DM9*DD21)/(1-EXP(-DD21*DM9)))</f>
        <v>1.8633867545363161E-3</v>
      </c>
      <c r="DN2" s="666" t="s">
        <v>14</v>
      </c>
      <c r="DO2" s="680" t="s">
        <v>553</v>
      </c>
      <c r="DP2" s="668">
        <f>-(DP5+DP6+DP7)/(DP23+DP24)</f>
        <v>-48.781547491595369</v>
      </c>
      <c r="DQ2" s="678" t="s">
        <v>14</v>
      </c>
      <c r="DR2" s="556" t="s">
        <v>510</v>
      </c>
      <c r="DS2" s="460">
        <f>DS5/(DS6*DS7*DS16)</f>
        <v>3.2210079425620537E-4</v>
      </c>
      <c r="DT2" s="466" t="s">
        <v>13</v>
      </c>
      <c r="DU2" s="464" t="s">
        <v>510</v>
      </c>
      <c r="DV2" s="462">
        <f>DS2/(DV5*(1/DV8)*DV6*(1/DV7))</f>
        <v>9.4898117300884302</v>
      </c>
      <c r="DW2" s="480" t="s">
        <v>14</v>
      </c>
      <c r="DX2" s="478" t="s">
        <v>510</v>
      </c>
      <c r="DY2" s="462">
        <f>(DS2/(DY9*(1/DY14)*((DY10*DY12*DY13*(DY5+DY6))+(DY11*DY12))))*CU11</f>
        <v>0.15131139025217705</v>
      </c>
      <c r="DZ2" s="480" t="s">
        <v>14</v>
      </c>
      <c r="EA2" s="478" t="s">
        <v>554</v>
      </c>
      <c r="EB2" s="462">
        <f>(DS2/(EB9*(1/EB14)*((EB10*EB12*EB13*(EB5+EB6))+(EB11*EB12))))*((EB15*DS18)/(1-EXP(-DS18*EB15)))</f>
        <v>0.15131139025217705</v>
      </c>
      <c r="EC2" s="480" t="s">
        <v>14</v>
      </c>
      <c r="ED2" s="478" t="s">
        <v>553</v>
      </c>
      <c r="EE2" s="462">
        <f>-EE15/((EE10*EE12*EE13*(EE5+EE6))+(EE11*EE12))</f>
        <v>-15.807288534561259</v>
      </c>
      <c r="EF2" s="476" t="s">
        <v>14</v>
      </c>
      <c r="EG2" s="474" t="s">
        <v>510</v>
      </c>
      <c r="EH2" s="472">
        <f>EH5/(EH6*EH7*EH16)</f>
        <v>8.8284671500722699E-4</v>
      </c>
      <c r="EI2" s="470" t="s">
        <v>13</v>
      </c>
      <c r="EJ2" s="468" t="s">
        <v>510</v>
      </c>
      <c r="EK2" s="502">
        <f>EH2/(EK5*EK6*(1/EK7))</f>
        <v>9.7985206993032961</v>
      </c>
      <c r="EL2" s="500" t="s">
        <v>14</v>
      </c>
      <c r="EM2" s="504" t="s">
        <v>510</v>
      </c>
      <c r="EN2" s="502">
        <f>(EH2/(EN9*((EN10*EN12*EN13*(EN5+EN6))+(EN11*EN12))))*CU11</f>
        <v>0.14380789770672253</v>
      </c>
      <c r="EO2" s="500" t="s">
        <v>13</v>
      </c>
      <c r="EP2" s="504" t="s">
        <v>554</v>
      </c>
      <c r="EQ2" s="502">
        <f>(EH2/(EQ9*((EQ10*EQ12*EQ13*(EQ5+EQ6))+(EQ11*EQ12))))*((EQ14*EH18)/(1-EXP(-EH18*EQ14)))</f>
        <v>0.14380789770672253</v>
      </c>
      <c r="ER2" s="500" t="s">
        <v>14</v>
      </c>
      <c r="ES2" s="504" t="s">
        <v>553</v>
      </c>
      <c r="ET2" s="502">
        <f>-ET15/((ET10*ET12*ET13*(ET5+ET6))+(ET11*ET12))</f>
        <v>-14.550086614194845</v>
      </c>
      <c r="EU2" s="514" t="s">
        <v>19</v>
      </c>
      <c r="EV2" s="512" t="s">
        <v>510</v>
      </c>
      <c r="EW2" s="510">
        <f>EW5/(EW6*EW7*EW16)</f>
        <v>2.9529587194251192E-3</v>
      </c>
      <c r="EX2" s="508" t="s">
        <v>13</v>
      </c>
      <c r="EY2" s="506" t="s">
        <v>510</v>
      </c>
      <c r="EZ2" s="494" t="e">
        <f>EW2/(EZ5*EZ6*(1/EZ7))</f>
        <v>#DIV/0!</v>
      </c>
      <c r="FA2" s="498" t="s">
        <v>14</v>
      </c>
      <c r="FB2" s="496" t="s">
        <v>510</v>
      </c>
      <c r="FC2" s="494" t="e">
        <f>(EW2/(FC9*((FC10*FC12*FC13*(FC5+FC6))+(FC11*FC12))))*CU11</f>
        <v>#DIV/0!</v>
      </c>
      <c r="FD2" s="498" t="s">
        <v>13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14</v>
      </c>
      <c r="FH2" s="496" t="s">
        <v>553</v>
      </c>
      <c r="FI2" s="494">
        <f>-FI15/((FI10*FI12*FI13*(FI5+FI6))+(FI11*FI12))</f>
        <v>-5.3050397877984095</v>
      </c>
      <c r="FJ2" s="492" t="s">
        <v>19</v>
      </c>
      <c r="FK2" s="490" t="s">
        <v>510</v>
      </c>
      <c r="FL2" s="488">
        <f>FL5/(FL6*FL7*FL16)</f>
        <v>1.0136853585239172E-3</v>
      </c>
      <c r="FM2" s="486" t="s">
        <v>13</v>
      </c>
      <c r="FN2" s="484" t="s">
        <v>510</v>
      </c>
      <c r="FO2" s="430">
        <f>FL2/(FO5*(1/FO6))</f>
        <v>0.25342133963097929</v>
      </c>
      <c r="FP2" s="428" t="s">
        <v>14</v>
      </c>
      <c r="FQ2" s="482" t="s">
        <v>510</v>
      </c>
      <c r="FR2" s="430">
        <f>((FL2*FR6)/FR5)*CU11</f>
        <v>2.5562294077387129E-4</v>
      </c>
      <c r="FS2" s="428" t="s">
        <v>13</v>
      </c>
      <c r="FT2" s="426" t="s">
        <v>554</v>
      </c>
      <c r="FU2" s="430">
        <f>((FL2*FU6)/FU5)*((FU7*FL18)/(1-EXP(-FL18*FU7)))</f>
        <v>2.5562294077387129E-4</v>
      </c>
      <c r="FV2" s="428" t="s">
        <v>14</v>
      </c>
      <c r="FW2" s="426" t="s">
        <v>553</v>
      </c>
      <c r="FX2" s="430">
        <f>-FX5/FX6</f>
        <v>-1E-3</v>
      </c>
      <c r="FY2" s="438" t="s">
        <v>19</v>
      </c>
      <c r="FZ2" s="436" t="s">
        <v>510</v>
      </c>
      <c r="GA2" s="434">
        <f>GA5/(GA6*GA7*GA16)</f>
        <v>1.4751463725051718E-3</v>
      </c>
      <c r="GB2" s="432" t="s">
        <v>13</v>
      </c>
      <c r="GC2" s="458" t="s">
        <v>510</v>
      </c>
      <c r="GD2" s="417" t="e">
        <f>(GA2/(GD5*GD6*(1/GD7)))</f>
        <v>#DIV/0!</v>
      </c>
      <c r="GE2" s="421" t="s">
        <v>14</v>
      </c>
      <c r="GF2" s="419" t="s">
        <v>510</v>
      </c>
      <c r="GG2" s="417" t="e">
        <f>(GA2/((GG9)*((GG10*GG12*GG13*(GG5+GG6))+(GG11*GG12))))*CU11</f>
        <v>#DIV/0!</v>
      </c>
      <c r="GH2" s="421" t="s">
        <v>13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14</v>
      </c>
      <c r="GL2" s="419" t="s">
        <v>553</v>
      </c>
      <c r="GM2" s="417">
        <f>-GM15/((GM10*GM12*GM13*(GM5+GM6))+(GM11*GM12))</f>
        <v>-5.3050397877984095</v>
      </c>
      <c r="GN2" s="456" t="s">
        <v>19</v>
      </c>
      <c r="GO2" s="454" t="s">
        <v>510</v>
      </c>
      <c r="GP2" s="452">
        <f>GP5/(GP6*GP7*GP15)</f>
        <v>1.6151300264142562E-3</v>
      </c>
      <c r="GQ2" s="450" t="s">
        <v>13</v>
      </c>
      <c r="GR2" s="448" t="s">
        <v>510</v>
      </c>
      <c r="GS2" s="442" t="e">
        <f>GP2/(GS5*GS6*(1/GS7))</f>
        <v>#DIV/0!</v>
      </c>
      <c r="GT2" s="446" t="s">
        <v>14</v>
      </c>
      <c r="GU2" s="444" t="s">
        <v>510</v>
      </c>
      <c r="GV2" s="442" t="e">
        <f>(GP2/((GV9)*((GV10*GV12*GV13*(GV5+GV6))+(GV11*GV12))))*CU11</f>
        <v>#DIV/0!</v>
      </c>
      <c r="GW2" s="446" t="s">
        <v>13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14</v>
      </c>
      <c r="HA2" s="444" t="s">
        <v>553</v>
      </c>
      <c r="HB2" s="442">
        <f>-HB15/((HB10*HB12*HB13*(HB5+HB6))+(HB11*HB12))</f>
        <v>-7.0158163579297179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54">
        <v>0.124</v>
      </c>
      <c r="C3" s="240"/>
      <c r="D3" s="317" t="s">
        <v>15</v>
      </c>
      <c r="E3" s="285">
        <f>1/((1/E20)+(1/E21))</f>
        <v>2.2000341422846379E-4</v>
      </c>
      <c r="F3" s="253" t="s">
        <v>10</v>
      </c>
      <c r="G3" s="627"/>
      <c r="H3" s="623"/>
      <c r="I3" s="625"/>
      <c r="J3" s="619"/>
      <c r="K3" s="623"/>
      <c r="L3" s="621"/>
      <c r="M3" s="617"/>
      <c r="N3" s="647"/>
      <c r="O3" s="689"/>
      <c r="P3" s="639"/>
      <c r="Q3" s="647"/>
      <c r="R3" s="637"/>
      <c r="S3" s="639"/>
      <c r="T3" s="647"/>
      <c r="U3" s="643"/>
      <c r="V3" s="319" t="s">
        <v>16</v>
      </c>
      <c r="W3" s="358">
        <f>1/((1/W18)+(1/W19))</f>
        <v>3.1656649912280158E-4</v>
      </c>
      <c r="X3" s="254" t="s">
        <v>10</v>
      </c>
      <c r="Y3" s="321" t="s">
        <v>16</v>
      </c>
      <c r="Z3" s="358">
        <f>1/((1/Z18)+(1/Z19))</f>
        <v>2.8490984921052131E-4</v>
      </c>
      <c r="AA3" s="255" t="s">
        <v>10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42" t="s">
        <v>15</v>
      </c>
      <c r="BT3" s="340">
        <f>1/((1/BT21)+(1/BT22))</f>
        <v>2.4640382393587935E-2</v>
      </c>
      <c r="BU3" s="250" t="s">
        <v>10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1/((1/CU14)+(1/CU15)+(1/CU16)+(1/CU17)+(1/CU20)+(1/CU21)+(1/CU23))</f>
        <v>2.1377472946804051E-4</v>
      </c>
      <c r="CV3" s="71" t="s">
        <v>13</v>
      </c>
      <c r="CW3" s="326" t="s">
        <v>15</v>
      </c>
      <c r="CX3" s="117">
        <f>1/((1/CX20)+(1/CX21))</f>
        <v>1.3675913264403814E-4</v>
      </c>
      <c r="CY3" s="256" t="s">
        <v>10</v>
      </c>
      <c r="CZ3" s="338" t="s">
        <v>285</v>
      </c>
      <c r="DA3" s="336">
        <f>1/((1/DA13)+(1/DA15)+(1/DA16)+(1/DA19)+(1/DA20)+(1/DA22))</f>
        <v>2.3453284188463087E-2</v>
      </c>
      <c r="DB3" s="72" t="s">
        <v>13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6.0338471577417755E-3</v>
      </c>
      <c r="HF3" s="252" t="s">
        <v>13</v>
      </c>
    </row>
    <row r="4" spans="1:214" ht="13.5" customHeight="1" thickBot="1" x14ac:dyDescent="0.25">
      <c r="A4" s="279" t="s">
        <v>457</v>
      </c>
      <c r="B4" s="70">
        <v>0.79200000000000004</v>
      </c>
      <c r="C4" s="241"/>
      <c r="D4" s="318" t="s">
        <v>16</v>
      </c>
      <c r="E4" s="286">
        <f>1/((1/E22)+(1/E23))</f>
        <v>2.2124449593931709E-4</v>
      </c>
      <c r="F4" s="257" t="s">
        <v>10</v>
      </c>
      <c r="G4" s="628"/>
      <c r="H4" s="624"/>
      <c r="I4" s="626"/>
      <c r="J4" s="620"/>
      <c r="K4" s="624"/>
      <c r="L4" s="622"/>
      <c r="M4" s="618"/>
      <c r="N4" s="648"/>
      <c r="O4" s="690"/>
      <c r="P4" s="640"/>
      <c r="Q4" s="648"/>
      <c r="R4" s="638"/>
      <c r="S4" s="640"/>
      <c r="T4" s="648"/>
      <c r="U4" s="644"/>
      <c r="V4" s="320" t="s">
        <v>15</v>
      </c>
      <c r="W4" s="359">
        <f>1/((1/W16)+(1/W17))</f>
        <v>3.1485875774808748E-4</v>
      </c>
      <c r="X4" s="258" t="s">
        <v>10</v>
      </c>
      <c r="Y4" s="322" t="s">
        <v>15</v>
      </c>
      <c r="Z4" s="359">
        <f>1/((1/Z16)+(1/Z17))</f>
        <v>2.833728819732788E-4</v>
      </c>
      <c r="AA4" s="259" t="s">
        <v>10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43" t="s">
        <v>16</v>
      </c>
      <c r="BT4" s="341">
        <f>1/((1/BT23)+(1/BT24))</f>
        <v>2.4779383545203516E-2</v>
      </c>
      <c r="BU4" s="260" t="s">
        <v>10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1.3293509218985685E-3</v>
      </c>
      <c r="CV4" s="73" t="s">
        <v>13</v>
      </c>
      <c r="CW4" s="327" t="s">
        <v>16</v>
      </c>
      <c r="CX4" s="106">
        <f>1/((1/CX22)+(1/CX23))</f>
        <v>1.3794722936536578E-4</v>
      </c>
      <c r="CY4" s="261" t="s">
        <v>10</v>
      </c>
      <c r="CZ4" s="339" t="s">
        <v>11</v>
      </c>
      <c r="DA4" s="337">
        <f>1/((1/DA15)+(1/DA16)+(1/DA13))</f>
        <v>2.5984472563066258E-2</v>
      </c>
      <c r="DB4" s="74" t="s">
        <v>13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5.2831475333513031E-7</v>
      </c>
      <c r="HF4" s="75" t="s">
        <v>13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0.52543733718458041</v>
      </c>
      <c r="DH5" s="249" t="s">
        <v>19</v>
      </c>
      <c r="DI5" s="262" t="s">
        <v>20</v>
      </c>
      <c r="DJ5" s="305">
        <f>DJ7</f>
        <v>1.4789999999999999E-2</v>
      </c>
      <c r="DK5" s="262"/>
      <c r="DL5" s="262" t="s">
        <v>20</v>
      </c>
      <c r="DM5" s="305">
        <f>DM7</f>
        <v>1.4789999999999999E-2</v>
      </c>
      <c r="DO5" s="249" t="s">
        <v>18</v>
      </c>
      <c r="DP5" s="118">
        <f>(DP8*DP9*DP10*((1-EXP(-DP11*DP12))))/(DP13*DP11)</f>
        <v>0.52543733718458041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3.8000000000000002E-4</v>
      </c>
      <c r="DW5" s="262"/>
      <c r="DX5" s="262" t="s">
        <v>21</v>
      </c>
      <c r="DY5" s="305">
        <f>DY7</f>
        <v>1.7000000000000001E-2</v>
      </c>
      <c r="DZ5" s="262"/>
      <c r="EA5" s="262" t="s">
        <v>21</v>
      </c>
      <c r="EB5" s="305">
        <f>EB7</f>
        <v>1.7000000000000001E-2</v>
      </c>
      <c r="EC5" s="263"/>
      <c r="ED5" s="262" t="s">
        <v>21</v>
      </c>
      <c r="EE5" s="305">
        <f>EE7</f>
        <v>1.7000000000000001E-2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1.6999999999999999E-3</v>
      </c>
      <c r="EL5" s="262"/>
      <c r="EM5" s="262" t="s">
        <v>21</v>
      </c>
      <c r="EN5" s="305">
        <f>EN7</f>
        <v>1.7000000000000001E-2</v>
      </c>
      <c r="EO5" s="262"/>
      <c r="EP5" s="262" t="s">
        <v>21</v>
      </c>
      <c r="EQ5" s="305">
        <f>EQ7</f>
        <v>1.7000000000000001E-2</v>
      </c>
      <c r="ER5" s="263"/>
      <c r="ES5" s="262" t="s">
        <v>21</v>
      </c>
      <c r="ET5" s="305">
        <f>ET7</f>
        <v>1.7000000000000001E-2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1.7000000000000001E-2</v>
      </c>
      <c r="FD5" s="262"/>
      <c r="FE5" s="262" t="s">
        <v>21</v>
      </c>
      <c r="FF5" s="305">
        <f>FF7</f>
        <v>1.7000000000000001E-2</v>
      </c>
      <c r="FG5" s="263"/>
      <c r="FH5" s="263" t="s">
        <v>21</v>
      </c>
      <c r="FI5" s="290">
        <f>FI7</f>
        <v>1.7000000000000001E-2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4</v>
      </c>
      <c r="FP5" s="263"/>
      <c r="FQ5" s="263" t="s">
        <v>122</v>
      </c>
      <c r="FR5" s="298">
        <f>B36</f>
        <v>4</v>
      </c>
      <c r="FS5" s="263"/>
      <c r="FT5" s="263" t="s">
        <v>122</v>
      </c>
      <c r="FU5" s="298">
        <f>B36</f>
        <v>4</v>
      </c>
      <c r="FV5" s="263"/>
      <c r="FW5" s="262" t="s">
        <v>181</v>
      </c>
      <c r="FX5" s="305">
        <f>B46</f>
        <v>1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1.7000000000000001E-2</v>
      </c>
      <c r="GH5" s="262"/>
      <c r="GI5" s="262" t="s">
        <v>21</v>
      </c>
      <c r="GJ5" s="305">
        <f>GJ7</f>
        <v>1.7000000000000001E-2</v>
      </c>
      <c r="GK5" s="262"/>
      <c r="GL5" s="262" t="s">
        <v>21</v>
      </c>
      <c r="GM5" s="305">
        <f>GM7</f>
        <v>1.7000000000000001E-2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1.7000000000000001E-2</v>
      </c>
      <c r="GW5" s="262"/>
      <c r="GX5" s="262" t="s">
        <v>21</v>
      </c>
      <c r="GY5" s="305">
        <f>GY7</f>
        <v>1.7000000000000001E-2</v>
      </c>
      <c r="GZ5" s="262"/>
      <c r="HA5" s="262" t="s">
        <v>21</v>
      </c>
      <c r="HB5" s="305">
        <f>HB7</f>
        <v>1.7000000000000001E-2</v>
      </c>
      <c r="HC5" s="263"/>
      <c r="HD5" s="265" t="s">
        <v>22</v>
      </c>
      <c r="HE5" s="293">
        <f>B47</f>
        <v>5</v>
      </c>
      <c r="HF5" s="262" t="s">
        <v>14</v>
      </c>
    </row>
    <row r="6" spans="1:214" ht="13.5" thickTop="1" x14ac:dyDescent="0.2">
      <c r="A6" s="278" t="s">
        <v>454</v>
      </c>
      <c r="B6" s="54">
        <v>5.8099999999999999E-2</v>
      </c>
      <c r="C6" s="240"/>
      <c r="D6" s="262" t="s">
        <v>23</v>
      </c>
      <c r="E6" s="288">
        <f>0.693/E7</f>
        <v>4.3312499999999997E-4</v>
      </c>
      <c r="G6" s="262" t="s">
        <v>439</v>
      </c>
      <c r="H6" s="287">
        <f>B20</f>
        <v>3.8480000000000001E-10</v>
      </c>
      <c r="I6" s="262" t="s">
        <v>35</v>
      </c>
      <c r="J6" s="262" t="s">
        <v>316</v>
      </c>
      <c r="K6" s="287">
        <f>B21</f>
        <v>6.7709999999999997E-10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4.3312499999999997E-4</v>
      </c>
      <c r="Y6" s="262" t="s">
        <v>23</v>
      </c>
      <c r="Z6" s="288">
        <f>0.693/Z7</f>
        <v>4.3312499999999997E-4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BK12</f>
        <v>1</v>
      </c>
      <c r="BR6" s="249" t="s">
        <v>69</v>
      </c>
      <c r="BS6" s="262" t="s">
        <v>23</v>
      </c>
      <c r="BT6" s="288">
        <f>0.693/BT7</f>
        <v>4.3312499999999997E-4</v>
      </c>
      <c r="BV6" s="262" t="s">
        <v>163</v>
      </c>
      <c r="BW6" s="287">
        <f>B20</f>
        <v>3.8480000000000001E-10</v>
      </c>
      <c r="BX6" s="262" t="s">
        <v>35</v>
      </c>
      <c r="BY6" s="262" t="s">
        <v>45</v>
      </c>
      <c r="BZ6" s="287">
        <f>B21</f>
        <v>6.7709999999999997E-10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5.1429999999999997E-10</v>
      </c>
      <c r="CM6" s="266" t="s">
        <v>13</v>
      </c>
      <c r="CN6" s="263" t="s">
        <v>21</v>
      </c>
      <c r="CO6" s="290">
        <f>CO8</f>
        <v>1.7000000000000001E-2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6.7709999999999997E-10</v>
      </c>
      <c r="CV6" s="262" t="s">
        <v>35</v>
      </c>
      <c r="CW6" s="262" t="s">
        <v>23</v>
      </c>
      <c r="CX6" s="288">
        <f>0.693/CX7</f>
        <v>4.3312499999999997E-4</v>
      </c>
      <c r="CZ6" s="262" t="s">
        <v>163</v>
      </c>
      <c r="DA6" s="287">
        <f>B20</f>
        <v>3.8480000000000001E-10</v>
      </c>
      <c r="DB6" s="262" t="s">
        <v>35</v>
      </c>
      <c r="DC6" s="262" t="s">
        <v>438</v>
      </c>
      <c r="DD6" s="287">
        <f>B30</f>
        <v>5.1429999999999997E-10</v>
      </c>
      <c r="DE6" s="267" t="s">
        <v>35</v>
      </c>
      <c r="DF6" s="249" t="s">
        <v>27</v>
      </c>
      <c r="DG6" s="118">
        <f>(DG8*DG9*DG14*((1-EXP(-DG11*DG12))))/(DG13*DG11)</f>
        <v>9.2368970701819411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9.2368970701819411</v>
      </c>
      <c r="DQ6" s="249" t="s">
        <v>19</v>
      </c>
      <c r="DR6" s="262" t="s">
        <v>438</v>
      </c>
      <c r="DS6" s="287">
        <f>B30</f>
        <v>5.1429999999999997E-10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5.1429999999999997E-10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5.1429999999999997E-10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5.1429999999999997E-10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</v>
      </c>
      <c r="FS6" s="249" t="s">
        <v>19</v>
      </c>
      <c r="FT6" s="262" t="s">
        <v>181</v>
      </c>
      <c r="FU6" s="305">
        <f>B46</f>
        <v>1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5.1429999999999997E-10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5.1429999999999997E-10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4.3779262179128279E-4</v>
      </c>
      <c r="HF6" s="262" t="s">
        <v>14</v>
      </c>
    </row>
    <row r="7" spans="1:214" x14ac:dyDescent="0.2">
      <c r="A7" s="279" t="s">
        <v>455</v>
      </c>
      <c r="B7" s="70">
        <v>0.624</v>
      </c>
      <c r="C7" s="241"/>
      <c r="D7" s="266" t="s">
        <v>270</v>
      </c>
      <c r="E7" s="287">
        <f>B31</f>
        <v>1600</v>
      </c>
      <c r="F7" s="249" t="s">
        <v>69</v>
      </c>
      <c r="G7" s="262" t="s">
        <v>43</v>
      </c>
      <c r="H7" s="290">
        <f>B19</f>
        <v>2.8231E-8</v>
      </c>
      <c r="I7" s="263" t="s">
        <v>35</v>
      </c>
      <c r="J7" s="262" t="s">
        <v>43</v>
      </c>
      <c r="K7" s="290">
        <f>B19</f>
        <v>2.8231E-8</v>
      </c>
      <c r="L7" s="263" t="s">
        <v>35</v>
      </c>
      <c r="M7" s="262" t="s">
        <v>23</v>
      </c>
      <c r="N7" s="288">
        <f>0.693/N8</f>
        <v>4.3312499999999997E-4</v>
      </c>
      <c r="P7" s="262" t="s">
        <v>23</v>
      </c>
      <c r="Q7" s="288">
        <f>0.693/Q8</f>
        <v>4.3312499999999997E-4</v>
      </c>
      <c r="S7" s="262" t="s">
        <v>23</v>
      </c>
      <c r="T7" s="288">
        <f>0.693/T8</f>
        <v>4.3312499999999997E-4</v>
      </c>
      <c r="V7" s="266" t="s">
        <v>270</v>
      </c>
      <c r="W7" s="287">
        <f>B31</f>
        <v>1600</v>
      </c>
      <c r="X7" s="249" t="s">
        <v>69</v>
      </c>
      <c r="Y7" s="266" t="s">
        <v>270</v>
      </c>
      <c r="Z7" s="287">
        <f>B31</f>
        <v>1600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4.3312499999999997E-4</v>
      </c>
      <c r="AL7" s="262" t="s">
        <v>23</v>
      </c>
      <c r="AM7" s="288">
        <f>0.693/AM8</f>
        <v>4.3312499999999997E-4</v>
      </c>
      <c r="AO7" s="262" t="s">
        <v>23</v>
      </c>
      <c r="AP7" s="288">
        <f>0.693/AP8</f>
        <v>4.3312499999999997E-4</v>
      </c>
      <c r="AR7" s="262" t="s">
        <v>23</v>
      </c>
      <c r="AS7" s="288">
        <f>0.693/AS8</f>
        <v>4.3312499999999997E-4</v>
      </c>
      <c r="AU7" s="262" t="s">
        <v>23</v>
      </c>
      <c r="AV7" s="288">
        <f>0.693/AV8</f>
        <v>4.3312499999999997E-4</v>
      </c>
      <c r="AX7" s="262" t="s">
        <v>23</v>
      </c>
      <c r="AY7" s="288">
        <f>0.693/AY8</f>
        <v>4.3312499999999997E-4</v>
      </c>
      <c r="BA7" s="262" t="s">
        <v>23</v>
      </c>
      <c r="BB7" s="288">
        <f>0.693/BB8</f>
        <v>4.3312499999999997E-4</v>
      </c>
      <c r="BD7" s="262" t="s">
        <v>23</v>
      </c>
      <c r="BE7" s="288">
        <f>0.693/BE8</f>
        <v>4.3312499999999997E-4</v>
      </c>
      <c r="BG7" s="262" t="s">
        <v>23</v>
      </c>
      <c r="BH7" s="288">
        <f>0.693/BH8</f>
        <v>4.3312499999999997E-4</v>
      </c>
      <c r="BJ7" s="262" t="s">
        <v>23</v>
      </c>
      <c r="BK7" s="288">
        <f>0.693/BK8</f>
        <v>4.3312499999999997E-4</v>
      </c>
      <c r="BM7" s="262" t="s">
        <v>23</v>
      </c>
      <c r="BN7" s="288">
        <f>0.693/BN8</f>
        <v>4.3312499999999997E-4</v>
      </c>
      <c r="BP7" s="262" t="s">
        <v>23</v>
      </c>
      <c r="BQ7" s="288">
        <f>0.693/BQ8</f>
        <v>4.3312499999999997E-4</v>
      </c>
      <c r="BS7" s="266" t="s">
        <v>270</v>
      </c>
      <c r="BT7" s="287">
        <f>B31</f>
        <v>1600</v>
      </c>
      <c r="BU7" s="249" t="s">
        <v>69</v>
      </c>
      <c r="BV7" s="262" t="s">
        <v>43</v>
      </c>
      <c r="BW7" s="290">
        <f>E10</f>
        <v>2.8231E-8</v>
      </c>
      <c r="BX7" s="263" t="s">
        <v>35</v>
      </c>
      <c r="BY7" s="262" t="s">
        <v>43</v>
      </c>
      <c r="BZ7" s="290">
        <f>B19</f>
        <v>2.8231E-8</v>
      </c>
      <c r="CA7" s="263" t="s">
        <v>35</v>
      </c>
      <c r="CB7" s="262" t="s">
        <v>23</v>
      </c>
      <c r="CC7" s="288">
        <f>0.693/CC8</f>
        <v>4.3312499999999997E-4</v>
      </c>
      <c r="CE7" s="262" t="s">
        <v>23</v>
      </c>
      <c r="CF7" s="288">
        <f>0.693/CF8</f>
        <v>4.3312499999999997E-4</v>
      </c>
      <c r="CH7" s="262" t="s">
        <v>23</v>
      </c>
      <c r="CI7" s="288">
        <f>0.693/CI8</f>
        <v>4.3312499999999997E-4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2.8231E-8</v>
      </c>
      <c r="CV7" s="263" t="s">
        <v>35</v>
      </c>
      <c r="CW7" s="266" t="s">
        <v>270</v>
      </c>
      <c r="CX7" s="287">
        <f>B31</f>
        <v>1600</v>
      </c>
      <c r="CY7" s="249" t="s">
        <v>69</v>
      </c>
      <c r="CZ7" s="263" t="s">
        <v>43</v>
      </c>
      <c r="DA7" s="290">
        <f>B19</f>
        <v>2.8231E-8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3.6423470278489711</v>
      </c>
      <c r="DH7" s="249" t="s">
        <v>19</v>
      </c>
      <c r="DI7" s="262" t="s">
        <v>37</v>
      </c>
      <c r="DJ7" s="287">
        <f>B44</f>
        <v>1.4789999999999999E-2</v>
      </c>
      <c r="DL7" s="262" t="s">
        <v>37</v>
      </c>
      <c r="DM7" s="287">
        <f>B44</f>
        <v>1.4789999999999999E-2</v>
      </c>
      <c r="DO7" s="249" t="s">
        <v>36</v>
      </c>
      <c r="DP7" s="118">
        <f>(DP8*DP9*DP15*DP21*((1-EXP(-DP16*DP17))))/(DP18*DP16)</f>
        <v>3.6423470278489711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1.7000000000000001E-2</v>
      </c>
      <c r="EA7" s="262" t="s">
        <v>38</v>
      </c>
      <c r="EB7" s="287">
        <f>B45</f>
        <v>1.7000000000000001E-2</v>
      </c>
      <c r="EC7" s="263"/>
      <c r="ED7" s="262" t="s">
        <v>38</v>
      </c>
      <c r="EE7" s="287">
        <f>B45</f>
        <v>1.7000000000000001E-2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1.7000000000000001E-2</v>
      </c>
      <c r="EP7" s="262" t="s">
        <v>38</v>
      </c>
      <c r="EQ7" s="287">
        <f>B45</f>
        <v>1.7000000000000001E-2</v>
      </c>
      <c r="ER7" s="263"/>
      <c r="ES7" s="262" t="s">
        <v>38</v>
      </c>
      <c r="ET7" s="287">
        <f>B45</f>
        <v>1.7000000000000001E-2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1.7000000000000001E-2</v>
      </c>
      <c r="FD7" s="262"/>
      <c r="FE7" s="262" t="s">
        <v>38</v>
      </c>
      <c r="FF7" s="305">
        <f>B45</f>
        <v>1.7000000000000001E-2</v>
      </c>
      <c r="FG7" s="263"/>
      <c r="FH7" s="263" t="s">
        <v>38</v>
      </c>
      <c r="FI7" s="290">
        <f>B45</f>
        <v>1.7000000000000001E-2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1.7000000000000001E-2</v>
      </c>
      <c r="GH7" s="262"/>
      <c r="GI7" s="262" t="s">
        <v>38</v>
      </c>
      <c r="GJ7" s="305">
        <f>B45</f>
        <v>1.7000000000000001E-2</v>
      </c>
      <c r="GK7" s="262"/>
      <c r="GL7" s="262" t="s">
        <v>38</v>
      </c>
      <c r="GM7" s="305">
        <f>B45</f>
        <v>1.7000000000000001E-2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1.7000000000000001E-2</v>
      </c>
      <c r="GW7" s="262"/>
      <c r="GX7" s="262" t="s">
        <v>38</v>
      </c>
      <c r="GY7" s="305">
        <f>B45</f>
        <v>1.7000000000000001E-2</v>
      </c>
      <c r="GZ7" s="262"/>
      <c r="HA7" s="262" t="s">
        <v>38</v>
      </c>
      <c r="HB7" s="305">
        <f>B45</f>
        <v>1.7000000000000001E-2</v>
      </c>
      <c r="HC7" s="263"/>
      <c r="HD7" s="262" t="s">
        <v>23</v>
      </c>
      <c r="HE7" s="288">
        <f>0.693/HE8</f>
        <v>4.3312499999999997E-4</v>
      </c>
    </row>
    <row r="8" spans="1:214" x14ac:dyDescent="0.2">
      <c r="A8" s="279" t="s">
        <v>458</v>
      </c>
      <c r="B8" s="70">
        <v>6.8599999999999994E-2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1.6813889280000001E-11</v>
      </c>
      <c r="I8" s="263" t="s">
        <v>35</v>
      </c>
      <c r="J8" s="262" t="s">
        <v>71</v>
      </c>
      <c r="K8" s="287">
        <f>B23</f>
        <v>8.3719157040000005E-6</v>
      </c>
      <c r="L8" s="262" t="s">
        <v>445</v>
      </c>
      <c r="M8" s="266" t="s">
        <v>270</v>
      </c>
      <c r="N8" s="287">
        <f>B31</f>
        <v>1600</v>
      </c>
      <c r="O8" s="249" t="s">
        <v>69</v>
      </c>
      <c r="P8" s="266" t="s">
        <v>270</v>
      </c>
      <c r="Q8" s="287">
        <f>B31</f>
        <v>1600</v>
      </c>
      <c r="R8" s="249" t="s">
        <v>69</v>
      </c>
      <c r="S8" s="266" t="s">
        <v>270</v>
      </c>
      <c r="T8" s="287">
        <f>B31</f>
        <v>1600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1600</v>
      </c>
      <c r="AK8" s="249" t="s">
        <v>69</v>
      </c>
      <c r="AL8" s="266" t="s">
        <v>270</v>
      </c>
      <c r="AM8" s="287">
        <f>B31</f>
        <v>1600</v>
      </c>
      <c r="AN8" s="249" t="s">
        <v>69</v>
      </c>
      <c r="AO8" s="266" t="s">
        <v>270</v>
      </c>
      <c r="AP8" s="287">
        <f>B31</f>
        <v>1600</v>
      </c>
      <c r="AQ8" s="249" t="s">
        <v>69</v>
      </c>
      <c r="AR8" s="266" t="s">
        <v>270</v>
      </c>
      <c r="AS8" s="287">
        <f>B31</f>
        <v>1600</v>
      </c>
      <c r="AT8" s="249" t="s">
        <v>69</v>
      </c>
      <c r="AU8" s="266" t="s">
        <v>270</v>
      </c>
      <c r="AV8" s="287">
        <f>B31</f>
        <v>1600</v>
      </c>
      <c r="AW8" s="249" t="s">
        <v>69</v>
      </c>
      <c r="AX8" s="266" t="s">
        <v>270</v>
      </c>
      <c r="AY8" s="287">
        <f>B31</f>
        <v>1600</v>
      </c>
      <c r="AZ8" s="249" t="s">
        <v>69</v>
      </c>
      <c r="BA8" s="266" t="s">
        <v>270</v>
      </c>
      <c r="BB8" s="287">
        <f>B31</f>
        <v>1600</v>
      </c>
      <c r="BC8" s="249" t="s">
        <v>69</v>
      </c>
      <c r="BD8" s="266" t="s">
        <v>270</v>
      </c>
      <c r="BE8" s="287">
        <f>B31</f>
        <v>1600</v>
      </c>
      <c r="BF8" s="249" t="s">
        <v>69</v>
      </c>
      <c r="BG8" s="266" t="s">
        <v>270</v>
      </c>
      <c r="BH8" s="287">
        <f>B31</f>
        <v>1600</v>
      </c>
      <c r="BI8" s="249" t="s">
        <v>69</v>
      </c>
      <c r="BJ8" s="266" t="s">
        <v>270</v>
      </c>
      <c r="BK8" s="287">
        <f>B31</f>
        <v>1600</v>
      </c>
      <c r="BL8" s="249" t="s">
        <v>69</v>
      </c>
      <c r="BM8" s="266" t="s">
        <v>270</v>
      </c>
      <c r="BN8" s="287">
        <f>B31</f>
        <v>1600</v>
      </c>
      <c r="BO8" s="249" t="s">
        <v>69</v>
      </c>
      <c r="BP8" s="266" t="s">
        <v>270</v>
      </c>
      <c r="BQ8" s="287">
        <f>B31</f>
        <v>1600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1.6813889280000001E-11</v>
      </c>
      <c r="BX8" s="263" t="s">
        <v>35</v>
      </c>
      <c r="BY8" s="262" t="s">
        <v>71</v>
      </c>
      <c r="BZ8" s="287">
        <f>B23</f>
        <v>8.3719157040000005E-6</v>
      </c>
      <c r="CA8" s="262" t="s">
        <v>95</v>
      </c>
      <c r="CB8" s="266" t="s">
        <v>270</v>
      </c>
      <c r="CC8" s="287">
        <f>B31</f>
        <v>1600</v>
      </c>
      <c r="CD8" s="249" t="s">
        <v>69</v>
      </c>
      <c r="CE8" s="266" t="s">
        <v>270</v>
      </c>
      <c r="CF8" s="287">
        <f>B31</f>
        <v>1600</v>
      </c>
      <c r="CG8" s="249" t="s">
        <v>69</v>
      </c>
      <c r="CH8" s="266" t="s">
        <v>270</v>
      </c>
      <c r="CI8" s="287">
        <f>B31</f>
        <v>1600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1.7000000000000001E-2</v>
      </c>
      <c r="CT8" s="262" t="s">
        <v>71</v>
      </c>
      <c r="CU8" s="287">
        <f>B23</f>
        <v>8.3719157040000005E-6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1.6813889280000001E-11</v>
      </c>
      <c r="DB8" s="262" t="s">
        <v>35</v>
      </c>
      <c r="DC8" s="262" t="s">
        <v>380</v>
      </c>
      <c r="DD8" s="297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1600</v>
      </c>
      <c r="HF8" s="249" t="s">
        <v>69</v>
      </c>
    </row>
    <row r="9" spans="1:214" x14ac:dyDescent="0.2">
      <c r="A9" s="279" t="s">
        <v>459</v>
      </c>
      <c r="B9" s="70">
        <v>0.73699999999999999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5.1429999999999997E-10</v>
      </c>
      <c r="I9" s="267" t="s">
        <v>35</v>
      </c>
      <c r="J9" s="262" t="s">
        <v>438</v>
      </c>
      <c r="K9" s="287">
        <f>B30</f>
        <v>5.1429999999999997E-10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2.9489E-10</v>
      </c>
      <c r="AD9" s="287">
        <f>B22</f>
        <v>2.9489E-10</v>
      </c>
      <c r="AE9" s="287">
        <f>B22</f>
        <v>2.9489E-10</v>
      </c>
      <c r="AF9" s="287">
        <f>B22</f>
        <v>2.9489E-10</v>
      </c>
      <c r="AG9" s="287">
        <f>B22</f>
        <v>2.9489E-10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5.1429999999999997E-10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331</v>
      </c>
      <c r="CO9" s="306">
        <f>B49</f>
        <v>0.25</v>
      </c>
      <c r="CT9" s="262" t="s">
        <v>256</v>
      </c>
      <c r="CU9" s="287">
        <f>B30</f>
        <v>5.1429999999999997E-10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5.1429999999999997E-10</v>
      </c>
      <c r="DB9" s="263" t="s">
        <v>35</v>
      </c>
      <c r="DC9" s="262" t="s">
        <v>381</v>
      </c>
      <c r="DD9" s="297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3.8000000000000002E-4</v>
      </c>
      <c r="EA9" s="262" t="s">
        <v>278</v>
      </c>
      <c r="EB9" s="287">
        <f>B37</f>
        <v>3.8000000000000002E-4</v>
      </c>
      <c r="EC9" s="263"/>
      <c r="ED9" s="262" t="s">
        <v>278</v>
      </c>
      <c r="EE9" s="287">
        <f>B37</f>
        <v>3.8000000000000002E-4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1.6999999999999999E-3</v>
      </c>
      <c r="EP9" s="262" t="s">
        <v>275</v>
      </c>
      <c r="EQ9" s="310">
        <f>B38</f>
        <v>1.6999999999999999E-3</v>
      </c>
      <c r="ER9" s="263"/>
      <c r="ES9" s="262" t="s">
        <v>275</v>
      </c>
      <c r="ET9" s="310">
        <f>B38</f>
        <v>1.6999999999999999E-3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0.10100000000000001</v>
      </c>
      <c r="C10" s="241"/>
      <c r="D10" s="88" t="s">
        <v>43</v>
      </c>
      <c r="E10" s="187">
        <f>B19</f>
        <v>2.8231E-8</v>
      </c>
      <c r="F10" s="188" t="s">
        <v>35</v>
      </c>
      <c r="G10" s="266" t="s">
        <v>80</v>
      </c>
      <c r="H10" s="294">
        <f>H5/(H6*H15)</f>
        <v>0.13579018699720966</v>
      </c>
      <c r="I10" s="271" t="s">
        <v>14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2.8231E-8</v>
      </c>
      <c r="X10" s="263" t="s">
        <v>44</v>
      </c>
      <c r="Y10" s="249" t="s">
        <v>43</v>
      </c>
      <c r="Z10" s="290">
        <f>B19</f>
        <v>2.8231E-8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2.8231E-8</v>
      </c>
      <c r="BU10" s="263" t="s">
        <v>35</v>
      </c>
      <c r="BV10" s="266" t="s">
        <v>80</v>
      </c>
      <c r="BW10" s="294">
        <f>BW5/(BW6*BW12)</f>
        <v>26.653872807718962</v>
      </c>
      <c r="BX10" s="271" t="s">
        <v>12</v>
      </c>
      <c r="BY10" s="188" t="s">
        <v>16</v>
      </c>
      <c r="BZ10" s="191">
        <f>(BZ33*BZ11)/(1-EXP(-BZ11*BZ33))</f>
        <v>1.0056411929569626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266" t="s">
        <v>270</v>
      </c>
      <c r="CL10" s="287">
        <f>B31</f>
        <v>1600</v>
      </c>
      <c r="CM10" s="249" t="s">
        <v>69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2.8231E-8</v>
      </c>
      <c r="CY10" s="263" t="s">
        <v>35</v>
      </c>
      <c r="CZ10" s="263" t="s">
        <v>16</v>
      </c>
      <c r="DA10" s="288">
        <f>(DA38*DA11)/(1-EXP(-DA11*DA38))</f>
        <v>1.0086875128436219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1.4789999999999999E-2</v>
      </c>
      <c r="DL10" s="267"/>
      <c r="DO10" s="267" t="s">
        <v>37</v>
      </c>
      <c r="DP10" s="287">
        <f>B44</f>
        <v>1.4789999999999999E-2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0.751</v>
      </c>
      <c r="C11" s="241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H5/(H7*H16*H28)</f>
        <v>4.4002551267922517E-4</v>
      </c>
      <c r="I11" s="271" t="s">
        <v>14</v>
      </c>
      <c r="J11" s="188" t="s">
        <v>16</v>
      </c>
      <c r="K11" s="109">
        <f>(K46*K12)/(1-EXP(-K12*K46))</f>
        <v>1.0056411929569626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BW5/(BW8*(1/BW31)*BW15)</f>
        <v>267178.37958236464</v>
      </c>
      <c r="BX11" s="271" t="s">
        <v>12</v>
      </c>
      <c r="BY11" s="266" t="s">
        <v>23</v>
      </c>
      <c r="BZ11" s="109">
        <f>0.693/BZ12</f>
        <v>4.3312499999999997E-4</v>
      </c>
      <c r="CA11" s="88"/>
      <c r="CB11" s="249" t="s">
        <v>456</v>
      </c>
      <c r="CC11" s="287">
        <f>B3</f>
        <v>0.124</v>
      </c>
      <c r="CE11" s="249" t="s">
        <v>454</v>
      </c>
      <c r="CF11" s="287">
        <f>B6</f>
        <v>5.8099999999999999E-2</v>
      </c>
      <c r="CH11" s="249" t="s">
        <v>460</v>
      </c>
      <c r="CI11" s="287">
        <f>B10</f>
        <v>0.10100000000000001</v>
      </c>
      <c r="CK11" s="249" t="s">
        <v>23</v>
      </c>
      <c r="CL11" s="288">
        <f>0.693/CL10</f>
        <v>4.3312499999999997E-4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1.0086875128436219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4.3312499999999997E-4</v>
      </c>
      <c r="DC11" s="262" t="s">
        <v>382</v>
      </c>
      <c r="DD11" s="297">
        <f>B141</f>
        <v>41.7</v>
      </c>
      <c r="DE11" s="267" t="s">
        <v>254</v>
      </c>
      <c r="DF11" s="267" t="s">
        <v>55</v>
      </c>
      <c r="DG11" s="288">
        <f>DG19+DG20</f>
        <v>2.8186643835616437E-5</v>
      </c>
      <c r="DL11" s="267"/>
      <c r="DO11" s="267" t="s">
        <v>55</v>
      </c>
      <c r="DP11" s="288">
        <f>DP19+DP20</f>
        <v>2.8186643835616437E-5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3.44E-2</v>
      </c>
      <c r="C12" s="241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H5/(H8*(1/H45)*H21)</f>
        <v>85353.512481259997</v>
      </c>
      <c r="I12" s="271" t="s">
        <v>14</v>
      </c>
      <c r="J12" s="266" t="s">
        <v>23</v>
      </c>
      <c r="K12" s="109">
        <f>0.693/K13</f>
        <v>4.3312499999999997E-4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1600</v>
      </c>
      <c r="CA12" s="88" t="s">
        <v>69</v>
      </c>
      <c r="CB12" s="249" t="s">
        <v>457</v>
      </c>
      <c r="CC12" s="287">
        <f>B4</f>
        <v>0.79200000000000004</v>
      </c>
      <c r="CE12" s="249" t="s">
        <v>455</v>
      </c>
      <c r="CF12" s="287">
        <f>B7</f>
        <v>0.624</v>
      </c>
      <c r="CH12" s="249" t="s">
        <v>461</v>
      </c>
      <c r="CI12" s="287">
        <f>B11</f>
        <v>0.751</v>
      </c>
      <c r="CK12" s="249" t="s">
        <v>16</v>
      </c>
      <c r="CL12" s="288">
        <f>(CL13*CL11)/(1-EXP(-CL11*CL13))</f>
        <v>1.0056411929569626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4.3312499999999997E-4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1600</v>
      </c>
      <c r="DB12" s="249" t="s">
        <v>69</v>
      </c>
      <c r="DC12" s="262" t="s">
        <v>383</v>
      </c>
      <c r="DD12" s="297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0.45600000000000002</v>
      </c>
      <c r="C13" s="242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>
        <f>H14/((1/H42)*(H50+H51+H52))</f>
        <v>0.23659153611308417</v>
      </c>
      <c r="I13" s="271" t="s">
        <v>14</v>
      </c>
      <c r="J13" s="266" t="s">
        <v>270</v>
      </c>
      <c r="K13" s="189">
        <f>B31</f>
        <v>1600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0.124</v>
      </c>
      <c r="BM13" s="249" t="s">
        <v>454</v>
      </c>
      <c r="BN13" s="287">
        <f>B6</f>
        <v>5.8099999999999999E-2</v>
      </c>
      <c r="BP13" s="249" t="s">
        <v>460</v>
      </c>
      <c r="BQ13" s="287">
        <f>B10</f>
        <v>0.10100000000000001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>
        <f>(BZ5/(BZ6*BZ16*(1/BZ36)))*BZ10</f>
        <v>6.1884088573632807</v>
      </c>
      <c r="CA13" s="271" t="s">
        <v>13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111</v>
      </c>
      <c r="CL13" s="289">
        <f>B109</f>
        <v>26</v>
      </c>
      <c r="CM13" s="249" t="s">
        <v>69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1600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>
        <f>DA5/(DA6*DA23)</f>
        <v>8.2794462812304015E-2</v>
      </c>
      <c r="DB13" s="266" t="s">
        <v>14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thickTop="1" x14ac:dyDescent="0.2">
      <c r="A14" s="583" t="s">
        <v>272</v>
      </c>
      <c r="B14" s="584"/>
      <c r="C14" s="685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>
        <f>H5/(H9*(H22+H25)*H43)</f>
        <v>3.1714341718641756E-3</v>
      </c>
      <c r="I14" s="271" t="s">
        <v>13</v>
      </c>
      <c r="J14" s="266" t="s">
        <v>80</v>
      </c>
      <c r="K14" s="294">
        <f>(K5/(K6*K19*(1/K49)))*K11</f>
        <v>1.3260876122921315</v>
      </c>
      <c r="L14" s="271" t="s">
        <v>13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7.7413948559999998E-9</v>
      </c>
      <c r="X14" s="262" t="s">
        <v>64</v>
      </c>
      <c r="Y14" s="262" t="s">
        <v>63</v>
      </c>
      <c r="Z14" s="287">
        <f>B28</f>
        <v>7.7413948559999998E-9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0.79200000000000004</v>
      </c>
      <c r="BM14" s="249" t="s">
        <v>455</v>
      </c>
      <c r="BN14" s="287">
        <f>B7</f>
        <v>0.624</v>
      </c>
      <c r="BP14" s="249" t="s">
        <v>461</v>
      </c>
      <c r="BQ14" s="287">
        <f>B11</f>
        <v>0.751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(BZ5/(BZ7*BZ17*(1/BZ9)*BZ35))*BZ10</f>
        <v>33685.148408903246</v>
      </c>
      <c r="CA14" s="271" t="s">
        <v>13</v>
      </c>
      <c r="CB14" s="249" t="s">
        <v>71</v>
      </c>
      <c r="CC14" s="290">
        <f>B23</f>
        <v>8.3719157040000005E-6</v>
      </c>
      <c r="CD14" s="263" t="s">
        <v>72</v>
      </c>
      <c r="CE14" s="249" t="s">
        <v>71</v>
      </c>
      <c r="CF14" s="290">
        <f>B25</f>
        <v>1.5599552831999999E-6</v>
      </c>
      <c r="CG14" s="263" t="s">
        <v>72</v>
      </c>
      <c r="CH14" s="249" t="s">
        <v>71</v>
      </c>
      <c r="CI14" s="290">
        <f>B27</f>
        <v>7.0991976959999998E-6</v>
      </c>
      <c r="CJ14" s="263" t="s">
        <v>72</v>
      </c>
      <c r="CK14" s="263"/>
      <c r="CL14" s="307"/>
      <c r="CM14" s="263"/>
      <c r="CO14" s="308"/>
      <c r="CQ14" s="263"/>
      <c r="CR14" s="307"/>
      <c r="CS14" s="263"/>
      <c r="CT14" s="266" t="s">
        <v>80</v>
      </c>
      <c r="CU14" s="294">
        <f>(CU5/(CU6*CU24*(1/CU47)))*CU11</f>
        <v>0.92529018332991331</v>
      </c>
      <c r="CV14" s="271" t="s">
        <v>13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DA5/(DA7*DA24*DA46)</f>
        <v>2.7352937274654533E-4</v>
      </c>
      <c r="DB14" s="266" t="s">
        <v>14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(K5/(K7*K20*(1/K10)*K48))*K11</f>
        <v>300.76025365092192</v>
      </c>
      <c r="L15" s="271" t="s">
        <v>13</v>
      </c>
      <c r="M15" s="249" t="s">
        <v>448</v>
      </c>
      <c r="N15" s="290">
        <f>B23</f>
        <v>8.3719157040000005E-6</v>
      </c>
      <c r="O15" s="263" t="s">
        <v>446</v>
      </c>
      <c r="P15" s="249" t="s">
        <v>449</v>
      </c>
      <c r="Q15" s="290">
        <f>B25</f>
        <v>1.5599552831999999E-6</v>
      </c>
      <c r="R15" s="263" t="s">
        <v>446</v>
      </c>
      <c r="S15" s="249" t="s">
        <v>453</v>
      </c>
      <c r="T15" s="290">
        <f>B27</f>
        <v>7.0991976959999998E-6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8.3719157040000005E-6</v>
      </c>
      <c r="AK15" s="263" t="s">
        <v>72</v>
      </c>
      <c r="AL15" s="262" t="s">
        <v>449</v>
      </c>
      <c r="AM15" s="290">
        <f>B25</f>
        <v>1.5599552831999999E-6</v>
      </c>
      <c r="AN15" s="263" t="s">
        <v>72</v>
      </c>
      <c r="AO15" s="262" t="s">
        <v>452</v>
      </c>
      <c r="AP15" s="290">
        <f>B27</f>
        <v>7.0991976959999998E-6</v>
      </c>
      <c r="AQ15" s="263" t="s">
        <v>72</v>
      </c>
      <c r="AR15" s="249" t="s">
        <v>448</v>
      </c>
      <c r="AS15" s="290">
        <f>B23</f>
        <v>8.3719157040000005E-6</v>
      </c>
      <c r="AT15" s="263" t="s">
        <v>72</v>
      </c>
      <c r="AU15" s="262" t="s">
        <v>449</v>
      </c>
      <c r="AV15" s="290">
        <f>B25</f>
        <v>1.5599552831999999E-6</v>
      </c>
      <c r="AW15" s="263" t="s">
        <v>72</v>
      </c>
      <c r="AX15" s="262" t="s">
        <v>452</v>
      </c>
      <c r="AY15" s="290">
        <f>B27</f>
        <v>7.0991976959999998E-6</v>
      </c>
      <c r="AZ15" s="263" t="s">
        <v>72</v>
      </c>
      <c r="BA15" s="249" t="s">
        <v>448</v>
      </c>
      <c r="BB15" s="290">
        <f>B23</f>
        <v>8.3719157040000005E-6</v>
      </c>
      <c r="BC15" s="263" t="s">
        <v>72</v>
      </c>
      <c r="BD15" s="262" t="s">
        <v>449</v>
      </c>
      <c r="BE15" s="290">
        <f>B25</f>
        <v>1.5599552831999999E-6</v>
      </c>
      <c r="BF15" s="263" t="s">
        <v>72</v>
      </c>
      <c r="BG15" s="262" t="s">
        <v>452</v>
      </c>
      <c r="BH15" s="290">
        <f>B27</f>
        <v>7.0991976959999998E-6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((BZ5)/(BZ8*BZ22*(1/BZ34)*BZ25*BZ28*(1/24)*BZ31*BZ32))*BZ10</f>
        <v>5.4946601466585969</v>
      </c>
      <c r="CA15" s="271" t="s">
        <v>13</v>
      </c>
      <c r="CT15" s="266" t="s">
        <v>74</v>
      </c>
      <c r="CU15" s="295">
        <f>(CU5/(CU7*CU25*(1/CU10)*CU46))*CU11</f>
        <v>187.52541890060326</v>
      </c>
      <c r="CV15" s="271" t="s">
        <v>13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DA5/(DA8*DA25*(DA47/DA48))</f>
        <v>54366.883041386951</v>
      </c>
      <c r="DB15" s="266" t="s">
        <v>14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s="51" customFormat="1" x14ac:dyDescent="0.2">
      <c r="A16" s="585"/>
      <c r="B16" s="586"/>
      <c r="C16" s="6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(K5/(K8*K45*((K40*K44*(1/24))+(K41*K43*(1/24)))*K32*(1/K47)*K34))*K11</f>
        <v>1.3900842461540872E-2</v>
      </c>
      <c r="L16" s="271" t="s">
        <v>13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(W5)/((W11/W12)*W8*W9*W10*W13)</f>
        <v>3.1486270018380108E-4</v>
      </c>
      <c r="X16" s="88" t="s">
        <v>15</v>
      </c>
      <c r="Y16" s="88" t="s">
        <v>74</v>
      </c>
      <c r="Z16" s="294">
        <f>(Z5)/((Z11/Z12)*Z8*Z9*Z10*Z13)</f>
        <v>2.8337643016542103E-4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0.124</v>
      </c>
      <c r="AG16" s="305">
        <f>B3</f>
        <v>0.124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8.3719157040000005E-6</v>
      </c>
      <c r="BL16" s="263" t="s">
        <v>72</v>
      </c>
      <c r="BM16" s="262" t="s">
        <v>449</v>
      </c>
      <c r="BN16" s="290">
        <f>B25</f>
        <v>1.5599552831999999E-6</v>
      </c>
      <c r="BO16" s="263" t="s">
        <v>72</v>
      </c>
      <c r="BP16" s="262" t="s">
        <v>452</v>
      </c>
      <c r="BQ16" s="290">
        <f>B27</f>
        <v>7.0991976959999998E-6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2"/>
      <c r="CC16" s="293"/>
      <c r="CD16" s="262"/>
      <c r="CE16" s="262"/>
      <c r="CF16" s="293"/>
      <c r="CG16" s="262"/>
      <c r="CH16" s="249"/>
      <c r="CI16" s="289"/>
      <c r="CJ16" s="249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(CU5*CU44*CU12)/((1-EXP(-CU12*CU44))*CU8*CU31*(1/365)*CU32*((CU38*(1/24)*CU42)+(CU39*(1/24)*CU41))*CU43)</f>
        <v>4.6619286214940915E-3</v>
      </c>
      <c r="CV16" s="271" t="s">
        <v>13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>
        <f>DG2</f>
        <v>3.7869605969525162E-2</v>
      </c>
      <c r="DB16" s="266" t="s">
        <v>14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4.9501186643835612E-2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4.9501186643835612E-2</v>
      </c>
      <c r="DQ16" s="262" t="s">
        <v>82</v>
      </c>
      <c r="DR16" s="267" t="s">
        <v>400</v>
      </c>
      <c r="DS16" s="297">
        <f>B175</f>
        <v>1</v>
      </c>
      <c r="DT16" s="249"/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4.9501186643835612E-2</v>
      </c>
      <c r="EF16" s="262" t="s">
        <v>82</v>
      </c>
      <c r="EG16" s="267" t="s">
        <v>401</v>
      </c>
      <c r="EH16" s="297">
        <f>B176</f>
        <v>1</v>
      </c>
      <c r="EI16" s="249"/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4.9501186643835612E-2</v>
      </c>
      <c r="EU16" s="262" t="s">
        <v>82</v>
      </c>
      <c r="EV16" s="267" t="s">
        <v>402</v>
      </c>
      <c r="EW16" s="297">
        <f>B177</f>
        <v>1</v>
      </c>
      <c r="EX16" s="249"/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4.9501186643835612E-2</v>
      </c>
      <c r="FJ16" s="262" t="s">
        <v>82</v>
      </c>
      <c r="FK16" s="267" t="s">
        <v>403</v>
      </c>
      <c r="FL16" s="297">
        <f>B178</f>
        <v>1</v>
      </c>
      <c r="FM16" s="249"/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B16" s="249"/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4.9501186643835612E-2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4.9501186643835612E-2</v>
      </c>
      <c r="HC16" s="262" t="s">
        <v>82</v>
      </c>
      <c r="HD16" s="262"/>
      <c r="HE16" s="293"/>
      <c r="HF16" s="262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>
        <f>(K18/(K50+K51))*K11</f>
        <v>1.1606407962363865E-2</v>
      </c>
      <c r="L17" s="271" t="s">
        <v>13</v>
      </c>
      <c r="M17" s="262"/>
      <c r="N17" s="293"/>
      <c r="O17" s="262"/>
      <c r="P17" s="262"/>
      <c r="Q17" s="293"/>
      <c r="R17" s="262"/>
      <c r="S17" s="262"/>
      <c r="T17" s="293"/>
      <c r="U17" s="262"/>
      <c r="V17" s="88" t="s">
        <v>78</v>
      </c>
      <c r="W17" s="296">
        <f>(W5)/((W11/W12)*W8*W9*W14*(1/365))</f>
        <v>25.146200431281382</v>
      </c>
      <c r="X17" s="88" t="s">
        <v>15</v>
      </c>
      <c r="Y17" s="88" t="s">
        <v>78</v>
      </c>
      <c r="Z17" s="296">
        <f>(Z5)/((Z11/Z12)*Z8*Z9*Z14*(1/365))</f>
        <v>22.631580388153246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262"/>
      <c r="AJ17" s="293"/>
      <c r="AK17" s="262"/>
      <c r="AL17" s="262"/>
      <c r="AM17" s="293"/>
      <c r="AN17" s="262"/>
      <c r="AO17" s="262"/>
      <c r="AP17" s="293"/>
      <c r="AQ17" s="262"/>
      <c r="AR17" s="262"/>
      <c r="AS17" s="293"/>
      <c r="AT17" s="262"/>
      <c r="AU17" s="262"/>
      <c r="AV17" s="293"/>
      <c r="AW17" s="262"/>
      <c r="AX17" s="262"/>
      <c r="AY17" s="293"/>
      <c r="AZ17" s="262"/>
      <c r="BA17" s="262"/>
      <c r="BB17" s="293"/>
      <c r="BC17" s="262"/>
      <c r="BD17" s="262"/>
      <c r="BE17" s="293"/>
      <c r="BF17" s="262"/>
      <c r="BG17" s="262"/>
      <c r="BH17" s="293"/>
      <c r="BI17" s="262"/>
      <c r="BJ17" s="262"/>
      <c r="BK17" s="293"/>
      <c r="BL17" s="262"/>
      <c r="BM17" s="262"/>
      <c r="BN17" s="293"/>
      <c r="BO17" s="262"/>
      <c r="BP17" s="262"/>
      <c r="BQ17" s="293"/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1.8633867545363161E-3</v>
      </c>
      <c r="CV17" s="271" t="s">
        <v>13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4.3312499999999997E-4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7.7413948559999998E-9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>
        <f>K5/(K9*(K25+K28)*K39)</f>
        <v>3.1714341718641756E-3</v>
      </c>
      <c r="L18" s="271" t="s">
        <v>13</v>
      </c>
      <c r="V18" s="88" t="s">
        <v>74</v>
      </c>
      <c r="W18" s="294">
        <f>(W5*W6*W9)/((W11/W12)*(1-EXP(-W6*W9))*W10*W13*W8*W9)</f>
        <v>3.1657046294162878E-4</v>
      </c>
      <c r="X18" s="88" t="s">
        <v>16</v>
      </c>
      <c r="Y18" s="88" t="s">
        <v>74</v>
      </c>
      <c r="Z18" s="294">
        <f>(Z5*Z6*Z9)/((Z11/Z12)*(1-EXP(-Z6*Z9))*Z10*Z13*Z8*Z9)</f>
        <v>2.849134166474658E-4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13</v>
      </c>
      <c r="CW18" s="266" t="s">
        <v>63</v>
      </c>
      <c r="CX18" s="189">
        <f>B28</f>
        <v>7.7413948559999998E-9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4.3312499999999997E-4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4.3312499999999997E-4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4.3312499999999997E-4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4.3312499999999997E-4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4.3312499999999997E-4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1600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2.8231E-8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(W5*W6*W9)/((W11/W12)*(1-EXP(-W6*W9))*W14*W8*W9*(1/365))</f>
        <v>25.282589227325953</v>
      </c>
      <c r="X19" s="88" t="s">
        <v>16</v>
      </c>
      <c r="Y19" s="88" t="s">
        <v>78</v>
      </c>
      <c r="Z19" s="296">
        <f>(Z5*Z6*Z9)/((Z11/Z12)*(1-EXP(-Z6*Z9))*Z14*Z8*Z9*(1/365))</f>
        <v>22.75433030459336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0.79200000000000004</v>
      </c>
      <c r="AG19" s="305">
        <f>B4</f>
        <v>0.79200000000000004</v>
      </c>
      <c r="AH19" s="267"/>
      <c r="BS19" s="262" t="s">
        <v>63</v>
      </c>
      <c r="BT19" s="287">
        <f>E18</f>
        <v>7.7413948559999998E-9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(CC22*CC23*CC24)/((1-EXP(-CC24*CC23))*CC27*CC31*(CC26/365)*CC29*(CC30/24)*CC28)</f>
        <v>189.73184095813772</v>
      </c>
      <c r="CD19" s="404" t="s">
        <v>94</v>
      </c>
      <c r="CE19" s="402" t="s">
        <v>562</v>
      </c>
      <c r="CF19" s="400">
        <f>(CF22*CF23*CF24)/((1-EXP(-CF24*CF23))*CF27*CF31*(CF26/365)*CF29*(CF30/24)*CF28)</f>
        <v>20.012316882438739</v>
      </c>
      <c r="CG19" s="398" t="s">
        <v>13</v>
      </c>
      <c r="CK19" s="410" t="s">
        <v>510</v>
      </c>
      <c r="CL19" s="400">
        <f>CL22/(CL23*CL24*CL25*CL26)</f>
        <v>0.99712329928157262</v>
      </c>
      <c r="CM19" s="404" t="s">
        <v>13</v>
      </c>
      <c r="CN19" s="402" t="s">
        <v>7</v>
      </c>
      <c r="CO19" s="400">
        <f>(CL19/(CO22*((CO27*CO29*CO30*(CO23+CO24))+(CO28*CO29))))*CL29</f>
        <v>465.55005534829991</v>
      </c>
      <c r="CP19" s="412" t="s">
        <v>13</v>
      </c>
      <c r="CQ19" s="402" t="s">
        <v>6</v>
      </c>
      <c r="CR19" s="400">
        <f>CL19/(CR22*CR23*(1/CR24))</f>
        <v>586543.11722445441</v>
      </c>
      <c r="CS19" s="415" t="s">
        <v>14</v>
      </c>
      <c r="CT19" s="266" t="s">
        <v>258</v>
      </c>
      <c r="CU19" s="295" t="e">
        <f>GV2</f>
        <v>#DIV/0!</v>
      </c>
      <c r="CV19" s="271" t="s">
        <v>13</v>
      </c>
      <c r="CW19" s="266" t="s">
        <v>255</v>
      </c>
      <c r="CX19" s="304">
        <f>B173</f>
        <v>1</v>
      </c>
      <c r="CY19" s="88"/>
      <c r="CZ19" s="266" t="s">
        <v>184</v>
      </c>
      <c r="DA19" s="295">
        <f>EK2</f>
        <v>9.7985206993032961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1600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1600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1600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1600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1600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267"/>
      <c r="GP19" s="292"/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3.8480000000000001E-10</v>
      </c>
      <c r="C20" s="263" t="s">
        <v>35</v>
      </c>
      <c r="D20" s="88" t="s">
        <v>74</v>
      </c>
      <c r="E20" s="294">
        <f>(E5)/(E10*E11)</f>
        <v>2.2001275633961258E-4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AB20" s="262" t="s">
        <v>71</v>
      </c>
      <c r="AC20" s="287">
        <f>B23</f>
        <v>8.3719157040000005E-6</v>
      </c>
      <c r="AD20" s="287">
        <f>B23</f>
        <v>8.3719157040000005E-6</v>
      </c>
      <c r="AE20" s="287">
        <f>B23</f>
        <v>8.3719157040000005E-6</v>
      </c>
      <c r="AF20" s="287">
        <f>B23</f>
        <v>8.3719157040000005E-6</v>
      </c>
      <c r="AG20" s="287">
        <f>B23</f>
        <v>8.3719157040000005E-6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0.14380789770672253</v>
      </c>
      <c r="CV20" s="271" t="s">
        <v>13</v>
      </c>
      <c r="CW20" s="88" t="s">
        <v>74</v>
      </c>
      <c r="CX20" s="294">
        <f>(CX5)/((CX14/CX15)*CX10*CX11)</f>
        <v>1.3676468637327266E-4</v>
      </c>
      <c r="CY20" s="88" t="s">
        <v>15</v>
      </c>
      <c r="CZ20" s="266" t="s">
        <v>493</v>
      </c>
      <c r="DA20" s="295">
        <f>DV2</f>
        <v>9.4898117300884302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1.1866438356164383E-6</v>
      </c>
      <c r="DH20" s="249" t="s">
        <v>82</v>
      </c>
      <c r="DL20" s="267"/>
      <c r="DO20" s="267" t="s">
        <v>90</v>
      </c>
      <c r="DP20" s="288">
        <f>0.693/B35</f>
        <v>1.1866438356164383E-6</v>
      </c>
      <c r="DQ20" s="249" t="s">
        <v>82</v>
      </c>
      <c r="DU20" s="267"/>
      <c r="EA20" s="267"/>
      <c r="EB20" s="307"/>
      <c r="EC20" s="263"/>
      <c r="ED20" s="267" t="s">
        <v>90</v>
      </c>
      <c r="EE20" s="299">
        <f>0.693/B35</f>
        <v>1.1866438356164383E-6</v>
      </c>
      <c r="EF20" s="263" t="s">
        <v>82</v>
      </c>
      <c r="EJ20" s="267"/>
      <c r="EP20" s="267"/>
      <c r="EQ20" s="307"/>
      <c r="ER20" s="263"/>
      <c r="ES20" s="267" t="s">
        <v>90</v>
      </c>
      <c r="ET20" s="299">
        <f>0.693/B35</f>
        <v>1.1866438356164383E-6</v>
      </c>
      <c r="EU20" s="263" t="s">
        <v>82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1.1866438356164383E-6</v>
      </c>
      <c r="FJ20" s="263" t="s">
        <v>82</v>
      </c>
      <c r="FK20" s="267"/>
      <c r="FL20" s="292"/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267"/>
      <c r="GA20" s="292"/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1.1866438356164383E-6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1.1866438356164383E-6</v>
      </c>
      <c r="HC20" s="263" t="s">
        <v>82</v>
      </c>
    </row>
    <row r="21" spans="1:214" ht="15" thickTop="1" thickBot="1" x14ac:dyDescent="0.25">
      <c r="A21" s="262" t="s">
        <v>316</v>
      </c>
      <c r="B21" s="315">
        <v>6.7709999999999997E-10</v>
      </c>
      <c r="C21" s="262" t="s">
        <v>35</v>
      </c>
      <c r="D21" s="88" t="s">
        <v>78</v>
      </c>
      <c r="E21" s="295">
        <f>(E5)/((E14/E15)*E8*E9*E18*(1/365)*E19)</f>
        <v>5.1812226163354493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(N24*N25*N26)/((1-EXP(-N26*N25))*N29*N34*(N28/365)*N32*(((N33/24)*N31)+((N35/24)*N30)))</f>
        <v>7.666849265326775E-2</v>
      </c>
      <c r="O21" s="637" t="s">
        <v>94</v>
      </c>
      <c r="P21" s="639" t="s">
        <v>516</v>
      </c>
      <c r="Q21" s="647">
        <f>(Q24*Q25*Q26)/((1-EXP(-Q26*Q25))*Q29*Q34*(Q28/365)*Q32*(((Q33/24)*Q31)+((Q35/24)*Q30)))</f>
        <v>2.6064079615389143E-2</v>
      </c>
      <c r="R21" s="643" t="s">
        <v>13</v>
      </c>
      <c r="AB21" s="262" t="s">
        <v>43</v>
      </c>
      <c r="AC21" s="290">
        <f>B19</f>
        <v>2.8231E-8</v>
      </c>
      <c r="AD21" s="290">
        <f>B19</f>
        <v>2.8231E-8</v>
      </c>
      <c r="AE21" s="290">
        <f>B19</f>
        <v>2.8231E-8</v>
      </c>
      <c r="AF21" s="290">
        <f>B19</f>
        <v>2.8231E-8</v>
      </c>
      <c r="AG21" s="290">
        <f>B19</f>
        <v>2.8231E-8</v>
      </c>
      <c r="AH21" s="263" t="s">
        <v>35</v>
      </c>
      <c r="AI21" s="381" t="s">
        <v>516</v>
      </c>
      <c r="AJ21" s="387">
        <f>(AJ24*AJ25*AJ26)/((1-EXP(-AJ26*AJ25))*AJ34*(AJ28/365)*AJ29*(AJ35/24)*AJ30*AJ32)</f>
        <v>0.29011771138356529</v>
      </c>
      <c r="AK21" s="629" t="s">
        <v>94</v>
      </c>
      <c r="AL21" s="383" t="s">
        <v>516</v>
      </c>
      <c r="AM21" s="387">
        <f>(AM24*AM25*AM26)/((1-EXP(-AM26*AM25))*AM34*(AM28/365)*AM29*(AM35/24)*AM30*AM32)</f>
        <v>9.862788305403633E-2</v>
      </c>
      <c r="AN21" s="635" t="s">
        <v>13</v>
      </c>
      <c r="AR21" s="381" t="s">
        <v>516</v>
      </c>
      <c r="AS21" s="387">
        <f>(AS24*AS25*AS26)/((1-EXP(-AS26*AS25))*AS34*(AS28/365)*AS29*(AS33/24)*AS31*AS32)</f>
        <v>0.12894120505936235</v>
      </c>
      <c r="AT21" s="391" t="s">
        <v>94</v>
      </c>
      <c r="AU21" s="383" t="s">
        <v>516</v>
      </c>
      <c r="AV21" s="387">
        <f>(AV24*AV25*AV26)/((1-EXP(-AV26*AV25))*AV34*(AV28/365)*AV29*(AV33/24)*AV31*AV32)</f>
        <v>4.3834614690682817E-2</v>
      </c>
      <c r="AW21" s="385" t="s">
        <v>13</v>
      </c>
      <c r="BA21" s="381" t="s">
        <v>516</v>
      </c>
      <c r="BB21" s="387">
        <f>(BB24*BB25*BB26)/((1-EXP(-BB26*BB25))*BB34*(BB28/365)*BB29*((BB33+BB35)/24)*BB31*BB32)</f>
        <v>0.11604708455342612</v>
      </c>
      <c r="BC21" s="391" t="s">
        <v>94</v>
      </c>
      <c r="BD21" s="383" t="s">
        <v>516</v>
      </c>
      <c r="BE21" s="387">
        <f>(BE24*BE25*BE26)/((1-EXP(-BE26*BE25))*BE34*(BE28/365)*BE29*((BE33+BE35)/24)*BE31*BE32)</f>
        <v>3.9451153221614535E-2</v>
      </c>
      <c r="BF21" s="385" t="s">
        <v>13</v>
      </c>
      <c r="BJ21" s="381" t="s">
        <v>561</v>
      </c>
      <c r="BK21" s="389">
        <f>(BK24*BK25*BK26)/((1-EXP(-BK26*BK25))*BK31*BK35*(BK28/365)*BK33*(BK34/24)*BK32)</f>
        <v>353.82823551119168</v>
      </c>
      <c r="BL21" s="391" t="s">
        <v>94</v>
      </c>
      <c r="BM21" s="383" t="s">
        <v>562</v>
      </c>
      <c r="BN21" s="389">
        <f>(BN24*BN25*BN26)/((1-EXP(-BN26*BN25))*BN31*BN35*(BN28/365)*BN33*(BN34/24)*BN32)</f>
        <v>37.320687636011819</v>
      </c>
      <c r="BO21" s="385" t="s">
        <v>13</v>
      </c>
      <c r="BS21" s="88" t="s">
        <v>74</v>
      </c>
      <c r="BT21" s="294">
        <f>(BT5)/(BT10*BT11)</f>
        <v>2.4641428710036606E-2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0.15131139025217705</v>
      </c>
      <c r="CV21" s="271" t="s">
        <v>13</v>
      </c>
      <c r="CW21" s="88" t="s">
        <v>78</v>
      </c>
      <c r="CX21" s="296">
        <f>(CX5)/((CX14/CX15)*CX8*CX9*CX18*(1/365)*CX19)</f>
        <v>3.3677947006180422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4.3312499999999997E-4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/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2.9489E-10</v>
      </c>
      <c r="C22" s="262" t="s">
        <v>35</v>
      </c>
      <c r="D22" s="88" t="s">
        <v>74</v>
      </c>
      <c r="E22" s="295">
        <f>(E5*E9*E6)/((1-EXP(-E6*E9))*E10*E11)</f>
        <v>2.2125389075111751E-4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(BT5)/((BT14/24)*(BT8/365)*BT9*BT19*BT20)</f>
        <v>580.29693302957037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1.6999999999999999E-3</v>
      </c>
      <c r="CQ22" s="262" t="s">
        <v>265</v>
      </c>
      <c r="CR22" s="287">
        <f>CO22</f>
        <v>1.6999999999999999E-3</v>
      </c>
      <c r="CT22" s="266" t="s">
        <v>492</v>
      </c>
      <c r="CU22" s="295" t="e">
        <f>GG2</f>
        <v>#DIV/0!</v>
      </c>
      <c r="CV22" s="271" t="s">
        <v>13</v>
      </c>
      <c r="CW22" s="88" t="s">
        <v>74</v>
      </c>
      <c r="CX22" s="294">
        <f>(CX5*CX9*CX6)/((CX14/CX15)*(1-EXP(-CX6*CX9))*CX10*CX11)</f>
        <v>1.3795283134269439E-4</v>
      </c>
      <c r="CY22" s="88" t="s">
        <v>16</v>
      </c>
      <c r="CZ22" s="266" t="s">
        <v>183</v>
      </c>
      <c r="DA22" s="296">
        <f>FO2</f>
        <v>0.25342133963097929</v>
      </c>
      <c r="DB22" s="88"/>
      <c r="DC22" s="266" t="s">
        <v>270</v>
      </c>
      <c r="DD22" s="287">
        <f>B31</f>
        <v>1600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8.3719157040000005E-6</v>
      </c>
      <c r="C23" s="262" t="s">
        <v>95</v>
      </c>
      <c r="D23" s="88" t="s">
        <v>78</v>
      </c>
      <c r="E23" s="296">
        <f>(E5*E9*E6)/((E14/E15)*E8*E9*(1-EXP(-E6*E9))*E18*(1/365)*E19)</f>
        <v>5.2104508928671764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(BT5*BT28*BT6)/((1-EXP(-BT6*BT28))*BT10*BT11)</f>
        <v>2.4780435764125162E-2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5.1429999999999997E-10</v>
      </c>
      <c r="CM23" s="266" t="s">
        <v>13</v>
      </c>
      <c r="CN23" s="249" t="s">
        <v>21</v>
      </c>
      <c r="CO23" s="290">
        <f>CO25</f>
        <v>1.7000000000000001E-2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2.5562294077387129E-4</v>
      </c>
      <c r="CV23" s="271" t="s">
        <v>13</v>
      </c>
      <c r="CW23" s="88" t="s">
        <v>78</v>
      </c>
      <c r="CX23" s="296">
        <f>(CX5*CX9*CX6)/((CX14/CX15)*CX8*CX9*(1-EXP(-CX6*CX9))*CX18*(1/365)*CX19)</f>
        <v>3.3970524603343426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F23" s="262" t="s">
        <v>17</v>
      </c>
      <c r="DG23" s="287">
        <f>B35</f>
        <v>584000</v>
      </c>
      <c r="DH23" s="249" t="s">
        <v>257</v>
      </c>
      <c r="DO23" s="262" t="s">
        <v>20</v>
      </c>
      <c r="DP23" s="305">
        <f>DP25</f>
        <v>1.4789999999999999E-2</v>
      </c>
      <c r="EA23" s="262"/>
      <c r="EB23" s="293"/>
      <c r="EC23" s="263"/>
      <c r="ED23" s="262" t="s">
        <v>20</v>
      </c>
      <c r="EE23" s="305">
        <f>EE25</f>
        <v>1.7000000000000001E-2</v>
      </c>
      <c r="EF23" s="263"/>
      <c r="EP23" s="262"/>
      <c r="EQ23" s="293"/>
      <c r="ER23" s="263"/>
      <c r="ES23" s="262" t="s">
        <v>20</v>
      </c>
      <c r="ET23" s="305">
        <f>ET25</f>
        <v>1.7000000000000001E-2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1.4789999999999999E-2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1.4789999999999999E-2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1.4789999999999999E-2</v>
      </c>
      <c r="HC23" s="263"/>
      <c r="HD23" s="219" t="s">
        <v>574</v>
      </c>
      <c r="HE23" s="348">
        <f>(HE25*HE33*HE38*HE32*10^-3*HE31*HE27)/(HE30*HE41*(1-EXP(-HE27*HE31)))</f>
        <v>0.10572369174108645</v>
      </c>
      <c r="HF23" s="252" t="s">
        <v>13</v>
      </c>
    </row>
    <row r="24" spans="1:214" ht="14.25" thickTop="1" thickBot="1" x14ac:dyDescent="0.25">
      <c r="A24" s="262" t="s">
        <v>450</v>
      </c>
      <c r="B24" s="315">
        <v>1.5179205599999999E-6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(BT5*BT28*BT6)/((BT14/24)*(BT8/365)*BT9*(1-EXP(-BT6*BT28))*BT19*BT20)</f>
        <v>583.57050000112383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4.3312499999999997E-4</v>
      </c>
      <c r="CE24" s="262" t="s">
        <v>23</v>
      </c>
      <c r="CF24" s="288">
        <f>0.693/CF25</f>
        <v>4.3312499999999997E-4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9.2570104385567247E-6</v>
      </c>
      <c r="HF24" s="75" t="s">
        <v>13</v>
      </c>
    </row>
    <row r="25" spans="1:214" ht="13.5" thickTop="1" x14ac:dyDescent="0.2">
      <c r="A25" s="262" t="s">
        <v>449</v>
      </c>
      <c r="B25" s="315">
        <v>1.5599552831999999E-6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2.8490984921052131E-4</v>
      </c>
      <c r="X25" s="254" t="s">
        <v>10</v>
      </c>
      <c r="Y25" s="321" t="s">
        <v>16</v>
      </c>
      <c r="Z25" s="358">
        <f>1/((1/Z38)+(1/Z39))</f>
        <v>1.3626646843414914E-2</v>
      </c>
      <c r="AA25" s="255" t="s">
        <v>10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1600</v>
      </c>
      <c r="CD25" s="249" t="s">
        <v>69</v>
      </c>
      <c r="CE25" s="266" t="s">
        <v>270</v>
      </c>
      <c r="CF25" s="287">
        <f>B31</f>
        <v>1600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1.7000000000000001E-2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1.4789999999999999E-2</v>
      </c>
      <c r="EA25" s="262"/>
      <c r="EC25" s="263"/>
      <c r="ED25" s="262" t="s">
        <v>38</v>
      </c>
      <c r="EE25" s="287">
        <f>B45</f>
        <v>1.7000000000000001E-2</v>
      </c>
      <c r="EF25" s="263"/>
      <c r="EP25" s="262"/>
      <c r="ER25" s="263"/>
      <c r="ES25" s="263" t="s">
        <v>37</v>
      </c>
      <c r="ET25" s="287">
        <f>B45</f>
        <v>1.7000000000000001E-2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1.4789999999999999E-2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1.4789999999999999E-2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1.4789999999999999E-2</v>
      </c>
      <c r="HC25" s="263"/>
      <c r="HD25" s="265" t="s">
        <v>22</v>
      </c>
      <c r="HE25" s="305">
        <f>B47</f>
        <v>5</v>
      </c>
      <c r="HF25" s="262" t="s">
        <v>14</v>
      </c>
    </row>
    <row r="26" spans="1:214" ht="13.5" thickBot="1" x14ac:dyDescent="0.25">
      <c r="A26" s="262" t="s">
        <v>451</v>
      </c>
      <c r="B26" s="315">
        <v>4.4650217087999997E-6</v>
      </c>
      <c r="C26" s="262" t="s">
        <v>95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4.3312499999999997E-4</v>
      </c>
      <c r="P26" s="262" t="s">
        <v>23</v>
      </c>
      <c r="Q26" s="288">
        <f>0.693/Q27</f>
        <v>4.3312499999999997E-4</v>
      </c>
      <c r="V26" s="320" t="s">
        <v>15</v>
      </c>
      <c r="W26" s="359">
        <f>1/((1/W38)+(1/W39))</f>
        <v>2.833728819732788E-4</v>
      </c>
      <c r="X26" s="258" t="s">
        <v>10</v>
      </c>
      <c r="Y26" s="322" t="s">
        <v>15</v>
      </c>
      <c r="Z26" s="360">
        <f>1/((1/Z40)+(1/Z41))</f>
        <v>1.3623696248715327E-2</v>
      </c>
      <c r="AA26" s="259" t="s">
        <v>10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4.3312499999999997E-4</v>
      </c>
      <c r="AL26" s="262" t="s">
        <v>23</v>
      </c>
      <c r="AM26" s="288">
        <f>0.693/AM27</f>
        <v>4.3312499999999997E-4</v>
      </c>
      <c r="AR26" s="262" t="s">
        <v>23</v>
      </c>
      <c r="AS26" s="288">
        <f>0.693/AS27</f>
        <v>4.3312499999999997E-4</v>
      </c>
      <c r="AU26" s="262" t="s">
        <v>23</v>
      </c>
      <c r="AV26" s="288">
        <f>0.693/AV27</f>
        <v>4.3312499999999997E-4</v>
      </c>
      <c r="BA26" s="262" t="s">
        <v>23</v>
      </c>
      <c r="BB26" s="288">
        <f>0.693/BB27</f>
        <v>4.3312499999999997E-4</v>
      </c>
      <c r="BD26" s="262" t="s">
        <v>23</v>
      </c>
      <c r="BE26" s="288">
        <f>0.693/BE27</f>
        <v>4.3312499999999997E-4</v>
      </c>
      <c r="BJ26" s="262" t="s">
        <v>23</v>
      </c>
      <c r="BK26" s="288">
        <f>0.693/BK27</f>
        <v>4.3312499999999997E-4</v>
      </c>
      <c r="BM26" s="262" t="s">
        <v>23</v>
      </c>
      <c r="BN26" s="288">
        <f>0.693/BN27</f>
        <v>4.3312499999999997E-4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63" t="s">
        <v>331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88"/>
      <c r="CX26" s="192"/>
      <c r="CY26" s="88"/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1.7000000000000001E-2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4.3779262179128279E-4</v>
      </c>
      <c r="HF26" s="262" t="s">
        <v>14</v>
      </c>
    </row>
    <row r="27" spans="1:214" ht="15" thickTop="1" x14ac:dyDescent="0.2">
      <c r="A27" s="262" t="s">
        <v>452</v>
      </c>
      <c r="B27" s="315">
        <v>7.0991976959999998E-6</v>
      </c>
      <c r="C27" s="262" t="s">
        <v>95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1600</v>
      </c>
      <c r="O27" s="249" t="s">
        <v>69</v>
      </c>
      <c r="P27" s="266" t="s">
        <v>270</v>
      </c>
      <c r="Q27" s="287">
        <f>B31</f>
        <v>1600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4.3312499999999997E-4</v>
      </c>
      <c r="AD27" s="288">
        <f>0.693/AD28</f>
        <v>4.3312499999999997E-4</v>
      </c>
      <c r="AE27" s="288">
        <f>0.693/AE28</f>
        <v>4.3312499999999997E-4</v>
      </c>
      <c r="AF27" s="288">
        <f>0.693/AF28</f>
        <v>4.3312499999999997E-4</v>
      </c>
      <c r="AG27" s="288">
        <f>0.693/AG28</f>
        <v>4.3312499999999997E-4</v>
      </c>
      <c r="AI27" s="266" t="s">
        <v>270</v>
      </c>
      <c r="AJ27" s="287">
        <f>B31</f>
        <v>1600</v>
      </c>
      <c r="AK27" s="249" t="s">
        <v>69</v>
      </c>
      <c r="AL27" s="266" t="s">
        <v>270</v>
      </c>
      <c r="AM27" s="287">
        <f>B31</f>
        <v>1600</v>
      </c>
      <c r="AN27" s="249" t="s">
        <v>69</v>
      </c>
      <c r="AR27" s="266" t="s">
        <v>270</v>
      </c>
      <c r="AS27" s="287">
        <f>B31</f>
        <v>1600</v>
      </c>
      <c r="AT27" s="249" t="s">
        <v>69</v>
      </c>
      <c r="AU27" s="266" t="s">
        <v>270</v>
      </c>
      <c r="AV27" s="287">
        <f>B31</f>
        <v>1600</v>
      </c>
      <c r="AW27" s="249" t="s">
        <v>69</v>
      </c>
      <c r="BA27" s="266" t="s">
        <v>270</v>
      </c>
      <c r="BB27" s="287">
        <f>B31</f>
        <v>1600</v>
      </c>
      <c r="BC27" s="249" t="s">
        <v>69</v>
      </c>
      <c r="BD27" s="266" t="s">
        <v>270</v>
      </c>
      <c r="BE27" s="287">
        <f>B31</f>
        <v>1600</v>
      </c>
      <c r="BF27" s="249" t="s">
        <v>69</v>
      </c>
      <c r="BJ27" s="266" t="s">
        <v>270</v>
      </c>
      <c r="BK27" s="287">
        <f>B31</f>
        <v>1600</v>
      </c>
      <c r="BL27" s="249" t="s">
        <v>69</v>
      </c>
      <c r="BM27" s="266" t="s">
        <v>270</v>
      </c>
      <c r="BN27" s="287">
        <f>B31</f>
        <v>1600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266" t="s">
        <v>270</v>
      </c>
      <c r="CL27" s="287">
        <f>B31</f>
        <v>1600</v>
      </c>
      <c r="CM27" s="249" t="s">
        <v>69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3.8000000000000002E-4</v>
      </c>
      <c r="EP27" s="262"/>
      <c r="EQ27" s="310"/>
      <c r="ES27" s="262" t="s">
        <v>275</v>
      </c>
      <c r="ET27" s="310">
        <f>B38</f>
        <v>1.6999999999999999E-3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4.3312499999999997E-4</v>
      </c>
    </row>
    <row r="28" spans="1:214" ht="15.75" thickBot="1" x14ac:dyDescent="0.25">
      <c r="A28" s="262" t="s">
        <v>63</v>
      </c>
      <c r="B28" s="315">
        <v>7.7413948559999998E-9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4.3312499999999997E-4</v>
      </c>
      <c r="Y28" s="262" t="s">
        <v>23</v>
      </c>
      <c r="Z28" s="288">
        <f>0.693/Z29</f>
        <v>4.3312499999999997E-4</v>
      </c>
      <c r="AB28" s="266" t="s">
        <v>270</v>
      </c>
      <c r="AC28" s="287">
        <f>B31</f>
        <v>1600</v>
      </c>
      <c r="AD28" s="287">
        <f>B31</f>
        <v>1600</v>
      </c>
      <c r="AE28" s="287">
        <f>B31</f>
        <v>1600</v>
      </c>
      <c r="AF28" s="287">
        <f>B31</f>
        <v>1600</v>
      </c>
      <c r="AG28" s="287">
        <f>B31</f>
        <v>1600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3.44E-2</v>
      </c>
      <c r="CE28" s="249" t="s">
        <v>458</v>
      </c>
      <c r="CF28" s="287">
        <f>B8</f>
        <v>6.8599999999999994E-2</v>
      </c>
      <c r="CK28" s="249" t="s">
        <v>23</v>
      </c>
      <c r="CL28" s="288">
        <f>0.693/CL27</f>
        <v>4.3312499999999997E-4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1600</v>
      </c>
      <c r="HF28" s="249" t="s">
        <v>69</v>
      </c>
    </row>
    <row r="29" spans="1:214" ht="18.75" thickTop="1" x14ac:dyDescent="0.2">
      <c r="A29" s="266" t="s">
        <v>161</v>
      </c>
      <c r="B29" s="315">
        <v>1.6813889280000001E-11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1600</v>
      </c>
      <c r="X29" s="249" t="s">
        <v>69</v>
      </c>
      <c r="Y29" s="266" t="s">
        <v>270</v>
      </c>
      <c r="Z29" s="287">
        <f>B31</f>
        <v>1600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266"/>
      <c r="BT29" s="115"/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0.45600000000000002</v>
      </c>
      <c r="CE29" s="249" t="s">
        <v>459</v>
      </c>
      <c r="CF29" s="287">
        <f>B9</f>
        <v>0.73699999999999999</v>
      </c>
      <c r="CK29" s="249" t="s">
        <v>16</v>
      </c>
      <c r="CL29" s="288">
        <f>(CL30*CL28)/(1-EXP(-CL28*CL30))</f>
        <v>1.0056411929569626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5.1429999999999997E-10</v>
      </c>
      <c r="C30" s="267" t="s">
        <v>35</v>
      </c>
      <c r="D30" s="203" t="s">
        <v>510</v>
      </c>
      <c r="E30" s="204">
        <f>E37</f>
        <v>3.9568384892125904E-3</v>
      </c>
      <c r="F30" s="184" t="s">
        <v>13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354">
        <f>(AC26*AC27)/(1-EXP(-AC27*AC26))</f>
        <v>1.0054238331718262</v>
      </c>
      <c r="AD30" s="354">
        <f>(AD26*AD27)/(1-EXP(-AD27*AD26))</f>
        <v>1.0054238331718262</v>
      </c>
      <c r="AE30" s="354">
        <f>(AE26*AE27)/(1-EXP(-AE27*AE26))</f>
        <v>1.0054238331718262</v>
      </c>
      <c r="AF30" s="354">
        <f>(AF26*AF27)/(1-EXP(-AF27*AF26))</f>
        <v>1.0002165781331087</v>
      </c>
      <c r="AG30" s="354">
        <f>(AG26*AG27)/(1-EXP(-AG27*AG26))</f>
        <v>1.0002165781331087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111</v>
      </c>
      <c r="CL30" s="289">
        <f>B109</f>
        <v>26</v>
      </c>
      <c r="CM30" s="249" t="s">
        <v>69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315">
        <v>1600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0.124</v>
      </c>
      <c r="CB31" s="249" t="s">
        <v>71</v>
      </c>
      <c r="CC31" s="290">
        <f>B24</f>
        <v>1.5179205599999999E-6</v>
      </c>
      <c r="CD31" s="262" t="s">
        <v>282</v>
      </c>
      <c r="CE31" s="249" t="s">
        <v>71</v>
      </c>
      <c r="CF31" s="290">
        <f>B26</f>
        <v>4.4650217087999997E-6</v>
      </c>
      <c r="CG31" s="263" t="s">
        <v>72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2.75" customHeight="1" thickTop="1" x14ac:dyDescent="0.2">
      <c r="A32" s="266" t="s">
        <v>96</v>
      </c>
      <c r="B32" s="315">
        <f>PEF!D3</f>
        <v>1359344473.5814338</v>
      </c>
      <c r="C32" s="249"/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2.8231E-8</v>
      </c>
      <c r="X32" s="263" t="s">
        <v>44</v>
      </c>
      <c r="Y32" s="249" t="s">
        <v>43</v>
      </c>
      <c r="Z32" s="290">
        <f>B19</f>
        <v>2.8231E-8</v>
      </c>
      <c r="AA32" s="263" t="s">
        <v>44</v>
      </c>
      <c r="AB32" s="266" t="s">
        <v>80</v>
      </c>
      <c r="AC32" s="294">
        <f>(AC5/(AC9*AC14*AC8*AC11*(1/AC6)))*AC30</f>
        <v>5.4551803488586321</v>
      </c>
      <c r="AD32" s="294">
        <f>(AD5/(AD9*AD14*AD8*AD11*(1/AD6)))*AD30</f>
        <v>10.910360697717264</v>
      </c>
      <c r="AE32" s="294">
        <f>(AE5/(AE9*AE14*AE8*AE11*(1/AE6)))*AE30</f>
        <v>6.0613114987318122</v>
      </c>
      <c r="AF32" s="294">
        <f>(AF5/(AF9*AF14*AF8*AF11*(1/AF6)))*AF30</f>
        <v>79.063622880920036</v>
      </c>
      <c r="AG32" s="294">
        <f>(AG5/(AG9*AG14*AG8*AG11*(1/AG6)))*AG30</f>
        <v>79.063622880920036</v>
      </c>
      <c r="AH32" s="266" t="s">
        <v>13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3.44E-2</v>
      </c>
      <c r="BM32" s="249" t="s">
        <v>458</v>
      </c>
      <c r="BN32" s="287">
        <f>B8</f>
        <v>6.8599999999999994E-2</v>
      </c>
      <c r="BY32" s="262" t="s">
        <v>62</v>
      </c>
      <c r="BZ32" s="305">
        <f>B4</f>
        <v>0.79200000000000004</v>
      </c>
      <c r="CO32" s="287"/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70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C33" s="249"/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(AC5/(AC21*AC17*AC8*AC11*(1/AC35)*((8/1)/(24/1))*AC31))*AC30</f>
        <v>387.29547836893721</v>
      </c>
      <c r="AD33" s="295">
        <f>(AD5/(AD21*AD17*AD8*((8/1)/(24/1))*AD11*(1/AD35)*AD31))*AD30</f>
        <v>387.29547836893727</v>
      </c>
      <c r="AE33" s="295">
        <f>(AE5/(AE21*AE17*AE8*((8/1)/(24/1))*AE11*(1/AE35)*AE31))*AE30</f>
        <v>430.32830929881914</v>
      </c>
      <c r="AF33" s="295">
        <f>(AF5/(AF21*AF17*AF8*AF11*(1/AF36)*(AF23/24)*AF31))*AF30</f>
        <v>10.542818480915976</v>
      </c>
      <c r="AG33" s="295">
        <f>(AG5/(AG21*AG17*AG8*AG11*(1/AG37)*(AG23/24)*AG31))*AG30</f>
        <v>491.32663588723125</v>
      </c>
      <c r="AH33" s="88" t="s">
        <v>13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0.45600000000000002</v>
      </c>
      <c r="BM33" s="249" t="s">
        <v>459</v>
      </c>
      <c r="BN33" s="287">
        <f>B9</f>
        <v>0.73699999999999999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ht="12.75" customHeight="1" x14ac:dyDescent="0.2">
      <c r="A34" s="266" t="s">
        <v>121</v>
      </c>
      <c r="B34" s="315">
        <f>PEF!J3</f>
        <v>36055860.959050171</v>
      </c>
      <c r="C34" s="249"/>
      <c r="D34" s="262" t="s">
        <v>256</v>
      </c>
      <c r="E34" s="287">
        <f>B30</f>
        <v>5.1429999999999997E-10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1.5179205599999999E-6</v>
      </c>
      <c r="O34" s="263" t="s">
        <v>447</v>
      </c>
      <c r="P34" s="249" t="s">
        <v>451</v>
      </c>
      <c r="Q34" s="290">
        <f>B26</f>
        <v>4.4650217087999997E-6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(AC5/(AC20*(AC8/365)*AC11*((AC23+AC24)/24)*AC16*AC19))*AC30</f>
        <v>2.1040615051527746E-2</v>
      </c>
      <c r="AD34" s="296">
        <f>(AD5/(AD20*(AD8/365)*AD11*(AD24/24)*AD18*AD19))*AD30</f>
        <v>5.2601537628819361E-2</v>
      </c>
      <c r="AE34" s="296">
        <f>(AE5/(AE20*(AE8/365)*AE11*(AE23/24)*AE16*AE19))*AE30</f>
        <v>2.3378461168364166E-2</v>
      </c>
      <c r="AF34" s="296">
        <f>(AF5/(AF20*(AF8/365)*AF11*(AF23/24)*AF16*AF19))*AF30</f>
        <v>10.246914248066757</v>
      </c>
      <c r="AG34" s="296">
        <f>(AG5/(AG20*(AG8/365)*AG11*(AG23/24)*AG16*AG19))*AG30</f>
        <v>10.246914248066757</v>
      </c>
      <c r="AH34" s="266" t="s">
        <v>13</v>
      </c>
      <c r="AI34" s="262" t="s">
        <v>450</v>
      </c>
      <c r="AJ34" s="290">
        <f>B24</f>
        <v>1.5179205599999999E-6</v>
      </c>
      <c r="AK34" s="262" t="s">
        <v>282</v>
      </c>
      <c r="AL34" s="262" t="s">
        <v>451</v>
      </c>
      <c r="AM34" s="290">
        <f>B26</f>
        <v>4.4650217087999997E-6</v>
      </c>
      <c r="AN34" s="263" t="s">
        <v>72</v>
      </c>
      <c r="AR34" s="262" t="s">
        <v>450</v>
      </c>
      <c r="AS34" s="290">
        <f>B24</f>
        <v>1.5179205599999999E-6</v>
      </c>
      <c r="AT34" s="262" t="s">
        <v>282</v>
      </c>
      <c r="AU34" s="262" t="s">
        <v>451</v>
      </c>
      <c r="AV34" s="290">
        <f>B26</f>
        <v>4.4650217087999997E-6</v>
      </c>
      <c r="AW34" s="263" t="s">
        <v>72</v>
      </c>
      <c r="BA34" s="262" t="s">
        <v>450</v>
      </c>
      <c r="BB34" s="290">
        <f>B24</f>
        <v>1.5179205599999999E-6</v>
      </c>
      <c r="BC34" s="262" t="s">
        <v>282</v>
      </c>
      <c r="BD34" s="262" t="s">
        <v>451</v>
      </c>
      <c r="BE34" s="290">
        <f>B26</f>
        <v>4.4650217087999997E-6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</v>
      </c>
      <c r="HF34" s="249" t="s">
        <v>19</v>
      </c>
    </row>
    <row r="35" spans="1:214" ht="12.75" customHeight="1" x14ac:dyDescent="0.2">
      <c r="A35" s="266" t="s">
        <v>270</v>
      </c>
      <c r="B35" s="315">
        <v>584000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1.5179205599999999E-6</v>
      </c>
      <c r="BL35" s="262" t="s">
        <v>282</v>
      </c>
      <c r="BM35" s="262" t="s">
        <v>451</v>
      </c>
      <c r="BN35" s="290">
        <f>B26</f>
        <v>4.4650217087999997E-6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ht="13.5" customHeight="1" x14ac:dyDescent="0.2">
      <c r="A36" s="262" t="s">
        <v>122</v>
      </c>
      <c r="B36" s="315">
        <v>4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281"/>
      <c r="N36" s="361"/>
      <c r="O36" s="281"/>
      <c r="P36" s="281"/>
      <c r="Q36" s="361"/>
      <c r="R36" s="281"/>
      <c r="V36" s="262" t="s">
        <v>63</v>
      </c>
      <c r="W36" s="287">
        <f>B28</f>
        <v>7.7413948559999998E-9</v>
      </c>
      <c r="X36" s="262" t="s">
        <v>64</v>
      </c>
      <c r="Y36" s="262" t="s">
        <v>63</v>
      </c>
      <c r="Z36" s="287">
        <f>B28</f>
        <v>7.7413948559999998E-9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x14ac:dyDescent="0.2">
      <c r="A37" s="262" t="s">
        <v>278</v>
      </c>
      <c r="B37" s="315">
        <v>3.8000000000000002E-4</v>
      </c>
      <c r="C37" s="263" t="s">
        <v>298</v>
      </c>
      <c r="D37" s="262" t="s">
        <v>80</v>
      </c>
      <c r="E37" s="300">
        <f>E32/(E34*E33*E35*E36)</f>
        <v>3.9568384892125904E-3</v>
      </c>
      <c r="F37" s="263" t="s">
        <v>13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1.6999999999999999E-3</v>
      </c>
      <c r="C38" s="263" t="s">
        <v>298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W27/((W33/W34)*W30*W31*W32*W35)</f>
        <v>2.8337643016542103E-4</v>
      </c>
      <c r="X38" s="88" t="s">
        <v>15</v>
      </c>
      <c r="Y38" s="88" t="s">
        <v>74</v>
      </c>
      <c r="Z38" s="294">
        <f>(Z27*Z31*Z28)/((1-EXP(-Z28))*Z31*Z32*Z30*Z44*(Z33/Z34)*Z35)</f>
        <v>1.3626817466520828E-2</v>
      </c>
      <c r="AA38" s="88" t="s">
        <v>16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ht="13.5" customHeight="1" x14ac:dyDescent="0.2">
      <c r="A39" s="262" t="s">
        <v>276</v>
      </c>
      <c r="B39" s="315">
        <v>0</v>
      </c>
      <c r="C39" s="263" t="s">
        <v>298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(W27)/((W33/W34)*W30*W31*W36*(1/365))</f>
        <v>22.631580388153246</v>
      </c>
      <c r="X39" s="88" t="s">
        <v>15</v>
      </c>
      <c r="Y39" s="88" t="s">
        <v>78</v>
      </c>
      <c r="Z39" s="296">
        <f>(Z27*Z31*Z28)/((1-EXP(-Z28*Z31))*Z36*Z30*Z44*(Z33/Z34)*Z37*(Z44/Z45))</f>
        <v>1088.2923987299523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(W27*W28*W31)/((W33/W34)*(1-EXP(-W28*W31))*W32*W35*W30*W31)</f>
        <v>2.849134166474658E-4</v>
      </c>
      <c r="X40" s="88" t="s">
        <v>16</v>
      </c>
      <c r="Y40" s="88" t="s">
        <v>74</v>
      </c>
      <c r="Z40" s="294">
        <f>Z27/((Z32*Z30*Z44*(Z33/Z34)*Z35))</f>
        <v>1.3623866834876009E-2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(W27*W28*W31)/((W33/W34)*(1-EXP(-W28*W31))*W36*W30*W31*(1/365))</f>
        <v>22.75433030459336</v>
      </c>
      <c r="X41" s="88" t="s">
        <v>16</v>
      </c>
      <c r="Y41" s="88" t="s">
        <v>78</v>
      </c>
      <c r="Z41" s="296">
        <f>Z27/(Z36*Z30*(1/Z45)*Z44*(Z33/Z34)*Z37)</f>
        <v>1088.0567494304444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GV41" s="297"/>
      <c r="HD41" s="249" t="s">
        <v>119</v>
      </c>
      <c r="HE41" s="298">
        <f>B291</f>
        <v>1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1.6999999999999999E-3</v>
      </c>
      <c r="C42" s="263" t="s">
        <v>298</v>
      </c>
      <c r="D42" s="203" t="s">
        <v>510</v>
      </c>
      <c r="E42" s="204">
        <f>E52</f>
        <v>0.98920962230314746</v>
      </c>
      <c r="F42" s="184" t="s">
        <v>14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2.75" customHeight="1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1.4789999999999999E-2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1.7000000000000001E-2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x14ac:dyDescent="0.2">
      <c r="A46" s="249" t="s">
        <v>284</v>
      </c>
      <c r="B46" s="315">
        <v>1</v>
      </c>
      <c r="C46" s="249" t="s">
        <v>19</v>
      </c>
      <c r="D46" s="262" t="s">
        <v>438</v>
      </c>
      <c r="E46" s="287">
        <f>B30</f>
        <v>5.1429999999999997E-10</v>
      </c>
      <c r="F46" s="262" t="s">
        <v>289</v>
      </c>
      <c r="G46" s="249" t="s">
        <v>20</v>
      </c>
      <c r="H46" s="287">
        <f>H48</f>
        <v>1.4789999999999999E-2</v>
      </c>
      <c r="I46" s="263"/>
      <c r="J46" s="269" t="s">
        <v>107</v>
      </c>
      <c r="K46" s="292">
        <f>K34</f>
        <v>26</v>
      </c>
      <c r="L46" s="269" t="s">
        <v>69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5</v>
      </c>
      <c r="C47" s="262" t="s">
        <v>14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C48" s="249"/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1.4789999999999999E-2</v>
      </c>
      <c r="K48" s="289">
        <v>1000</v>
      </c>
      <c r="L48" s="249" t="s">
        <v>115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213" x14ac:dyDescent="0.2">
      <c r="A49" s="249" t="s">
        <v>331</v>
      </c>
      <c r="B49" s="284">
        <v>0.25</v>
      </c>
      <c r="C49" s="249"/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BY49" s="262"/>
      <c r="BZ49" s="293"/>
      <c r="DA49" s="292">
        <v>1000</v>
      </c>
      <c r="DB49" s="267" t="s">
        <v>115</v>
      </c>
      <c r="DW49" s="264"/>
      <c r="DX49" s="264"/>
      <c r="DY49" s="328"/>
      <c r="DZ49" s="264"/>
      <c r="EB49" s="249"/>
      <c r="EE49" s="249"/>
      <c r="EH49" s="249"/>
      <c r="EK49" s="249"/>
      <c r="EN49" s="249"/>
      <c r="EQ49" s="249"/>
      <c r="ET49" s="249"/>
      <c r="EW49" s="249"/>
      <c r="EZ49" s="249"/>
      <c r="FC49" s="249"/>
      <c r="FF49" s="249"/>
      <c r="FI49" s="249"/>
      <c r="FL49" s="249"/>
      <c r="FO49" s="249"/>
      <c r="FR49" s="249"/>
      <c r="FU49" s="249"/>
      <c r="FX49" s="249"/>
      <c r="GA49" s="249"/>
      <c r="GD49" s="249"/>
      <c r="GG49" s="249"/>
      <c r="GJ49" s="249"/>
      <c r="GM49" s="249"/>
      <c r="GP49" s="249"/>
      <c r="GS49" s="249"/>
      <c r="GV49" s="249"/>
      <c r="GY49" s="249"/>
      <c r="HB49" s="249"/>
      <c r="HE49" s="249"/>
    </row>
    <row r="50" spans="1:213" ht="15" x14ac:dyDescent="0.2">
      <c r="A50" s="516" t="s">
        <v>2</v>
      </c>
      <c r="B50" s="516"/>
      <c r="C50" s="516"/>
      <c r="D50" s="262" t="s">
        <v>122</v>
      </c>
      <c r="E50" s="298">
        <f>B36</f>
        <v>4</v>
      </c>
      <c r="F50" s="263" t="s">
        <v>19</v>
      </c>
      <c r="G50" s="249" t="s">
        <v>18</v>
      </c>
      <c r="H50" s="288">
        <f>(H53*H54*H48*((1-EXP(-H55*H56))))/(H57*H55)</f>
        <v>0.52543733718458041</v>
      </c>
      <c r="I50" s="249" t="s">
        <v>19</v>
      </c>
      <c r="J50" s="249" t="s">
        <v>20</v>
      </c>
      <c r="K50" s="287">
        <f>K52</f>
        <v>1.4789999999999999E-2</v>
      </c>
      <c r="BY50" s="263"/>
      <c r="BZ50" s="307"/>
      <c r="CT50" s="263"/>
      <c r="CU50" s="307"/>
      <c r="DW50" s="264"/>
      <c r="DX50" s="264"/>
      <c r="DY50" s="328"/>
      <c r="DZ50" s="264"/>
      <c r="EB50" s="249"/>
      <c r="EE50" s="249"/>
      <c r="EH50" s="249"/>
      <c r="EK50" s="249"/>
      <c r="EN50" s="249"/>
      <c r="EQ50" s="249"/>
      <c r="ET50" s="249"/>
      <c r="EW50" s="249"/>
      <c r="EZ50" s="249"/>
      <c r="FC50" s="249"/>
      <c r="FF50" s="249"/>
      <c r="FI50" s="249"/>
      <c r="FL50" s="249"/>
      <c r="FO50" s="249"/>
      <c r="FR50" s="249"/>
      <c r="FU50" s="249"/>
      <c r="FX50" s="249"/>
      <c r="GA50" s="249"/>
      <c r="GD50" s="249"/>
      <c r="GG50" s="249"/>
      <c r="GJ50" s="249"/>
      <c r="GM50" s="249"/>
      <c r="GP50" s="249"/>
      <c r="GS50" s="249"/>
      <c r="GV50" s="249"/>
      <c r="GY50" s="249"/>
      <c r="HB50" s="249"/>
      <c r="HE50" s="249"/>
    </row>
    <row r="51" spans="1:213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9.2368970701819411</v>
      </c>
      <c r="I51" s="249" t="s">
        <v>19</v>
      </c>
      <c r="J51" s="262" t="s">
        <v>28</v>
      </c>
      <c r="K51" s="293">
        <f>K53</f>
        <v>0.26</v>
      </c>
      <c r="BW51" s="287"/>
      <c r="BY51" s="262"/>
      <c r="BZ51" s="293"/>
      <c r="CT51" s="262"/>
      <c r="CU51" s="293"/>
      <c r="CZ51" s="267"/>
      <c r="DW51" s="264"/>
      <c r="DX51" s="264"/>
      <c r="DY51" s="328"/>
      <c r="DZ51" s="264"/>
      <c r="EB51" s="249"/>
      <c r="EE51" s="249"/>
      <c r="EH51" s="249"/>
      <c r="EK51" s="249"/>
      <c r="EN51" s="249"/>
      <c r="EQ51" s="249"/>
      <c r="ET51" s="249"/>
      <c r="EW51" s="249"/>
      <c r="EZ51" s="249"/>
      <c r="FC51" s="249"/>
      <c r="FF51" s="249"/>
      <c r="FI51" s="249"/>
      <c r="FL51" s="249"/>
      <c r="FO51" s="249"/>
      <c r="FR51" s="249"/>
      <c r="FU51" s="249"/>
      <c r="FX51" s="249"/>
      <c r="GA51" s="249"/>
      <c r="GD51" s="249"/>
      <c r="GG51" s="249"/>
      <c r="GJ51" s="249"/>
      <c r="GM51" s="249"/>
      <c r="GP51" s="249"/>
      <c r="GS51" s="249"/>
      <c r="GV51" s="249"/>
      <c r="GY51" s="249"/>
      <c r="HB51" s="249"/>
      <c r="HE51" s="249"/>
    </row>
    <row r="52" spans="1:213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>
        <f>E44/(E46*E45*E47*E48*E50*E51*(1/E49))</f>
        <v>0.98920962230314746</v>
      </c>
      <c r="G52" s="249" t="s">
        <v>36</v>
      </c>
      <c r="H52" s="288">
        <f>(H53*H54*H58*H64*((1-EXP(-H59*H60))))/(H61*H59)</f>
        <v>3.6423470278489711</v>
      </c>
      <c r="I52" s="249" t="s">
        <v>19</v>
      </c>
      <c r="J52" s="263" t="s">
        <v>37</v>
      </c>
      <c r="K52" s="290">
        <f>B44</f>
        <v>1.4789999999999999E-2</v>
      </c>
      <c r="BW52" s="287"/>
      <c r="CZ52" s="267"/>
      <c r="DW52" s="264"/>
      <c r="DX52" s="264"/>
      <c r="DY52" s="328"/>
      <c r="DZ52" s="264"/>
      <c r="EB52" s="249"/>
      <c r="EE52" s="249"/>
      <c r="EH52" s="249"/>
      <c r="EK52" s="249"/>
      <c r="EN52" s="249"/>
      <c r="EQ52" s="249"/>
      <c r="ET52" s="249"/>
      <c r="EW52" s="249"/>
      <c r="EZ52" s="249"/>
      <c r="FC52" s="249"/>
      <c r="FF52" s="249"/>
      <c r="FI52" s="249"/>
      <c r="FL52" s="249"/>
      <c r="FO52" s="249"/>
      <c r="FR52" s="249"/>
      <c r="FU52" s="249"/>
      <c r="FX52" s="249"/>
      <c r="GA52" s="249"/>
      <c r="GD52" s="249"/>
      <c r="GG52" s="249"/>
      <c r="GJ52" s="249"/>
      <c r="GM52" s="249"/>
      <c r="GP52" s="249"/>
      <c r="GS52" s="249"/>
      <c r="GV52" s="249"/>
      <c r="GY52" s="249"/>
      <c r="HB52" s="249"/>
      <c r="HE52" s="249"/>
    </row>
    <row r="53" spans="1:213" x14ac:dyDescent="0.2">
      <c r="A53" s="262" t="s">
        <v>320</v>
      </c>
      <c r="B53" s="283">
        <v>200</v>
      </c>
      <c r="C53" s="263" t="s">
        <v>54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BV53" s="262"/>
      <c r="CZ53" s="267"/>
      <c r="EB53" s="249"/>
      <c r="EE53" s="249"/>
      <c r="EH53" s="249"/>
      <c r="EK53" s="249"/>
      <c r="EN53" s="249"/>
      <c r="EQ53" s="249"/>
      <c r="ET53" s="249"/>
      <c r="EW53" s="249"/>
      <c r="EZ53" s="249"/>
      <c r="FC53" s="249"/>
      <c r="FF53" s="249"/>
      <c r="FI53" s="249"/>
      <c r="FL53" s="249"/>
      <c r="FO53" s="249"/>
      <c r="FR53" s="249"/>
      <c r="FU53" s="249"/>
      <c r="FX53" s="249"/>
      <c r="GA53" s="249"/>
      <c r="GD53" s="249"/>
      <c r="GG53" s="249"/>
      <c r="GJ53" s="249"/>
      <c r="GM53" s="249"/>
      <c r="GP53" s="249"/>
      <c r="GS53" s="249"/>
      <c r="GV53" s="249"/>
      <c r="GY53" s="249"/>
      <c r="HB53" s="249"/>
      <c r="HE53" s="249"/>
    </row>
    <row r="54" spans="1:213" x14ac:dyDescent="0.2">
      <c r="A54" s="262" t="s">
        <v>321</v>
      </c>
      <c r="B54" s="283">
        <v>100</v>
      </c>
      <c r="C54" s="263" t="s">
        <v>54</v>
      </c>
      <c r="G54" s="262" t="s">
        <v>46</v>
      </c>
      <c r="H54" s="287">
        <f>B86</f>
        <v>0.25</v>
      </c>
      <c r="I54" s="249" t="s">
        <v>47</v>
      </c>
      <c r="BV54" s="262"/>
      <c r="CZ54" s="267"/>
      <c r="EB54" s="249"/>
      <c r="EE54" s="249"/>
      <c r="EH54" s="249"/>
      <c r="EK54" s="249"/>
      <c r="EN54" s="249"/>
      <c r="EQ54" s="249"/>
      <c r="ET54" s="249"/>
      <c r="EW54" s="249"/>
      <c r="EZ54" s="249"/>
      <c r="FC54" s="249"/>
      <c r="FF54" s="249"/>
      <c r="FI54" s="249"/>
      <c r="FL54" s="249"/>
      <c r="FO54" s="249"/>
      <c r="FR54" s="249"/>
      <c r="FU54" s="249"/>
      <c r="FX54" s="249"/>
      <c r="GA54" s="249"/>
      <c r="GD54" s="249"/>
      <c r="GG54" s="249"/>
      <c r="GJ54" s="249"/>
      <c r="GM54" s="249"/>
      <c r="GP54" s="249"/>
      <c r="GS54" s="249"/>
      <c r="GV54" s="249"/>
      <c r="GY54" s="249"/>
      <c r="HB54" s="249"/>
      <c r="HE54" s="249"/>
    </row>
    <row r="55" spans="1:213" x14ac:dyDescent="0.2">
      <c r="A55" s="262" t="s">
        <v>322</v>
      </c>
      <c r="B55" s="283">
        <v>0.78</v>
      </c>
      <c r="C55" s="262" t="s">
        <v>30</v>
      </c>
      <c r="G55" s="267" t="s">
        <v>55</v>
      </c>
      <c r="H55" s="303">
        <f>H62+H63</f>
        <v>2.8186643835616437E-5</v>
      </c>
      <c r="BV55" s="267"/>
      <c r="CZ55" s="267"/>
      <c r="EB55" s="249"/>
      <c r="EE55" s="249"/>
      <c r="EH55" s="249"/>
      <c r="EK55" s="249"/>
      <c r="EN55" s="249"/>
      <c r="EQ55" s="249"/>
      <c r="ET55" s="249"/>
      <c r="EW55" s="249"/>
      <c r="EZ55" s="249"/>
      <c r="FC55" s="249"/>
      <c r="FF55" s="249"/>
      <c r="FI55" s="249"/>
      <c r="FL55" s="249"/>
      <c r="FO55" s="249"/>
      <c r="FR55" s="249"/>
      <c r="FU55" s="249"/>
      <c r="FX55" s="249"/>
      <c r="GA55" s="249"/>
      <c r="GD55" s="249"/>
      <c r="GG55" s="249"/>
      <c r="GJ55" s="249"/>
      <c r="GM55" s="249"/>
      <c r="GP55" s="249"/>
      <c r="GS55" s="249"/>
      <c r="GV55" s="249"/>
      <c r="GY55" s="249"/>
      <c r="HB55" s="249"/>
      <c r="HE55" s="249"/>
    </row>
    <row r="56" spans="1:213" x14ac:dyDescent="0.2">
      <c r="A56" s="262" t="s">
        <v>323</v>
      </c>
      <c r="B56" s="283">
        <v>2.5</v>
      </c>
      <c r="C56" s="262" t="s">
        <v>30</v>
      </c>
      <c r="G56" s="267" t="s">
        <v>60</v>
      </c>
      <c r="H56" s="289">
        <f>B87</f>
        <v>10950</v>
      </c>
      <c r="I56" s="249" t="s">
        <v>61</v>
      </c>
      <c r="BV56" s="267"/>
      <c r="CZ56" s="267"/>
      <c r="EB56" s="249"/>
      <c r="EE56" s="249"/>
      <c r="EH56" s="249"/>
      <c r="EK56" s="249"/>
      <c r="EN56" s="249"/>
      <c r="EQ56" s="249"/>
      <c r="ET56" s="249"/>
      <c r="EW56" s="249"/>
      <c r="EZ56" s="249"/>
      <c r="FC56" s="249"/>
      <c r="FF56" s="249"/>
      <c r="FI56" s="249"/>
      <c r="FL56" s="249"/>
      <c r="FO56" s="249"/>
      <c r="FR56" s="249"/>
      <c r="FU56" s="249"/>
      <c r="FX56" s="249"/>
      <c r="GA56" s="249"/>
      <c r="GD56" s="249"/>
      <c r="GG56" s="249"/>
      <c r="GJ56" s="249"/>
      <c r="GM56" s="249"/>
      <c r="GP56" s="249"/>
      <c r="GS56" s="249"/>
      <c r="GV56" s="249"/>
      <c r="GY56" s="249"/>
      <c r="HB56" s="249"/>
      <c r="HE56" s="249"/>
    </row>
    <row r="57" spans="1:213" x14ac:dyDescent="0.2">
      <c r="A57" s="262" t="s">
        <v>337</v>
      </c>
      <c r="B57" s="283">
        <v>54</v>
      </c>
      <c r="C57" s="249" t="s">
        <v>54</v>
      </c>
      <c r="G57" s="267" t="s">
        <v>65</v>
      </c>
      <c r="H57" s="289">
        <f>B88</f>
        <v>240</v>
      </c>
      <c r="I57" s="249" t="s">
        <v>66</v>
      </c>
      <c r="BV57" s="267"/>
      <c r="CZ57" s="267"/>
      <c r="DA57" s="293"/>
      <c r="DB57" s="262"/>
      <c r="EB57" s="249"/>
      <c r="EE57" s="249"/>
      <c r="EH57" s="249"/>
      <c r="EK57" s="249"/>
      <c r="EN57" s="249"/>
      <c r="EQ57" s="249"/>
      <c r="ET57" s="249"/>
      <c r="EW57" s="249"/>
      <c r="EZ57" s="249"/>
      <c r="FC57" s="249"/>
      <c r="FF57" s="249"/>
      <c r="FI57" s="249"/>
      <c r="FL57" s="249"/>
      <c r="FO57" s="249"/>
      <c r="FR57" s="249"/>
      <c r="FU57" s="249"/>
      <c r="FX57" s="249"/>
      <c r="GA57" s="249"/>
      <c r="GD57" s="249"/>
      <c r="GG57" s="249"/>
      <c r="GJ57" s="249"/>
      <c r="GM57" s="249"/>
      <c r="GP57" s="249"/>
      <c r="GS57" s="249"/>
      <c r="GV57" s="249"/>
      <c r="GY57" s="249"/>
      <c r="HB57" s="249"/>
      <c r="HE57" s="249"/>
    </row>
    <row r="58" spans="1:213" x14ac:dyDescent="0.2">
      <c r="A58" s="249" t="s">
        <v>357</v>
      </c>
      <c r="B58" s="283">
        <v>32.799999999999997</v>
      </c>
      <c r="C58" s="249" t="s">
        <v>54</v>
      </c>
      <c r="G58" s="267" t="s">
        <v>76</v>
      </c>
      <c r="H58" s="289">
        <f>B89</f>
        <v>0.42</v>
      </c>
      <c r="I58" s="249" t="s">
        <v>47</v>
      </c>
      <c r="BV58" s="267"/>
      <c r="CZ58" s="267"/>
      <c r="DA58" s="293"/>
      <c r="DB58" s="262"/>
      <c r="EB58" s="249"/>
      <c r="EE58" s="249"/>
      <c r="EH58" s="249"/>
      <c r="EK58" s="249"/>
      <c r="EN58" s="249"/>
      <c r="EQ58" s="249"/>
      <c r="ET58" s="249"/>
      <c r="EW58" s="249"/>
      <c r="EZ58" s="249"/>
      <c r="FC58" s="249"/>
      <c r="FF58" s="249"/>
      <c r="FI58" s="249"/>
      <c r="FL58" s="249"/>
      <c r="FO58" s="249"/>
      <c r="FR58" s="249"/>
      <c r="FU58" s="249"/>
      <c r="FX58" s="249"/>
      <c r="GA58" s="249"/>
      <c r="GD58" s="249"/>
      <c r="GG58" s="249"/>
      <c r="GJ58" s="249"/>
      <c r="GM58" s="249"/>
      <c r="GP58" s="249"/>
      <c r="GS58" s="249"/>
      <c r="GV58" s="249"/>
      <c r="GY58" s="249"/>
      <c r="HB58" s="249"/>
      <c r="HE58" s="249"/>
    </row>
    <row r="59" spans="1:213" x14ac:dyDescent="0.2">
      <c r="A59" s="249" t="s">
        <v>336</v>
      </c>
      <c r="B59" s="283">
        <v>157.69999999999999</v>
      </c>
      <c r="C59" s="249" t="s">
        <v>54</v>
      </c>
      <c r="G59" s="267" t="s">
        <v>81</v>
      </c>
      <c r="H59" s="299">
        <f>H63+(0.693/H65)</f>
        <v>4.9501186643835612E-2</v>
      </c>
      <c r="I59" s="262" t="s">
        <v>82</v>
      </c>
      <c r="BV59" s="267"/>
      <c r="CZ59" s="267"/>
      <c r="DA59" s="293"/>
      <c r="DB59" s="262"/>
      <c r="EB59" s="249"/>
      <c r="EE59" s="249"/>
      <c r="EH59" s="249"/>
      <c r="EK59" s="249"/>
      <c r="EN59" s="249"/>
      <c r="EQ59" s="249"/>
      <c r="ET59" s="249"/>
      <c r="EW59" s="249"/>
      <c r="EZ59" s="249"/>
      <c r="FC59" s="249"/>
      <c r="FF59" s="249"/>
      <c r="FI59" s="249"/>
      <c r="FL59" s="249"/>
      <c r="FO59" s="249"/>
      <c r="FR59" s="249"/>
      <c r="FU59" s="249"/>
      <c r="FX59" s="249"/>
      <c r="GA59" s="249"/>
      <c r="GD59" s="249"/>
      <c r="GG59" s="249"/>
      <c r="GJ59" s="249"/>
      <c r="GM59" s="249"/>
      <c r="GP59" s="249"/>
      <c r="GS59" s="249"/>
      <c r="GV59" s="249"/>
      <c r="GY59" s="249"/>
      <c r="HB59" s="249"/>
      <c r="HE59" s="249"/>
    </row>
    <row r="60" spans="1:213" x14ac:dyDescent="0.2">
      <c r="A60" s="262" t="s">
        <v>332</v>
      </c>
      <c r="B60" s="283">
        <v>68.099999999999994</v>
      </c>
      <c r="C60" s="267" t="s">
        <v>254</v>
      </c>
      <c r="G60" s="267" t="s">
        <v>85</v>
      </c>
      <c r="H60" s="293">
        <f>B90</f>
        <v>60</v>
      </c>
      <c r="I60" s="262" t="s">
        <v>61</v>
      </c>
      <c r="BV60" s="267"/>
      <c r="CZ60" s="267"/>
      <c r="EB60" s="249"/>
      <c r="EE60" s="249"/>
      <c r="EH60" s="249"/>
      <c r="EK60" s="249"/>
      <c r="EN60" s="249"/>
      <c r="EQ60" s="249"/>
      <c r="ET60" s="249"/>
      <c r="EW60" s="249"/>
      <c r="EZ60" s="249"/>
      <c r="FC60" s="249"/>
      <c r="FF60" s="249"/>
      <c r="FI60" s="249"/>
      <c r="FL60" s="249"/>
      <c r="FO60" s="249"/>
      <c r="FR60" s="249"/>
      <c r="FU60" s="249"/>
      <c r="FX60" s="249"/>
      <c r="GA60" s="249"/>
      <c r="GD60" s="249"/>
      <c r="GG60" s="249"/>
      <c r="GJ60" s="249"/>
      <c r="GM60" s="249"/>
      <c r="GP60" s="249"/>
      <c r="GS60" s="249"/>
      <c r="GV60" s="249"/>
      <c r="GY60" s="249"/>
      <c r="HB60" s="249"/>
      <c r="HE60" s="249"/>
    </row>
    <row r="61" spans="1:213" x14ac:dyDescent="0.2">
      <c r="A61" s="262" t="s">
        <v>333</v>
      </c>
      <c r="B61" s="283">
        <v>188.5</v>
      </c>
      <c r="C61" s="267" t="s">
        <v>254</v>
      </c>
      <c r="G61" s="267" t="s">
        <v>87</v>
      </c>
      <c r="H61" s="293">
        <f>B91</f>
        <v>2</v>
      </c>
      <c r="I61" s="262" t="s">
        <v>66</v>
      </c>
      <c r="BV61" s="267"/>
      <c r="BW61" s="293"/>
      <c r="BX61" s="262"/>
      <c r="CZ61" s="267"/>
      <c r="DA61" s="287"/>
      <c r="EB61" s="249"/>
      <c r="EE61" s="249"/>
      <c r="EH61" s="249"/>
      <c r="EK61" s="249"/>
      <c r="EN61" s="249"/>
      <c r="EQ61" s="249"/>
      <c r="ET61" s="249"/>
      <c r="EW61" s="249"/>
      <c r="EZ61" s="249"/>
      <c r="FC61" s="249"/>
      <c r="FF61" s="249"/>
      <c r="FI61" s="249"/>
      <c r="FL61" s="249"/>
      <c r="FO61" s="249"/>
      <c r="FR61" s="249"/>
      <c r="FU61" s="249"/>
      <c r="FX61" s="249"/>
      <c r="GA61" s="249"/>
      <c r="GD61" s="249"/>
      <c r="GG61" s="249"/>
      <c r="GJ61" s="249"/>
      <c r="GM61" s="249"/>
      <c r="GP61" s="249"/>
      <c r="GS61" s="249"/>
      <c r="GV61" s="249"/>
      <c r="GY61" s="249"/>
      <c r="HB61" s="249"/>
      <c r="HE61" s="249"/>
    </row>
    <row r="62" spans="1:213" x14ac:dyDescent="0.2">
      <c r="A62" s="262" t="s">
        <v>334</v>
      </c>
      <c r="B62" s="283">
        <v>41.7</v>
      </c>
      <c r="C62" s="267" t="s">
        <v>254</v>
      </c>
      <c r="G62" s="267" t="s">
        <v>89</v>
      </c>
      <c r="H62" s="289">
        <f>B92</f>
        <v>2.6999999999999999E-5</v>
      </c>
      <c r="I62" s="249" t="s">
        <v>82</v>
      </c>
      <c r="BV62" s="267"/>
      <c r="BW62" s="293"/>
      <c r="BX62" s="262"/>
      <c r="CZ62" s="267"/>
      <c r="EB62" s="249"/>
      <c r="EE62" s="249"/>
      <c r="EH62" s="249"/>
      <c r="EK62" s="249"/>
      <c r="EN62" s="249"/>
      <c r="EQ62" s="249"/>
      <c r="ET62" s="249"/>
      <c r="EW62" s="249"/>
      <c r="EZ62" s="249"/>
      <c r="FC62" s="249"/>
      <c r="FF62" s="249"/>
      <c r="FI62" s="249"/>
      <c r="FL62" s="249"/>
      <c r="FO62" s="249"/>
      <c r="FR62" s="249"/>
      <c r="FU62" s="249"/>
      <c r="FX62" s="249"/>
      <c r="GA62" s="249"/>
      <c r="GD62" s="249"/>
      <c r="GG62" s="249"/>
      <c r="GJ62" s="249"/>
      <c r="GM62" s="249"/>
      <c r="GP62" s="249"/>
      <c r="GS62" s="249"/>
      <c r="GV62" s="249"/>
      <c r="GY62" s="249"/>
      <c r="HB62" s="249"/>
      <c r="HE62" s="249"/>
    </row>
    <row r="63" spans="1:213" x14ac:dyDescent="0.2">
      <c r="A63" s="262" t="s">
        <v>335</v>
      </c>
      <c r="B63" s="283">
        <v>128.9</v>
      </c>
      <c r="C63" s="267" t="s">
        <v>254</v>
      </c>
      <c r="G63" s="267" t="s">
        <v>90</v>
      </c>
      <c r="H63" s="288">
        <f>0.693/H67</f>
        <v>1.1866438356164383E-6</v>
      </c>
      <c r="I63" s="249" t="s">
        <v>82</v>
      </c>
      <c r="BV63" s="267"/>
      <c r="BW63" s="293"/>
      <c r="BX63" s="262"/>
      <c r="CZ63" s="267"/>
      <c r="EB63" s="249"/>
      <c r="EE63" s="249"/>
      <c r="EH63" s="249"/>
      <c r="EK63" s="249"/>
      <c r="EN63" s="249"/>
      <c r="EQ63" s="249"/>
      <c r="ET63" s="249"/>
      <c r="EW63" s="249"/>
      <c r="EZ63" s="249"/>
      <c r="FC63" s="249"/>
      <c r="FF63" s="249"/>
      <c r="FI63" s="249"/>
      <c r="FL63" s="249"/>
      <c r="FO63" s="249"/>
      <c r="FR63" s="249"/>
      <c r="FU63" s="249"/>
      <c r="FX63" s="249"/>
      <c r="GA63" s="249"/>
      <c r="GD63" s="249"/>
      <c r="GG63" s="249"/>
      <c r="GJ63" s="249"/>
      <c r="GM63" s="249"/>
      <c r="GP63" s="249"/>
      <c r="GS63" s="249"/>
      <c r="GV63" s="249"/>
      <c r="GY63" s="249"/>
      <c r="HB63" s="249"/>
      <c r="HE63" s="249"/>
    </row>
    <row r="64" spans="1:213" x14ac:dyDescent="0.2">
      <c r="A64" s="262" t="s">
        <v>343</v>
      </c>
      <c r="B64" s="283">
        <v>6</v>
      </c>
      <c r="C64" s="264" t="s">
        <v>69</v>
      </c>
      <c r="G64" s="267" t="s">
        <v>91</v>
      </c>
      <c r="H64" s="289">
        <f>B93</f>
        <v>1</v>
      </c>
      <c r="I64" s="249" t="s">
        <v>47</v>
      </c>
      <c r="AI64" s="275"/>
      <c r="AJ64" s="353"/>
      <c r="AK64" s="275"/>
      <c r="BV64" s="267"/>
      <c r="EB64" s="249"/>
      <c r="EE64" s="249"/>
      <c r="EH64" s="249"/>
      <c r="EK64" s="249"/>
      <c r="EN64" s="249"/>
      <c r="EQ64" s="249"/>
      <c r="ET64" s="249"/>
      <c r="EW64" s="249"/>
      <c r="EZ64" s="249"/>
      <c r="FC64" s="249"/>
      <c r="FF64" s="249"/>
      <c r="FI64" s="249"/>
      <c r="FL64" s="249"/>
      <c r="FO64" s="249"/>
      <c r="FR64" s="249"/>
      <c r="FU64" s="249"/>
      <c r="FX64" s="249"/>
      <c r="GA64" s="249"/>
      <c r="GD64" s="249"/>
      <c r="GG64" s="249"/>
      <c r="GJ64" s="249"/>
      <c r="GM64" s="249"/>
      <c r="GP64" s="249"/>
      <c r="GS64" s="249"/>
      <c r="GV64" s="249"/>
      <c r="GY64" s="249"/>
      <c r="HB64" s="249"/>
      <c r="HE64" s="249"/>
    </row>
    <row r="65" spans="1:213" x14ac:dyDescent="0.2">
      <c r="A65" s="262" t="s">
        <v>342</v>
      </c>
      <c r="B65" s="283">
        <v>20</v>
      </c>
      <c r="C65" s="264" t="s">
        <v>69</v>
      </c>
      <c r="G65" s="267" t="s">
        <v>92</v>
      </c>
      <c r="H65" s="289">
        <f>B94</f>
        <v>14</v>
      </c>
      <c r="I65" s="249" t="s">
        <v>93</v>
      </c>
      <c r="AI65" s="275"/>
      <c r="AJ65" s="353"/>
      <c r="AK65" s="275"/>
      <c r="BV65" s="267"/>
      <c r="DD65" s="249"/>
      <c r="DG65" s="249"/>
      <c r="DJ65" s="249"/>
      <c r="DM65" s="249"/>
      <c r="DP65" s="249"/>
      <c r="DS65" s="249"/>
      <c r="DV65" s="249"/>
      <c r="DY65" s="249"/>
      <c r="EB65" s="249"/>
      <c r="EE65" s="249"/>
      <c r="EH65" s="249"/>
      <c r="EK65" s="249"/>
      <c r="EN65" s="249"/>
      <c r="EQ65" s="249"/>
      <c r="ET65" s="249"/>
      <c r="EW65" s="249"/>
      <c r="EZ65" s="249"/>
      <c r="FC65" s="249"/>
      <c r="FF65" s="249"/>
      <c r="FI65" s="249"/>
      <c r="FL65" s="249"/>
      <c r="FO65" s="249"/>
      <c r="FR65" s="249"/>
      <c r="FU65" s="249"/>
      <c r="FX65" s="249"/>
      <c r="GA65" s="249"/>
      <c r="GD65" s="249"/>
      <c r="GG65" s="249"/>
      <c r="GJ65" s="249"/>
      <c r="GM65" s="249"/>
      <c r="GP65" s="249"/>
      <c r="GS65" s="249"/>
      <c r="GV65" s="249"/>
      <c r="GY65" s="249"/>
      <c r="HB65" s="249"/>
      <c r="HE65" s="249"/>
    </row>
    <row r="66" spans="1:213" x14ac:dyDescent="0.2">
      <c r="A66" s="262" t="s">
        <v>341</v>
      </c>
      <c r="B66" s="283">
        <v>26</v>
      </c>
      <c r="C66" s="264" t="s">
        <v>69</v>
      </c>
      <c r="G66" s="249" t="s">
        <v>38</v>
      </c>
      <c r="H66" s="287">
        <f>B45</f>
        <v>1.7000000000000001E-2</v>
      </c>
      <c r="AI66" s="275"/>
      <c r="AJ66" s="353"/>
      <c r="AK66" s="275"/>
      <c r="BV66" s="267"/>
      <c r="CZ66" s="262"/>
      <c r="DA66" s="287"/>
      <c r="DD66" s="249"/>
      <c r="DG66" s="249"/>
      <c r="DJ66" s="249"/>
      <c r="DM66" s="249"/>
      <c r="DP66" s="249"/>
      <c r="DS66" s="249"/>
      <c r="DV66" s="249"/>
      <c r="DY66" s="249"/>
      <c r="EB66" s="249"/>
      <c r="EE66" s="249"/>
      <c r="EH66" s="249"/>
      <c r="EK66" s="249"/>
      <c r="EN66" s="249"/>
      <c r="EQ66" s="249"/>
      <c r="ET66" s="249"/>
      <c r="EW66" s="249"/>
      <c r="EZ66" s="249"/>
      <c r="FC66" s="249"/>
      <c r="FF66" s="249"/>
      <c r="FI66" s="249"/>
      <c r="FL66" s="249"/>
      <c r="FO66" s="249"/>
      <c r="FR66" s="249"/>
      <c r="FU66" s="249"/>
      <c r="FX66" s="249"/>
      <c r="GA66" s="249"/>
      <c r="GD66" s="249"/>
      <c r="GG66" s="249"/>
      <c r="GJ66" s="249"/>
      <c r="GM66" s="249"/>
      <c r="GP66" s="249"/>
      <c r="GS66" s="249"/>
      <c r="GV66" s="249"/>
      <c r="GY66" s="249"/>
      <c r="HB66" s="249"/>
      <c r="HE66" s="249"/>
    </row>
    <row r="67" spans="1:213" x14ac:dyDescent="0.2">
      <c r="A67" s="262" t="s">
        <v>340</v>
      </c>
      <c r="B67" s="283">
        <v>350</v>
      </c>
      <c r="C67" s="264" t="s">
        <v>26</v>
      </c>
      <c r="G67" s="262" t="s">
        <v>273</v>
      </c>
      <c r="H67" s="287">
        <f>B35</f>
        <v>584000</v>
      </c>
      <c r="I67" s="249" t="s">
        <v>257</v>
      </c>
      <c r="AI67" s="275"/>
      <c r="AJ67" s="353"/>
      <c r="AK67" s="275"/>
      <c r="BV67" s="267"/>
      <c r="DD67" s="249"/>
      <c r="DG67" s="249"/>
      <c r="DJ67" s="249"/>
      <c r="DM67" s="249"/>
      <c r="DP67" s="249"/>
      <c r="DS67" s="249"/>
      <c r="DV67" s="249"/>
      <c r="DY67" s="249"/>
      <c r="EB67" s="249"/>
      <c r="EE67" s="249"/>
      <c r="EH67" s="249"/>
      <c r="EK67" s="249"/>
      <c r="EN67" s="249"/>
      <c r="EQ67" s="249"/>
      <c r="ET67" s="249"/>
      <c r="EW67" s="249"/>
      <c r="EZ67" s="249"/>
      <c r="FC67" s="249"/>
      <c r="FF67" s="249"/>
      <c r="FI67" s="249"/>
      <c r="FL67" s="249"/>
      <c r="FO67" s="249"/>
      <c r="FR67" s="249"/>
      <c r="FU67" s="249"/>
      <c r="FX67" s="249"/>
      <c r="GA67" s="249"/>
      <c r="GD67" s="249"/>
      <c r="GG67" s="249"/>
      <c r="GJ67" s="249"/>
      <c r="GM67" s="249"/>
      <c r="GP67" s="249"/>
      <c r="GS67" s="249"/>
      <c r="GV67" s="249"/>
      <c r="GY67" s="249"/>
      <c r="HB67" s="249"/>
      <c r="HE67" s="249"/>
    </row>
    <row r="68" spans="1:213" x14ac:dyDescent="0.2">
      <c r="A68" s="262" t="s">
        <v>339</v>
      </c>
      <c r="B68" s="283">
        <v>350</v>
      </c>
      <c r="C68" s="264" t="s">
        <v>26</v>
      </c>
      <c r="AI68" s="275"/>
      <c r="AJ68" s="353"/>
      <c r="AK68" s="275"/>
      <c r="DD68" s="249"/>
      <c r="DG68" s="249"/>
      <c r="DJ68" s="249"/>
      <c r="DM68" s="249"/>
      <c r="DP68" s="249"/>
      <c r="DS68" s="249"/>
      <c r="DV68" s="249"/>
      <c r="DY68" s="249"/>
      <c r="EB68" s="249"/>
      <c r="EE68" s="249"/>
      <c r="EH68" s="249"/>
      <c r="EK68" s="249"/>
      <c r="EN68" s="249"/>
      <c r="EQ68" s="249"/>
      <c r="ET68" s="249"/>
      <c r="EW68" s="249"/>
      <c r="EZ68" s="249"/>
      <c r="FC68" s="249"/>
      <c r="FF68" s="249"/>
      <c r="FI68" s="249"/>
      <c r="FL68" s="249"/>
      <c r="FO68" s="249"/>
      <c r="FR68" s="249"/>
      <c r="FU68" s="249"/>
      <c r="FX68" s="249"/>
      <c r="GA68" s="249"/>
      <c r="GD68" s="249"/>
      <c r="GG68" s="249"/>
      <c r="GJ68" s="249"/>
      <c r="GM68" s="249"/>
      <c r="GP68" s="249"/>
      <c r="GS68" s="249"/>
      <c r="GV68" s="249"/>
      <c r="GY68" s="249"/>
      <c r="HB68" s="249"/>
      <c r="HE68" s="249"/>
    </row>
    <row r="69" spans="1:213" x14ac:dyDescent="0.2">
      <c r="A69" s="262" t="s">
        <v>338</v>
      </c>
      <c r="B69" s="283">
        <v>350</v>
      </c>
      <c r="C69" s="264" t="s">
        <v>26</v>
      </c>
      <c r="AI69" s="275"/>
      <c r="AJ69" s="353"/>
      <c r="AK69" s="275"/>
      <c r="BV69" s="262"/>
      <c r="BW69" s="287"/>
      <c r="DD69" s="249"/>
      <c r="DG69" s="249"/>
      <c r="DJ69" s="249"/>
      <c r="DM69" s="249"/>
      <c r="DP69" s="249"/>
      <c r="DS69" s="249"/>
      <c r="DV69" s="249"/>
      <c r="DY69" s="249"/>
      <c r="EB69" s="249"/>
      <c r="EE69" s="249"/>
      <c r="EH69" s="249"/>
      <c r="EK69" s="249"/>
      <c r="EN69" s="249"/>
      <c r="EQ69" s="249"/>
      <c r="ET69" s="249"/>
      <c r="EW69" s="249"/>
      <c r="EZ69" s="249"/>
      <c r="FC69" s="249"/>
      <c r="FF69" s="249"/>
      <c r="FI69" s="249"/>
      <c r="FL69" s="249"/>
      <c r="FO69" s="249"/>
      <c r="FR69" s="249"/>
      <c r="FU69" s="249"/>
      <c r="FX69" s="249"/>
      <c r="GA69" s="249"/>
      <c r="GD69" s="249"/>
      <c r="GG69" s="249"/>
      <c r="GJ69" s="249"/>
      <c r="GM69" s="249"/>
      <c r="GP69" s="249"/>
      <c r="GS69" s="249"/>
      <c r="GV69" s="249"/>
      <c r="GY69" s="249"/>
      <c r="HB69" s="249"/>
      <c r="HE69" s="249"/>
    </row>
    <row r="70" spans="1:213" x14ac:dyDescent="0.2">
      <c r="A70" s="249" t="s">
        <v>344</v>
      </c>
      <c r="B70" s="284">
        <v>0.54</v>
      </c>
      <c r="C70" s="92" t="s">
        <v>104</v>
      </c>
      <c r="AI70" s="275"/>
      <c r="AJ70" s="353"/>
      <c r="AK70" s="275"/>
      <c r="BV70" s="262"/>
      <c r="DD70" s="249"/>
      <c r="DG70" s="249"/>
      <c r="DJ70" s="249"/>
      <c r="DM70" s="249"/>
      <c r="DP70" s="249"/>
      <c r="DS70" s="249"/>
      <c r="DV70" s="249"/>
      <c r="DY70" s="249"/>
      <c r="EB70" s="249"/>
      <c r="EE70" s="249"/>
      <c r="EH70" s="249"/>
      <c r="EK70" s="249"/>
      <c r="EN70" s="249"/>
      <c r="EQ70" s="249"/>
      <c r="ET70" s="249"/>
      <c r="EW70" s="249"/>
      <c r="EZ70" s="249"/>
      <c r="FC70" s="249"/>
      <c r="FF70" s="249"/>
      <c r="FI70" s="249"/>
      <c r="FL70" s="249"/>
      <c r="FO70" s="249"/>
      <c r="FR70" s="249"/>
      <c r="FU70" s="249"/>
      <c r="FX70" s="249"/>
      <c r="GA70" s="249"/>
      <c r="GD70" s="249"/>
      <c r="GG70" s="249"/>
      <c r="GJ70" s="249"/>
      <c r="GM70" s="249"/>
      <c r="GP70" s="249"/>
      <c r="GS70" s="249"/>
      <c r="GV70" s="249"/>
      <c r="GY70" s="249"/>
      <c r="HB70" s="249"/>
      <c r="HE70" s="249"/>
    </row>
    <row r="71" spans="1:213" x14ac:dyDescent="0.2">
      <c r="A71" s="249" t="s">
        <v>345</v>
      </c>
      <c r="B71" s="284">
        <v>0.71</v>
      </c>
      <c r="C71" s="92" t="s">
        <v>104</v>
      </c>
      <c r="AI71" s="275"/>
      <c r="AJ71" s="353"/>
      <c r="AK71" s="275"/>
      <c r="BV71" s="262"/>
      <c r="DD71" s="249"/>
      <c r="DG71" s="249"/>
      <c r="DJ71" s="249"/>
      <c r="DM71" s="249"/>
      <c r="DP71" s="249"/>
      <c r="DS71" s="249"/>
      <c r="DV71" s="249"/>
      <c r="DY71" s="249"/>
      <c r="EB71" s="249"/>
      <c r="EE71" s="249"/>
      <c r="EH71" s="249"/>
      <c r="EK71" s="249"/>
      <c r="EN71" s="249"/>
      <c r="EQ71" s="249"/>
      <c r="ET71" s="249"/>
      <c r="EW71" s="249"/>
      <c r="EZ71" s="249"/>
      <c r="FC71" s="249"/>
      <c r="FF71" s="249"/>
      <c r="FI71" s="249"/>
      <c r="FL71" s="249"/>
      <c r="FO71" s="249"/>
      <c r="FR71" s="249"/>
      <c r="FU71" s="249"/>
      <c r="FX71" s="249"/>
      <c r="GA71" s="249"/>
      <c r="GD71" s="249"/>
      <c r="GG71" s="249"/>
      <c r="GJ71" s="249"/>
      <c r="GM71" s="249"/>
      <c r="GP71" s="249"/>
      <c r="GS71" s="249"/>
      <c r="GV71" s="249"/>
      <c r="GY71" s="249"/>
      <c r="HB71" s="249"/>
      <c r="HE71" s="249"/>
    </row>
    <row r="72" spans="1:213" x14ac:dyDescent="0.2">
      <c r="A72" s="262" t="s">
        <v>347</v>
      </c>
      <c r="B72" s="283">
        <v>24</v>
      </c>
      <c r="C72" s="264" t="s">
        <v>224</v>
      </c>
      <c r="AF72" s="277"/>
      <c r="AG72" s="353"/>
      <c r="AH72" s="275"/>
      <c r="AI72" s="275"/>
      <c r="AJ72" s="353"/>
      <c r="AK72" s="275"/>
      <c r="DD72" s="249"/>
      <c r="DG72" s="249"/>
      <c r="DJ72" s="249"/>
      <c r="DM72" s="249"/>
      <c r="DP72" s="249"/>
      <c r="DS72" s="249"/>
      <c r="DV72" s="249"/>
      <c r="DY72" s="249"/>
      <c r="EB72" s="249"/>
      <c r="EE72" s="249"/>
      <c r="EH72" s="249"/>
      <c r="EK72" s="249"/>
      <c r="EN72" s="249"/>
      <c r="EQ72" s="249"/>
      <c r="ET72" s="249"/>
      <c r="EW72" s="249"/>
      <c r="EZ72" s="249"/>
      <c r="FC72" s="249"/>
      <c r="FF72" s="249"/>
      <c r="FI72" s="249"/>
      <c r="FL72" s="249"/>
      <c r="FO72" s="249"/>
      <c r="FR72" s="249"/>
      <c r="FU72" s="249"/>
      <c r="FX72" s="249"/>
      <c r="GA72" s="249"/>
      <c r="GD72" s="249"/>
      <c r="GG72" s="249"/>
      <c r="GJ72" s="249"/>
      <c r="GM72" s="249"/>
      <c r="GP72" s="249"/>
      <c r="GS72" s="249"/>
      <c r="GV72" s="249"/>
      <c r="GY72" s="249"/>
      <c r="HB72" s="249"/>
      <c r="HE72" s="249"/>
    </row>
    <row r="73" spans="1:213" x14ac:dyDescent="0.2">
      <c r="A73" s="262" t="s">
        <v>348</v>
      </c>
      <c r="B73" s="283">
        <v>24</v>
      </c>
      <c r="C73" s="264" t="s">
        <v>224</v>
      </c>
      <c r="AF73" s="277"/>
      <c r="AG73" s="353"/>
      <c r="AH73" s="275"/>
      <c r="AI73" s="275"/>
      <c r="AJ73" s="353"/>
      <c r="AK73" s="275"/>
      <c r="DD73" s="249"/>
      <c r="DG73" s="249"/>
      <c r="DJ73" s="249"/>
      <c r="DM73" s="249"/>
      <c r="DP73" s="249"/>
      <c r="DS73" s="249"/>
      <c r="DV73" s="249"/>
      <c r="DY73" s="249"/>
      <c r="EB73" s="249"/>
      <c r="EE73" s="249"/>
      <c r="EH73" s="249"/>
      <c r="EK73" s="249"/>
      <c r="EN73" s="249"/>
      <c r="EQ73" s="249"/>
      <c r="ET73" s="249"/>
      <c r="EW73" s="249"/>
      <c r="EZ73" s="249"/>
      <c r="FC73" s="249"/>
      <c r="FF73" s="249"/>
      <c r="FI73" s="249"/>
      <c r="FL73" s="249"/>
      <c r="FO73" s="249"/>
      <c r="FR73" s="249"/>
      <c r="FU73" s="249"/>
      <c r="FX73" s="249"/>
      <c r="GA73" s="249"/>
      <c r="GD73" s="249"/>
      <c r="GG73" s="249"/>
      <c r="GJ73" s="249"/>
      <c r="GM73" s="249"/>
      <c r="GP73" s="249"/>
      <c r="GS73" s="249"/>
      <c r="GV73" s="249"/>
      <c r="GY73" s="249"/>
      <c r="HB73" s="249"/>
      <c r="HE73" s="249"/>
    </row>
    <row r="74" spans="1:213" x14ac:dyDescent="0.2">
      <c r="A74" s="262" t="s">
        <v>346</v>
      </c>
      <c r="B74" s="283">
        <v>24</v>
      </c>
      <c r="C74" s="264" t="s">
        <v>224</v>
      </c>
      <c r="AF74" s="277"/>
      <c r="AG74" s="353"/>
      <c r="AH74" s="275"/>
      <c r="AI74" s="275"/>
      <c r="AJ74" s="353"/>
      <c r="AK74" s="275"/>
      <c r="DD74" s="249"/>
      <c r="DG74" s="249"/>
      <c r="DJ74" s="249"/>
      <c r="DM74" s="249"/>
      <c r="DP74" s="249"/>
      <c r="DS74" s="249"/>
      <c r="DV74" s="249"/>
      <c r="DY74" s="249"/>
      <c r="EB74" s="249"/>
      <c r="EE74" s="249"/>
      <c r="EH74" s="249"/>
      <c r="EK74" s="249"/>
      <c r="EN74" s="249"/>
      <c r="EQ74" s="249"/>
      <c r="ET74" s="249"/>
      <c r="EW74" s="249"/>
      <c r="EZ74" s="249"/>
      <c r="FC74" s="249"/>
      <c r="FF74" s="249"/>
      <c r="FI74" s="249"/>
      <c r="FL74" s="249"/>
      <c r="FO74" s="249"/>
      <c r="FR74" s="249"/>
      <c r="FU74" s="249"/>
      <c r="FX74" s="249"/>
      <c r="GA74" s="249"/>
      <c r="GD74" s="249"/>
      <c r="GG74" s="249"/>
      <c r="GJ74" s="249"/>
      <c r="GM74" s="249"/>
      <c r="GP74" s="249"/>
      <c r="GS74" s="249"/>
      <c r="GV74" s="249"/>
      <c r="GY74" s="249"/>
      <c r="HB74" s="249"/>
      <c r="HE74" s="249"/>
    </row>
    <row r="75" spans="1:213" x14ac:dyDescent="0.2">
      <c r="A75" s="249" t="s">
        <v>349</v>
      </c>
      <c r="B75" s="284">
        <v>1</v>
      </c>
      <c r="C75" s="92" t="s">
        <v>98</v>
      </c>
      <c r="AF75" s="277"/>
      <c r="AG75" s="353"/>
      <c r="AH75" s="275"/>
      <c r="AI75" s="275"/>
      <c r="AJ75" s="353"/>
      <c r="AK75" s="275"/>
      <c r="DD75" s="249"/>
      <c r="DG75" s="249"/>
      <c r="DJ75" s="249"/>
      <c r="DM75" s="249"/>
      <c r="DP75" s="249"/>
      <c r="DS75" s="249"/>
      <c r="DV75" s="249"/>
      <c r="DY75" s="249"/>
      <c r="EB75" s="249"/>
      <c r="EE75" s="249"/>
      <c r="EH75" s="249"/>
      <c r="EK75" s="249"/>
      <c r="EN75" s="249"/>
      <c r="EQ75" s="249"/>
      <c r="ET75" s="249"/>
      <c r="EW75" s="249"/>
      <c r="EZ75" s="249"/>
      <c r="FC75" s="249"/>
      <c r="FF75" s="249"/>
      <c r="FI75" s="249"/>
      <c r="FL75" s="249"/>
      <c r="FO75" s="249"/>
      <c r="FR75" s="249"/>
      <c r="FU75" s="249"/>
      <c r="FX75" s="249"/>
      <c r="GA75" s="249"/>
      <c r="GD75" s="249"/>
      <c r="GG75" s="249"/>
      <c r="GJ75" s="249"/>
      <c r="GM75" s="249"/>
      <c r="GP75" s="249"/>
      <c r="GS75" s="249"/>
      <c r="GV75" s="249"/>
      <c r="GY75" s="249"/>
      <c r="HB75" s="249"/>
      <c r="HE75" s="249"/>
    </row>
    <row r="76" spans="1:213" x14ac:dyDescent="0.2">
      <c r="A76" s="249" t="s">
        <v>350</v>
      </c>
      <c r="B76" s="284">
        <v>1</v>
      </c>
      <c r="C76" s="92" t="s">
        <v>98</v>
      </c>
      <c r="AF76" s="277"/>
      <c r="AG76" s="353"/>
      <c r="AH76" s="275"/>
      <c r="AI76" s="275"/>
      <c r="AJ76" s="353"/>
      <c r="AK76" s="275"/>
      <c r="DD76" s="249"/>
      <c r="DG76" s="249"/>
      <c r="DJ76" s="249"/>
      <c r="DM76" s="249"/>
      <c r="DP76" s="249"/>
      <c r="DS76" s="249"/>
      <c r="DV76" s="249"/>
      <c r="DY76" s="249"/>
      <c r="EB76" s="249"/>
      <c r="EE76" s="249"/>
      <c r="EH76" s="249"/>
      <c r="EK76" s="249"/>
      <c r="EN76" s="249"/>
      <c r="EQ76" s="249"/>
      <c r="ET76" s="249"/>
      <c r="EW76" s="249"/>
      <c r="EZ76" s="249"/>
      <c r="FC76" s="249"/>
      <c r="FF76" s="249"/>
      <c r="FI76" s="249"/>
      <c r="FL76" s="249"/>
      <c r="FO76" s="249"/>
      <c r="FR76" s="249"/>
      <c r="FU76" s="249"/>
      <c r="FX76" s="249"/>
      <c r="GA76" s="249"/>
      <c r="GD76" s="249"/>
      <c r="GG76" s="249"/>
      <c r="GJ76" s="249"/>
      <c r="GM76" s="249"/>
      <c r="GP76" s="249"/>
      <c r="GS76" s="249"/>
      <c r="GV76" s="249"/>
      <c r="GY76" s="249"/>
      <c r="HB76" s="249"/>
      <c r="HE76" s="249"/>
    </row>
    <row r="77" spans="1:213" x14ac:dyDescent="0.2">
      <c r="A77" s="262" t="s">
        <v>103</v>
      </c>
      <c r="B77" s="283">
        <v>0.4</v>
      </c>
      <c r="C77" s="249"/>
      <c r="AF77" s="277"/>
      <c r="AG77" s="353"/>
      <c r="AH77" s="275"/>
      <c r="AI77" s="275"/>
      <c r="AJ77" s="353"/>
      <c r="AK77" s="275"/>
      <c r="DD77" s="249"/>
      <c r="DG77" s="249"/>
      <c r="DJ77" s="249"/>
      <c r="DM77" s="249"/>
      <c r="DP77" s="249"/>
      <c r="DS77" s="249"/>
      <c r="DV77" s="249"/>
      <c r="DY77" s="249"/>
      <c r="EB77" s="249"/>
      <c r="EE77" s="249"/>
      <c r="EH77" s="249"/>
      <c r="EK77" s="249"/>
      <c r="EN77" s="249"/>
      <c r="EQ77" s="249"/>
      <c r="ET77" s="249"/>
      <c r="EW77" s="249"/>
      <c r="EZ77" s="249"/>
      <c r="FC77" s="249"/>
      <c r="FF77" s="249"/>
      <c r="FI77" s="249"/>
      <c r="FL77" s="249"/>
      <c r="FO77" s="249"/>
      <c r="FR77" s="249"/>
      <c r="FU77" s="249"/>
      <c r="FX77" s="249"/>
      <c r="GA77" s="249"/>
      <c r="GD77" s="249"/>
      <c r="GG77" s="249"/>
      <c r="GJ77" s="249"/>
      <c r="GM77" s="249"/>
      <c r="GP77" s="249"/>
      <c r="GS77" s="249"/>
      <c r="GV77" s="249"/>
      <c r="GY77" s="249"/>
      <c r="HB77" s="249"/>
      <c r="HE77" s="249"/>
    </row>
    <row r="78" spans="1:213" x14ac:dyDescent="0.2">
      <c r="A78" s="249" t="s">
        <v>353</v>
      </c>
      <c r="B78" s="284">
        <v>1</v>
      </c>
      <c r="C78" s="247"/>
      <c r="AF78" s="277"/>
      <c r="AG78" s="353"/>
      <c r="DD78" s="249"/>
      <c r="DG78" s="249"/>
      <c r="DJ78" s="249"/>
      <c r="DM78" s="249"/>
      <c r="DP78" s="249"/>
      <c r="DS78" s="249"/>
      <c r="DV78" s="249"/>
      <c r="DY78" s="249"/>
      <c r="EB78" s="249"/>
      <c r="EE78" s="249"/>
      <c r="EH78" s="249"/>
      <c r="EK78" s="249"/>
      <c r="EN78" s="249"/>
      <c r="EQ78" s="249"/>
      <c r="ET78" s="249"/>
      <c r="EW78" s="249"/>
      <c r="EZ78" s="249"/>
      <c r="FC78" s="249"/>
      <c r="FF78" s="249"/>
      <c r="FI78" s="249"/>
      <c r="FL78" s="249"/>
      <c r="FO78" s="249"/>
      <c r="FR78" s="249"/>
      <c r="FU78" s="249"/>
      <c r="FX78" s="249"/>
      <c r="GA78" s="249"/>
      <c r="GD78" s="249"/>
      <c r="GG78" s="249"/>
      <c r="GJ78" s="249"/>
      <c r="GM78" s="249"/>
      <c r="GP78" s="249"/>
      <c r="GS78" s="249"/>
      <c r="GV78" s="249"/>
      <c r="GY78" s="249"/>
      <c r="HB78" s="249"/>
      <c r="HE78" s="249"/>
    </row>
    <row r="79" spans="1:213" x14ac:dyDescent="0.2">
      <c r="A79" s="249" t="s">
        <v>158</v>
      </c>
      <c r="B79" s="284">
        <v>0.4</v>
      </c>
      <c r="C79" s="247"/>
      <c r="AF79" s="277"/>
      <c r="AG79" s="353"/>
      <c r="AH79" s="275"/>
      <c r="AI79" s="275"/>
      <c r="AJ79" s="353"/>
      <c r="AK79" s="275"/>
      <c r="DD79" s="249"/>
      <c r="DG79" s="249"/>
      <c r="DJ79" s="249"/>
      <c r="DM79" s="249"/>
      <c r="DP79" s="249"/>
      <c r="DS79" s="249"/>
      <c r="DV79" s="249"/>
      <c r="DY79" s="249"/>
      <c r="EB79" s="249"/>
      <c r="EE79" s="249"/>
      <c r="EH79" s="249"/>
      <c r="EK79" s="249"/>
      <c r="EN79" s="249"/>
      <c r="EQ79" s="249"/>
      <c r="ET79" s="249"/>
      <c r="EW79" s="249"/>
      <c r="EZ79" s="249"/>
      <c r="FC79" s="249"/>
      <c r="FF79" s="249"/>
      <c r="FI79" s="249"/>
      <c r="FL79" s="249"/>
      <c r="FO79" s="249"/>
      <c r="FR79" s="249"/>
      <c r="FU79" s="249"/>
      <c r="FX79" s="249"/>
      <c r="GA79" s="249"/>
      <c r="GD79" s="249"/>
      <c r="GG79" s="249"/>
      <c r="GJ79" s="249"/>
      <c r="GM79" s="249"/>
      <c r="GP79" s="249"/>
      <c r="GS79" s="249"/>
      <c r="GV79" s="249"/>
      <c r="GY79" s="249"/>
      <c r="HB79" s="249"/>
      <c r="HE79" s="249"/>
    </row>
    <row r="80" spans="1:213" x14ac:dyDescent="0.2">
      <c r="A80" s="249" t="s">
        <v>159</v>
      </c>
      <c r="B80" s="284">
        <v>1</v>
      </c>
      <c r="C80" s="247"/>
      <c r="AF80" s="277"/>
      <c r="AG80" s="353"/>
      <c r="AH80" s="275"/>
      <c r="AI80" s="275"/>
      <c r="AJ80" s="353"/>
      <c r="AK80" s="275"/>
      <c r="DD80" s="249"/>
      <c r="DG80" s="249"/>
      <c r="DJ80" s="249"/>
      <c r="DM80" s="249"/>
      <c r="DP80" s="249"/>
      <c r="DS80" s="249"/>
      <c r="DV80" s="249"/>
      <c r="DY80" s="249"/>
      <c r="EB80" s="249"/>
      <c r="EE80" s="249"/>
      <c r="EH80" s="249"/>
      <c r="EK80" s="249"/>
      <c r="EN80" s="249"/>
      <c r="EQ80" s="249"/>
      <c r="ET80" s="249"/>
      <c r="EW80" s="249"/>
      <c r="EZ80" s="249"/>
      <c r="FC80" s="249"/>
      <c r="FF80" s="249"/>
      <c r="FI80" s="249"/>
      <c r="FL80" s="249"/>
      <c r="FO80" s="249"/>
      <c r="FR80" s="249"/>
      <c r="FU80" s="249"/>
      <c r="FX80" s="249"/>
      <c r="GA80" s="249"/>
      <c r="GD80" s="249"/>
      <c r="GG80" s="249"/>
      <c r="GJ80" s="249"/>
      <c r="GM80" s="249"/>
      <c r="GP80" s="249"/>
      <c r="GS80" s="249"/>
      <c r="GV80" s="249"/>
      <c r="GY80" s="249"/>
      <c r="HB80" s="249"/>
      <c r="HE80" s="249"/>
    </row>
    <row r="81" spans="1:213" x14ac:dyDescent="0.2">
      <c r="A81" s="249" t="s">
        <v>354</v>
      </c>
      <c r="B81" s="284">
        <v>1</v>
      </c>
      <c r="C81" s="247"/>
      <c r="AF81" s="277"/>
      <c r="AG81" s="353"/>
      <c r="AH81" s="275"/>
      <c r="AI81" s="275"/>
      <c r="AJ81" s="353"/>
      <c r="AK81" s="275"/>
      <c r="AM81" s="249"/>
      <c r="AP81" s="249"/>
      <c r="AS81" s="249"/>
      <c r="AV81" s="249"/>
      <c r="AY81" s="249"/>
      <c r="BB81" s="249"/>
      <c r="BE81" s="249"/>
      <c r="BH81" s="249"/>
      <c r="BK81" s="249"/>
      <c r="BN81" s="249"/>
      <c r="BQ81" s="249"/>
      <c r="BT81" s="249"/>
      <c r="BW81" s="249"/>
      <c r="BZ81" s="249"/>
      <c r="CC81" s="249"/>
      <c r="CF81" s="249"/>
      <c r="CI81" s="249"/>
      <c r="CL81" s="249"/>
      <c r="CO81" s="249"/>
      <c r="CR81" s="249"/>
      <c r="CU81" s="249"/>
      <c r="CX81" s="249"/>
      <c r="DA81" s="249"/>
      <c r="DD81" s="249"/>
      <c r="DG81" s="249"/>
      <c r="DJ81" s="249"/>
      <c r="DM81" s="249"/>
      <c r="DP81" s="249"/>
      <c r="DS81" s="249"/>
      <c r="DV81" s="249"/>
      <c r="DY81" s="249"/>
      <c r="EB81" s="249"/>
      <c r="EE81" s="249"/>
      <c r="EH81" s="249"/>
      <c r="EK81" s="249"/>
      <c r="EN81" s="249"/>
      <c r="EQ81" s="249"/>
      <c r="ET81" s="249"/>
      <c r="EW81" s="249"/>
      <c r="EZ81" s="249"/>
      <c r="FC81" s="249"/>
      <c r="FF81" s="249"/>
      <c r="FI81" s="249"/>
      <c r="FL81" s="249"/>
      <c r="FO81" s="249"/>
      <c r="FR81" s="249"/>
      <c r="FU81" s="249"/>
      <c r="FX81" s="249"/>
      <c r="GA81" s="249"/>
      <c r="GD81" s="249"/>
      <c r="GG81" s="249"/>
      <c r="GJ81" s="249"/>
      <c r="GM81" s="249"/>
      <c r="GP81" s="249"/>
      <c r="GS81" s="249"/>
      <c r="GV81" s="249"/>
      <c r="GY81" s="249"/>
      <c r="HB81" s="249"/>
      <c r="HE81" s="249"/>
    </row>
    <row r="82" spans="1:213" x14ac:dyDescent="0.2">
      <c r="A82" s="262" t="s">
        <v>124</v>
      </c>
      <c r="B82" s="284">
        <v>1</v>
      </c>
      <c r="C82" s="263" t="s">
        <v>125</v>
      </c>
      <c r="AF82" s="277"/>
      <c r="AG82" s="353"/>
      <c r="AH82" s="275"/>
      <c r="AI82" s="275"/>
      <c r="AJ82" s="353"/>
      <c r="AK82" s="275"/>
      <c r="AM82" s="249"/>
      <c r="AP82" s="249"/>
      <c r="AS82" s="249"/>
      <c r="AV82" s="249"/>
      <c r="AY82" s="249"/>
      <c r="BB82" s="249"/>
      <c r="BE82" s="249"/>
      <c r="BH82" s="249"/>
      <c r="BK82" s="249"/>
      <c r="BN82" s="249"/>
      <c r="BQ82" s="249"/>
      <c r="BT82" s="249"/>
      <c r="BW82" s="249"/>
      <c r="BZ82" s="249"/>
      <c r="CC82" s="249"/>
      <c r="CF82" s="249"/>
      <c r="CI82" s="249"/>
      <c r="CL82" s="249"/>
      <c r="CO82" s="249"/>
      <c r="CR82" s="249"/>
      <c r="CU82" s="249"/>
      <c r="CX82" s="249"/>
      <c r="DA82" s="249"/>
      <c r="DD82" s="249"/>
      <c r="DG82" s="249"/>
      <c r="DJ82" s="249"/>
      <c r="DM82" s="249"/>
      <c r="DP82" s="249"/>
      <c r="DS82" s="249"/>
      <c r="DV82" s="249"/>
      <c r="DY82" s="249"/>
      <c r="EB82" s="249"/>
      <c r="EE82" s="249"/>
      <c r="EH82" s="249"/>
      <c r="EK82" s="249"/>
      <c r="EN82" s="249"/>
      <c r="EQ82" s="249"/>
      <c r="ET82" s="249"/>
      <c r="EW82" s="249"/>
      <c r="EZ82" s="249"/>
      <c r="FC82" s="249"/>
      <c r="FF82" s="249"/>
      <c r="FI82" s="249"/>
      <c r="FL82" s="249"/>
      <c r="FO82" s="249"/>
      <c r="FR82" s="249"/>
      <c r="FU82" s="249"/>
      <c r="FX82" s="249"/>
      <c r="GA82" s="249"/>
      <c r="GD82" s="249"/>
      <c r="GG82" s="249"/>
      <c r="GJ82" s="249"/>
      <c r="GM82" s="249"/>
      <c r="GP82" s="249"/>
      <c r="GS82" s="249"/>
      <c r="GV82" s="249"/>
      <c r="GY82" s="249"/>
      <c r="HB82" s="249"/>
      <c r="HE82" s="249"/>
    </row>
    <row r="83" spans="1:213" x14ac:dyDescent="0.2">
      <c r="A83" s="249" t="s">
        <v>83</v>
      </c>
      <c r="B83" s="284">
        <v>0.5</v>
      </c>
      <c r="C83" s="249" t="s">
        <v>84</v>
      </c>
      <c r="AF83" s="277"/>
      <c r="AG83" s="353"/>
      <c r="AM83" s="249"/>
      <c r="AP83" s="249"/>
      <c r="AS83" s="249"/>
      <c r="AV83" s="249"/>
      <c r="AY83" s="249"/>
      <c r="BB83" s="249"/>
      <c r="BE83" s="249"/>
      <c r="BH83" s="249"/>
      <c r="BK83" s="249"/>
      <c r="BN83" s="249"/>
      <c r="BQ83" s="249"/>
      <c r="BT83" s="249"/>
      <c r="BW83" s="249"/>
      <c r="BZ83" s="249"/>
      <c r="CC83" s="249"/>
      <c r="CF83" s="249"/>
      <c r="CI83" s="249"/>
      <c r="CL83" s="249"/>
      <c r="CO83" s="249"/>
      <c r="CR83" s="249"/>
      <c r="CU83" s="249"/>
      <c r="CX83" s="249"/>
      <c r="DA83" s="249"/>
      <c r="DD83" s="249"/>
      <c r="DG83" s="249"/>
      <c r="DJ83" s="249"/>
      <c r="DM83" s="249"/>
      <c r="DP83" s="249"/>
      <c r="DS83" s="249"/>
      <c r="DV83" s="249"/>
      <c r="DY83" s="249"/>
      <c r="EB83" s="249"/>
      <c r="EE83" s="249"/>
      <c r="EH83" s="249"/>
      <c r="EK83" s="249"/>
      <c r="EN83" s="249"/>
      <c r="EQ83" s="249"/>
      <c r="ET83" s="249"/>
      <c r="EW83" s="249"/>
      <c r="EZ83" s="249"/>
      <c r="FC83" s="249"/>
      <c r="FF83" s="249"/>
      <c r="FI83" s="249"/>
      <c r="FL83" s="249"/>
      <c r="FO83" s="249"/>
      <c r="FR83" s="249"/>
      <c r="FU83" s="249"/>
      <c r="FX83" s="249"/>
      <c r="GA83" s="249"/>
      <c r="GD83" s="249"/>
      <c r="GG83" s="249"/>
      <c r="GJ83" s="249"/>
      <c r="GM83" s="249"/>
      <c r="GP83" s="249"/>
      <c r="GS83" s="249"/>
      <c r="GV83" s="249"/>
      <c r="GY83" s="249"/>
      <c r="HB83" s="249"/>
      <c r="HE83" s="249"/>
    </row>
    <row r="84" spans="1:213" x14ac:dyDescent="0.2">
      <c r="A84" s="249" t="s">
        <v>355</v>
      </c>
      <c r="B84" s="284">
        <v>0.25</v>
      </c>
      <c r="C84" s="247"/>
      <c r="AF84" s="277"/>
      <c r="AG84" s="353"/>
      <c r="AH84" s="275"/>
      <c r="AI84" s="275"/>
      <c r="AJ84" s="353"/>
      <c r="AK84" s="275"/>
      <c r="AM84" s="249"/>
      <c r="AP84" s="249"/>
      <c r="AS84" s="249"/>
      <c r="AV84" s="249"/>
      <c r="AY84" s="249"/>
      <c r="BB84" s="249"/>
      <c r="BE84" s="249"/>
      <c r="BH84" s="249"/>
      <c r="BK84" s="249"/>
      <c r="BN84" s="249"/>
      <c r="BQ84" s="249"/>
      <c r="BT84" s="249"/>
      <c r="BW84" s="249"/>
      <c r="BZ84" s="249"/>
      <c r="CC84" s="249"/>
      <c r="CF84" s="249"/>
      <c r="CI84" s="249"/>
      <c r="CL84" s="249"/>
      <c r="CO84" s="249"/>
      <c r="CR84" s="249"/>
      <c r="CU84" s="249"/>
      <c r="CX84" s="249"/>
      <c r="DA84" s="249"/>
      <c r="DD84" s="249"/>
      <c r="DG84" s="249"/>
      <c r="DJ84" s="249"/>
      <c r="DM84" s="249"/>
      <c r="DP84" s="249"/>
      <c r="DS84" s="249"/>
      <c r="DV84" s="249"/>
      <c r="DY84" s="249"/>
      <c r="EB84" s="249"/>
      <c r="EE84" s="249"/>
      <c r="EH84" s="249"/>
      <c r="EK84" s="249"/>
      <c r="EN84" s="249"/>
      <c r="EQ84" s="249"/>
      <c r="ET84" s="249"/>
      <c r="EW84" s="249"/>
      <c r="EZ84" s="249"/>
      <c r="FC84" s="249"/>
      <c r="FF84" s="249"/>
      <c r="FI84" s="249"/>
      <c r="FL84" s="249"/>
      <c r="FO84" s="249"/>
      <c r="FR84" s="249"/>
      <c r="FU84" s="249"/>
      <c r="FX84" s="249"/>
      <c r="GA84" s="249"/>
      <c r="GD84" s="249"/>
      <c r="GG84" s="249"/>
      <c r="GJ84" s="249"/>
      <c r="GM84" s="249"/>
      <c r="GP84" s="249"/>
      <c r="GS84" s="249"/>
      <c r="GV84" s="249"/>
      <c r="GY84" s="249"/>
      <c r="HB84" s="249"/>
      <c r="HE84" s="249"/>
    </row>
    <row r="85" spans="1:213" x14ac:dyDescent="0.2">
      <c r="A85" s="262" t="s">
        <v>41</v>
      </c>
      <c r="B85" s="284">
        <v>3.62</v>
      </c>
      <c r="C85" s="249" t="s">
        <v>42</v>
      </c>
      <c r="AF85" s="277"/>
      <c r="AG85" s="353"/>
      <c r="AM85" s="249"/>
      <c r="AP85" s="249"/>
      <c r="AS85" s="249"/>
      <c r="AV85" s="249"/>
      <c r="AY85" s="249"/>
      <c r="BB85" s="249"/>
      <c r="BE85" s="249"/>
      <c r="BH85" s="249"/>
      <c r="BK85" s="249"/>
      <c r="BN85" s="249"/>
      <c r="BQ85" s="249"/>
      <c r="BT85" s="249"/>
      <c r="BW85" s="249"/>
      <c r="BZ85" s="249"/>
      <c r="CC85" s="249"/>
      <c r="CF85" s="249"/>
      <c r="CI85" s="249"/>
      <c r="CL85" s="249"/>
      <c r="CO85" s="249"/>
      <c r="CR85" s="249"/>
      <c r="CU85" s="249"/>
      <c r="CX85" s="249"/>
      <c r="DA85" s="249"/>
      <c r="DD85" s="249"/>
      <c r="DG85" s="249"/>
      <c r="DJ85" s="249"/>
      <c r="DM85" s="249"/>
      <c r="DP85" s="249"/>
      <c r="DS85" s="249"/>
      <c r="DV85" s="249"/>
      <c r="DY85" s="249"/>
      <c r="EB85" s="249"/>
      <c r="EE85" s="249"/>
      <c r="EH85" s="249"/>
      <c r="EK85" s="249"/>
      <c r="EN85" s="249"/>
      <c r="EQ85" s="249"/>
      <c r="ET85" s="249"/>
      <c r="EW85" s="249"/>
      <c r="EZ85" s="249"/>
      <c r="FC85" s="249"/>
      <c r="FF85" s="249"/>
      <c r="FI85" s="249"/>
      <c r="FL85" s="249"/>
      <c r="FO85" s="249"/>
      <c r="FR85" s="249"/>
      <c r="FU85" s="249"/>
      <c r="FX85" s="249"/>
      <c r="GA85" s="249"/>
      <c r="GD85" s="249"/>
      <c r="GG85" s="249"/>
      <c r="GJ85" s="249"/>
      <c r="GM85" s="249"/>
      <c r="GP85" s="249"/>
      <c r="GS85" s="249"/>
      <c r="GV85" s="249"/>
      <c r="GY85" s="249"/>
      <c r="HB85" s="249"/>
      <c r="HE85" s="249"/>
    </row>
    <row r="86" spans="1:213" x14ac:dyDescent="0.2">
      <c r="A86" s="262" t="s">
        <v>46</v>
      </c>
      <c r="B86" s="284">
        <v>0.25</v>
      </c>
      <c r="C86" s="249" t="s">
        <v>47</v>
      </c>
      <c r="AH86" s="276"/>
      <c r="AI86" s="276"/>
      <c r="AJ86" s="277"/>
      <c r="AK86" s="276"/>
      <c r="AM86" s="249"/>
      <c r="AP86" s="249"/>
      <c r="AS86" s="249"/>
      <c r="AV86" s="249"/>
      <c r="AY86" s="249"/>
      <c r="BB86" s="249"/>
      <c r="BE86" s="249"/>
      <c r="BH86" s="249"/>
      <c r="BK86" s="249"/>
      <c r="BN86" s="249"/>
      <c r="BQ86" s="249"/>
      <c r="BT86" s="249"/>
      <c r="BW86" s="249"/>
      <c r="BZ86" s="249"/>
      <c r="CC86" s="249"/>
      <c r="CF86" s="249"/>
      <c r="CI86" s="249"/>
      <c r="CL86" s="249"/>
      <c r="CO86" s="249"/>
      <c r="CR86" s="249"/>
      <c r="CU86" s="249"/>
      <c r="CX86" s="249"/>
      <c r="DA86" s="249"/>
      <c r="DD86" s="249"/>
      <c r="DG86" s="249"/>
      <c r="DJ86" s="249"/>
      <c r="DM86" s="249"/>
      <c r="DP86" s="249"/>
      <c r="DS86" s="249"/>
      <c r="DV86" s="249"/>
      <c r="DY86" s="249"/>
      <c r="EB86" s="249"/>
      <c r="EE86" s="249"/>
      <c r="EH86" s="249"/>
      <c r="EK86" s="249"/>
      <c r="EN86" s="249"/>
      <c r="EQ86" s="249"/>
      <c r="ET86" s="249"/>
      <c r="EW86" s="249"/>
      <c r="EZ86" s="249"/>
      <c r="FC86" s="249"/>
      <c r="FF86" s="249"/>
      <c r="FI86" s="249"/>
      <c r="FL86" s="249"/>
      <c r="FO86" s="249"/>
      <c r="FR86" s="249"/>
      <c r="FU86" s="249"/>
      <c r="FX86" s="249"/>
      <c r="GA86" s="249"/>
      <c r="GD86" s="249"/>
      <c r="GG86" s="249"/>
      <c r="GJ86" s="249"/>
      <c r="GM86" s="249"/>
      <c r="GP86" s="249"/>
      <c r="GS86" s="249"/>
      <c r="GV86" s="249"/>
      <c r="GY86" s="249"/>
      <c r="HB86" s="249"/>
      <c r="HE86" s="249"/>
    </row>
    <row r="87" spans="1:213" x14ac:dyDescent="0.2">
      <c r="A87" s="267" t="s">
        <v>60</v>
      </c>
      <c r="B87" s="284">
        <v>10950</v>
      </c>
      <c r="C87" s="249" t="s">
        <v>61</v>
      </c>
      <c r="AM87" s="249"/>
      <c r="AP87" s="249"/>
      <c r="AS87" s="249"/>
      <c r="AV87" s="249"/>
      <c r="AY87" s="249"/>
      <c r="BB87" s="249"/>
      <c r="BE87" s="249"/>
      <c r="BH87" s="249"/>
      <c r="BK87" s="249"/>
      <c r="BN87" s="249"/>
      <c r="BQ87" s="249"/>
      <c r="BT87" s="249"/>
      <c r="BW87" s="249"/>
      <c r="BZ87" s="249"/>
      <c r="CC87" s="249"/>
      <c r="CF87" s="249"/>
      <c r="CI87" s="249"/>
      <c r="CL87" s="249"/>
      <c r="CO87" s="249"/>
      <c r="CR87" s="249"/>
      <c r="CU87" s="249"/>
      <c r="CX87" s="249"/>
      <c r="DA87" s="249"/>
      <c r="DD87" s="249"/>
      <c r="DG87" s="249"/>
      <c r="DJ87" s="249"/>
      <c r="DM87" s="249"/>
      <c r="DP87" s="249"/>
      <c r="DS87" s="249"/>
      <c r="DV87" s="249"/>
      <c r="DY87" s="249"/>
      <c r="EB87" s="249"/>
      <c r="EE87" s="249"/>
      <c r="EH87" s="249"/>
      <c r="EK87" s="249"/>
      <c r="EN87" s="249"/>
      <c r="EQ87" s="249"/>
      <c r="ET87" s="249"/>
      <c r="EW87" s="249"/>
      <c r="EZ87" s="249"/>
      <c r="FC87" s="249"/>
      <c r="FF87" s="249"/>
      <c r="FI87" s="249"/>
      <c r="FL87" s="249"/>
      <c r="FO87" s="249"/>
      <c r="FR87" s="249"/>
      <c r="FU87" s="249"/>
      <c r="FX87" s="249"/>
      <c r="GA87" s="249"/>
      <c r="GD87" s="249"/>
      <c r="GG87" s="249"/>
      <c r="GJ87" s="249"/>
      <c r="GM87" s="249"/>
      <c r="GP87" s="249"/>
      <c r="GS87" s="249"/>
      <c r="GV87" s="249"/>
      <c r="GY87" s="249"/>
      <c r="HB87" s="249"/>
      <c r="HE87" s="249"/>
    </row>
    <row r="88" spans="1:213" x14ac:dyDescent="0.2">
      <c r="A88" s="267" t="s">
        <v>65</v>
      </c>
      <c r="B88" s="284">
        <v>240</v>
      </c>
      <c r="C88" s="249" t="s">
        <v>66</v>
      </c>
      <c r="AM88" s="249"/>
      <c r="AP88" s="249"/>
      <c r="AS88" s="249"/>
      <c r="AV88" s="249"/>
      <c r="AY88" s="249"/>
      <c r="BB88" s="249"/>
      <c r="BE88" s="249"/>
      <c r="BH88" s="249"/>
      <c r="BK88" s="249"/>
      <c r="BN88" s="249"/>
      <c r="BQ88" s="249"/>
      <c r="BT88" s="249"/>
      <c r="BW88" s="249"/>
      <c r="BZ88" s="249"/>
      <c r="CC88" s="249"/>
      <c r="CF88" s="249"/>
      <c r="CI88" s="249"/>
      <c r="CL88" s="249"/>
      <c r="CO88" s="249"/>
      <c r="CR88" s="249"/>
      <c r="CU88" s="249"/>
      <c r="CX88" s="249"/>
      <c r="DA88" s="249"/>
      <c r="DD88" s="249"/>
      <c r="DG88" s="249"/>
      <c r="DJ88" s="249"/>
      <c r="DM88" s="249"/>
      <c r="DP88" s="249"/>
      <c r="DS88" s="249"/>
      <c r="DV88" s="249"/>
      <c r="DY88" s="249"/>
      <c r="EB88" s="249"/>
      <c r="EE88" s="249"/>
      <c r="EH88" s="249"/>
      <c r="EK88" s="249"/>
      <c r="EN88" s="249"/>
      <c r="EQ88" s="249"/>
      <c r="ET88" s="249"/>
      <c r="EW88" s="249"/>
      <c r="EZ88" s="249"/>
      <c r="FC88" s="249"/>
      <c r="FF88" s="249"/>
      <c r="FI88" s="249"/>
      <c r="FL88" s="249"/>
      <c r="FO88" s="249"/>
      <c r="FR88" s="249"/>
      <c r="FU88" s="249"/>
      <c r="FX88" s="249"/>
      <c r="GA88" s="249"/>
      <c r="GD88" s="249"/>
      <c r="GG88" s="249"/>
      <c r="GJ88" s="249"/>
      <c r="GM88" s="249"/>
      <c r="GP88" s="249"/>
      <c r="GS88" s="249"/>
      <c r="GV88" s="249"/>
      <c r="GY88" s="249"/>
      <c r="HB88" s="249"/>
      <c r="HE88" s="249"/>
    </row>
    <row r="89" spans="1:213" x14ac:dyDescent="0.2">
      <c r="A89" s="267" t="s">
        <v>76</v>
      </c>
      <c r="B89" s="284">
        <v>0.42</v>
      </c>
      <c r="C89" s="249" t="s">
        <v>47</v>
      </c>
      <c r="AM89" s="249"/>
      <c r="AP89" s="249"/>
      <c r="AS89" s="249"/>
      <c r="AV89" s="249"/>
      <c r="AY89" s="249"/>
      <c r="BB89" s="249"/>
      <c r="BE89" s="249"/>
      <c r="BH89" s="249"/>
      <c r="BK89" s="249"/>
      <c r="BN89" s="249"/>
      <c r="BQ89" s="249"/>
      <c r="BT89" s="249"/>
      <c r="BW89" s="249"/>
      <c r="BZ89" s="249"/>
      <c r="CC89" s="249"/>
      <c r="CF89" s="249"/>
      <c r="CI89" s="249"/>
      <c r="CL89" s="249"/>
      <c r="CO89" s="249"/>
      <c r="CR89" s="249"/>
      <c r="CU89" s="249"/>
      <c r="CX89" s="249"/>
      <c r="DA89" s="249"/>
      <c r="DD89" s="249"/>
      <c r="DG89" s="249"/>
      <c r="DJ89" s="249"/>
      <c r="DM89" s="249"/>
      <c r="DP89" s="249"/>
      <c r="DS89" s="249"/>
      <c r="DV89" s="249"/>
      <c r="DY89" s="249"/>
      <c r="EB89" s="249"/>
      <c r="EE89" s="249"/>
      <c r="EH89" s="249"/>
      <c r="EK89" s="249"/>
      <c r="EN89" s="249"/>
      <c r="EQ89" s="249"/>
      <c r="ET89" s="249"/>
      <c r="EW89" s="249"/>
      <c r="EZ89" s="249"/>
      <c r="FC89" s="249"/>
      <c r="FF89" s="249"/>
      <c r="FI89" s="249"/>
      <c r="FL89" s="249"/>
      <c r="FO89" s="249"/>
      <c r="FR89" s="249"/>
      <c r="FU89" s="249"/>
      <c r="FX89" s="249"/>
      <c r="GA89" s="249"/>
      <c r="GD89" s="249"/>
      <c r="GG89" s="249"/>
      <c r="GJ89" s="249"/>
      <c r="GM89" s="249"/>
      <c r="GP89" s="249"/>
      <c r="GS89" s="249"/>
      <c r="GV89" s="249"/>
      <c r="GY89" s="249"/>
      <c r="HB89" s="249"/>
      <c r="HE89" s="249"/>
    </row>
    <row r="90" spans="1:213" x14ac:dyDescent="0.2">
      <c r="A90" s="267" t="s">
        <v>85</v>
      </c>
      <c r="B90" s="284">
        <v>60</v>
      </c>
      <c r="C90" s="262" t="s">
        <v>61</v>
      </c>
      <c r="AM90" s="249"/>
      <c r="AP90" s="249"/>
      <c r="AS90" s="249"/>
      <c r="AV90" s="249"/>
      <c r="AY90" s="249"/>
      <c r="BB90" s="249"/>
      <c r="BE90" s="249"/>
      <c r="BH90" s="249"/>
      <c r="BK90" s="249"/>
      <c r="BN90" s="249"/>
      <c r="BQ90" s="249"/>
      <c r="BT90" s="249"/>
      <c r="BW90" s="249"/>
      <c r="BZ90" s="249"/>
      <c r="CC90" s="249"/>
      <c r="CF90" s="249"/>
      <c r="CI90" s="249"/>
      <c r="CL90" s="249"/>
      <c r="CO90" s="249"/>
      <c r="CR90" s="249"/>
      <c r="CU90" s="249"/>
      <c r="CX90" s="249"/>
      <c r="DA90" s="249"/>
      <c r="DD90" s="249"/>
      <c r="DG90" s="249"/>
      <c r="DJ90" s="249"/>
      <c r="DM90" s="249"/>
      <c r="DP90" s="249"/>
      <c r="DS90" s="249"/>
      <c r="DV90" s="249"/>
      <c r="DY90" s="249"/>
      <c r="EB90" s="249"/>
      <c r="EE90" s="249"/>
      <c r="EH90" s="249"/>
      <c r="EK90" s="249"/>
      <c r="EN90" s="249"/>
      <c r="EQ90" s="249"/>
      <c r="ET90" s="249"/>
      <c r="EW90" s="249"/>
      <c r="EZ90" s="249"/>
      <c r="FC90" s="249"/>
      <c r="FF90" s="249"/>
      <c r="FI90" s="249"/>
      <c r="FL90" s="249"/>
      <c r="FO90" s="249"/>
      <c r="FR90" s="249"/>
      <c r="FU90" s="249"/>
      <c r="FX90" s="249"/>
      <c r="GA90" s="249"/>
      <c r="GD90" s="249"/>
      <c r="GG90" s="249"/>
      <c r="GJ90" s="249"/>
      <c r="GM90" s="249"/>
      <c r="GP90" s="249"/>
      <c r="GS90" s="249"/>
      <c r="GV90" s="249"/>
      <c r="GY90" s="249"/>
      <c r="HB90" s="249"/>
      <c r="HE90" s="249"/>
    </row>
    <row r="91" spans="1:213" x14ac:dyDescent="0.2">
      <c r="A91" s="267" t="s">
        <v>87</v>
      </c>
      <c r="B91" s="284">
        <v>2</v>
      </c>
      <c r="C91" s="262" t="s">
        <v>66</v>
      </c>
      <c r="AM91" s="249"/>
      <c r="AP91" s="249"/>
      <c r="AS91" s="249"/>
      <c r="AV91" s="249"/>
      <c r="AY91" s="249"/>
      <c r="BB91" s="249"/>
      <c r="BE91" s="249"/>
      <c r="BH91" s="249"/>
      <c r="BK91" s="249"/>
      <c r="BN91" s="249"/>
      <c r="BQ91" s="249"/>
      <c r="BT91" s="249"/>
      <c r="BW91" s="249"/>
      <c r="BZ91" s="249"/>
      <c r="CC91" s="249"/>
      <c r="CF91" s="249"/>
      <c r="CI91" s="249"/>
      <c r="CL91" s="249"/>
      <c r="CO91" s="249"/>
      <c r="CR91" s="249"/>
      <c r="CU91" s="249"/>
      <c r="CX91" s="249"/>
      <c r="DA91" s="249"/>
      <c r="DD91" s="249"/>
      <c r="DG91" s="249"/>
      <c r="DJ91" s="249"/>
      <c r="DM91" s="249"/>
      <c r="DP91" s="249"/>
      <c r="DS91" s="249"/>
      <c r="DV91" s="249"/>
      <c r="DY91" s="249"/>
      <c r="EB91" s="249"/>
      <c r="EE91" s="249"/>
      <c r="EH91" s="249"/>
      <c r="EK91" s="249"/>
      <c r="EN91" s="249"/>
      <c r="EQ91" s="249"/>
      <c r="ET91" s="249"/>
      <c r="EW91" s="249"/>
      <c r="EZ91" s="249"/>
      <c r="FC91" s="249"/>
      <c r="FF91" s="249"/>
      <c r="FI91" s="249"/>
      <c r="FL91" s="249"/>
      <c r="FO91" s="249"/>
      <c r="FR91" s="249"/>
      <c r="FU91" s="249"/>
      <c r="FX91" s="249"/>
      <c r="GA91" s="249"/>
      <c r="GD91" s="249"/>
      <c r="GG91" s="249"/>
      <c r="GJ91" s="249"/>
      <c r="GM91" s="249"/>
      <c r="GP91" s="249"/>
      <c r="GS91" s="249"/>
      <c r="GV91" s="249"/>
      <c r="GY91" s="249"/>
      <c r="HB91" s="249"/>
      <c r="HE91" s="249"/>
    </row>
    <row r="92" spans="1:213" x14ac:dyDescent="0.2">
      <c r="A92" s="267" t="s">
        <v>89</v>
      </c>
      <c r="B92" s="284">
        <v>2.6999999999999999E-5</v>
      </c>
      <c r="C92" s="249" t="s">
        <v>82</v>
      </c>
      <c r="AM92" s="249"/>
      <c r="AP92" s="249"/>
      <c r="AS92" s="249"/>
      <c r="AV92" s="249"/>
      <c r="AY92" s="249"/>
      <c r="BB92" s="249"/>
      <c r="BE92" s="249"/>
      <c r="BH92" s="249"/>
      <c r="BK92" s="249"/>
      <c r="BN92" s="249"/>
      <c r="BQ92" s="249"/>
      <c r="BT92" s="249"/>
      <c r="BW92" s="249"/>
      <c r="BZ92" s="249"/>
      <c r="CC92" s="249"/>
      <c r="CF92" s="249"/>
      <c r="CI92" s="249"/>
      <c r="CL92" s="249"/>
      <c r="CO92" s="249"/>
      <c r="CR92" s="249"/>
      <c r="CU92" s="249"/>
      <c r="CX92" s="249"/>
      <c r="DA92" s="249"/>
      <c r="DD92" s="249"/>
      <c r="DG92" s="249"/>
      <c r="DJ92" s="249"/>
      <c r="DM92" s="249"/>
      <c r="DP92" s="249"/>
      <c r="DS92" s="249"/>
      <c r="DV92" s="249"/>
      <c r="DY92" s="249"/>
      <c r="EB92" s="249"/>
      <c r="EE92" s="249"/>
      <c r="EH92" s="249"/>
      <c r="EK92" s="249"/>
      <c r="EN92" s="249"/>
      <c r="EQ92" s="249"/>
      <c r="ET92" s="249"/>
      <c r="EW92" s="249"/>
      <c r="EZ92" s="249"/>
      <c r="FC92" s="249"/>
      <c r="FF92" s="249"/>
      <c r="FI92" s="249"/>
      <c r="FL92" s="249"/>
      <c r="FO92" s="249"/>
      <c r="FR92" s="249"/>
      <c r="FU92" s="249"/>
      <c r="FX92" s="249"/>
      <c r="GA92" s="249"/>
      <c r="GD92" s="249"/>
      <c r="GG92" s="249"/>
      <c r="GJ92" s="249"/>
      <c r="GM92" s="249"/>
      <c r="GP92" s="249"/>
      <c r="GS92" s="249"/>
      <c r="GV92" s="249"/>
      <c r="GY92" s="249"/>
      <c r="HB92" s="249"/>
      <c r="HE92" s="249"/>
    </row>
    <row r="93" spans="1:213" x14ac:dyDescent="0.2">
      <c r="A93" s="267" t="s">
        <v>91</v>
      </c>
      <c r="B93" s="284">
        <v>1</v>
      </c>
      <c r="C93" s="249" t="s">
        <v>47</v>
      </c>
      <c r="AM93" s="249"/>
      <c r="AP93" s="249"/>
      <c r="AS93" s="249"/>
      <c r="AV93" s="249"/>
      <c r="AY93" s="249"/>
      <c r="BB93" s="249"/>
      <c r="BE93" s="249"/>
      <c r="BH93" s="249"/>
      <c r="BK93" s="249"/>
      <c r="BN93" s="249"/>
      <c r="BQ93" s="249"/>
      <c r="BT93" s="249"/>
      <c r="BW93" s="249"/>
      <c r="BZ93" s="249"/>
      <c r="CC93" s="249"/>
      <c r="CF93" s="249"/>
      <c r="CI93" s="249"/>
      <c r="CL93" s="249"/>
      <c r="CO93" s="249"/>
      <c r="CR93" s="249"/>
      <c r="CU93" s="249"/>
      <c r="CX93" s="249"/>
      <c r="DA93" s="249"/>
      <c r="DD93" s="249"/>
      <c r="DG93" s="249"/>
      <c r="DJ93" s="249"/>
      <c r="DM93" s="249"/>
      <c r="DP93" s="249"/>
      <c r="DS93" s="249"/>
      <c r="DV93" s="249"/>
      <c r="DY93" s="249"/>
      <c r="EB93" s="249"/>
      <c r="EE93" s="249"/>
      <c r="EH93" s="249"/>
      <c r="EK93" s="249"/>
      <c r="EN93" s="249"/>
      <c r="EQ93" s="249"/>
      <c r="ET93" s="249"/>
      <c r="EW93" s="249"/>
      <c r="EZ93" s="249"/>
      <c r="FC93" s="249"/>
      <c r="FF93" s="249"/>
      <c r="FI93" s="249"/>
      <c r="FL93" s="249"/>
      <c r="FO93" s="249"/>
      <c r="FR93" s="249"/>
      <c r="FU93" s="249"/>
      <c r="FX93" s="249"/>
      <c r="GA93" s="249"/>
      <c r="GD93" s="249"/>
      <c r="GG93" s="249"/>
      <c r="GJ93" s="249"/>
      <c r="GM93" s="249"/>
      <c r="GP93" s="249"/>
      <c r="GS93" s="249"/>
      <c r="GV93" s="249"/>
      <c r="GY93" s="249"/>
      <c r="HB93" s="249"/>
      <c r="HE93" s="249"/>
    </row>
    <row r="94" spans="1:213" x14ac:dyDescent="0.2">
      <c r="A94" s="267" t="s">
        <v>92</v>
      </c>
      <c r="B94" s="284">
        <v>14</v>
      </c>
      <c r="C94" s="249" t="s">
        <v>93</v>
      </c>
      <c r="AM94" s="249"/>
      <c r="AP94" s="249"/>
      <c r="AS94" s="249"/>
      <c r="AV94" s="249"/>
      <c r="AY94" s="249"/>
      <c r="BB94" s="249"/>
      <c r="BE94" s="249"/>
      <c r="BH94" s="249"/>
      <c r="BK94" s="249"/>
      <c r="BN94" s="249"/>
      <c r="BQ94" s="249"/>
      <c r="BT94" s="249"/>
      <c r="BW94" s="249"/>
      <c r="BZ94" s="249"/>
      <c r="CC94" s="249"/>
      <c r="CF94" s="249"/>
      <c r="CI94" s="249"/>
      <c r="CL94" s="249"/>
      <c r="CO94" s="249"/>
      <c r="CR94" s="249"/>
      <c r="CU94" s="249"/>
      <c r="CX94" s="249"/>
      <c r="DA94" s="249"/>
      <c r="DD94" s="249"/>
      <c r="DG94" s="249"/>
      <c r="DJ94" s="249"/>
      <c r="DM94" s="249"/>
      <c r="DP94" s="249"/>
      <c r="DS94" s="249"/>
      <c r="DV94" s="249"/>
      <c r="DY94" s="249"/>
      <c r="EB94" s="249"/>
      <c r="EE94" s="249"/>
      <c r="EH94" s="249"/>
      <c r="EK94" s="249"/>
      <c r="EN94" s="249"/>
      <c r="EQ94" s="249"/>
      <c r="ET94" s="249"/>
      <c r="EW94" s="249"/>
      <c r="EZ94" s="249"/>
      <c r="FC94" s="249"/>
      <c r="FF94" s="249"/>
      <c r="FI94" s="249"/>
      <c r="FL94" s="249"/>
      <c r="FO94" s="249"/>
      <c r="FR94" s="249"/>
      <c r="FU94" s="249"/>
      <c r="FX94" s="249"/>
      <c r="GA94" s="249"/>
      <c r="GD94" s="249"/>
      <c r="GG94" s="249"/>
      <c r="GJ94" s="249"/>
      <c r="GM94" s="249"/>
      <c r="GP94" s="249"/>
      <c r="GS94" s="249"/>
      <c r="GV94" s="249"/>
      <c r="GY94" s="249"/>
      <c r="HB94" s="249"/>
      <c r="HE94" s="249"/>
    </row>
    <row r="95" spans="1:213" x14ac:dyDescent="0.2">
      <c r="A95" s="262" t="s">
        <v>356</v>
      </c>
      <c r="B95" s="283">
        <v>1</v>
      </c>
      <c r="C95" s="249"/>
      <c r="AM95" s="249"/>
      <c r="AP95" s="249"/>
      <c r="AS95" s="249"/>
      <c r="AV95" s="249"/>
      <c r="AY95" s="249"/>
      <c r="BB95" s="249"/>
      <c r="BE95" s="249"/>
      <c r="BH95" s="249"/>
      <c r="BK95" s="249"/>
      <c r="BN95" s="249"/>
      <c r="BQ95" s="249"/>
      <c r="BT95" s="249"/>
      <c r="BW95" s="249"/>
      <c r="BZ95" s="249"/>
      <c r="CC95" s="249"/>
      <c r="CF95" s="249"/>
      <c r="CI95" s="249"/>
      <c r="CL95" s="249"/>
      <c r="CO95" s="249"/>
      <c r="CR95" s="249"/>
      <c r="CU95" s="249"/>
      <c r="CX95" s="249"/>
      <c r="DA95" s="249"/>
      <c r="DD95" s="249"/>
      <c r="DG95" s="249"/>
      <c r="DJ95" s="249"/>
      <c r="DM95" s="249"/>
      <c r="DP95" s="249"/>
      <c r="DS95" s="249"/>
      <c r="DV95" s="249"/>
      <c r="DY95" s="249"/>
      <c r="EB95" s="249"/>
      <c r="EE95" s="249"/>
      <c r="EH95" s="249"/>
      <c r="EK95" s="249"/>
      <c r="EN95" s="249"/>
      <c r="EQ95" s="249"/>
      <c r="ET95" s="249"/>
      <c r="EW95" s="249"/>
      <c r="EZ95" s="249"/>
      <c r="FC95" s="249"/>
      <c r="FF95" s="249"/>
      <c r="FI95" s="249"/>
      <c r="FL95" s="249"/>
      <c r="FO95" s="249"/>
      <c r="FR95" s="249"/>
      <c r="FU95" s="249"/>
      <c r="FX95" s="249"/>
      <c r="GA95" s="249"/>
      <c r="GD95" s="249"/>
      <c r="GG95" s="249"/>
      <c r="GJ95" s="249"/>
      <c r="GM95" s="249"/>
      <c r="GP95" s="249"/>
      <c r="GS95" s="249"/>
      <c r="GV95" s="249"/>
      <c r="GY95" s="249"/>
      <c r="HB95" s="249"/>
      <c r="HE95" s="249"/>
    </row>
    <row r="96" spans="1:213" x14ac:dyDescent="0.2">
      <c r="A96" s="262" t="s">
        <v>351</v>
      </c>
      <c r="B96" s="283">
        <v>1.752</v>
      </c>
      <c r="C96" s="264" t="s">
        <v>224</v>
      </c>
      <c r="AM96" s="249"/>
      <c r="AP96" s="249"/>
      <c r="AS96" s="249"/>
      <c r="AV96" s="249"/>
      <c r="AY96" s="249"/>
      <c r="BB96" s="249"/>
      <c r="BE96" s="249"/>
      <c r="BH96" s="249"/>
      <c r="BK96" s="249"/>
      <c r="BN96" s="249"/>
      <c r="BQ96" s="249"/>
      <c r="BT96" s="249"/>
      <c r="BW96" s="249"/>
      <c r="BZ96" s="249"/>
      <c r="CC96" s="249"/>
      <c r="CF96" s="249"/>
      <c r="CI96" s="249"/>
      <c r="CL96" s="249"/>
      <c r="CO96" s="249"/>
      <c r="CR96" s="249"/>
      <c r="CU96" s="249"/>
      <c r="CX96" s="249"/>
      <c r="DA96" s="249"/>
      <c r="DD96" s="249"/>
      <c r="DG96" s="249"/>
      <c r="DJ96" s="249"/>
      <c r="DM96" s="249"/>
      <c r="DP96" s="249"/>
      <c r="DS96" s="249"/>
      <c r="DV96" s="249"/>
      <c r="DY96" s="249"/>
      <c r="EB96" s="249"/>
      <c r="EE96" s="249"/>
      <c r="EH96" s="249"/>
      <c r="EK96" s="249"/>
      <c r="EN96" s="249"/>
      <c r="EQ96" s="249"/>
      <c r="ET96" s="249"/>
      <c r="EW96" s="249"/>
      <c r="EZ96" s="249"/>
      <c r="FC96" s="249"/>
      <c r="FF96" s="249"/>
      <c r="FI96" s="249"/>
      <c r="FL96" s="249"/>
      <c r="FO96" s="249"/>
      <c r="FR96" s="249"/>
      <c r="FU96" s="249"/>
      <c r="FX96" s="249"/>
      <c r="GA96" s="249"/>
      <c r="GD96" s="249"/>
      <c r="GG96" s="249"/>
      <c r="GJ96" s="249"/>
      <c r="GM96" s="249"/>
      <c r="GP96" s="249"/>
      <c r="GS96" s="249"/>
      <c r="GV96" s="249"/>
      <c r="GY96" s="249"/>
      <c r="HB96" s="249"/>
      <c r="HE96" s="249"/>
    </row>
    <row r="97" spans="1:213" x14ac:dyDescent="0.2">
      <c r="A97" s="262" t="s">
        <v>352</v>
      </c>
      <c r="B97" s="283">
        <v>16.416</v>
      </c>
      <c r="C97" s="264" t="s">
        <v>224</v>
      </c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W97" s="249"/>
      <c r="Z97" s="249"/>
      <c r="AC97" s="249"/>
      <c r="AD97" s="249"/>
      <c r="AE97" s="249"/>
      <c r="AF97" s="249"/>
      <c r="AG97" s="249"/>
      <c r="AJ97" s="249"/>
      <c r="AM97" s="249"/>
      <c r="AP97" s="249"/>
      <c r="AS97" s="249"/>
      <c r="AV97" s="249"/>
      <c r="AY97" s="249"/>
      <c r="BB97" s="249"/>
      <c r="BE97" s="249"/>
      <c r="BH97" s="249"/>
      <c r="BK97" s="249"/>
      <c r="BN97" s="249"/>
      <c r="BQ97" s="249"/>
      <c r="BT97" s="249"/>
      <c r="BW97" s="249"/>
      <c r="BZ97" s="249"/>
      <c r="CC97" s="249"/>
      <c r="CF97" s="249"/>
      <c r="CI97" s="249"/>
      <c r="CL97" s="249"/>
      <c r="CO97" s="249"/>
      <c r="CR97" s="249"/>
      <c r="CU97" s="249"/>
      <c r="CX97" s="249"/>
      <c r="DA97" s="249"/>
      <c r="DD97" s="249"/>
      <c r="DG97" s="249"/>
      <c r="DJ97" s="249"/>
      <c r="DM97" s="249"/>
      <c r="DP97" s="249"/>
      <c r="DS97" s="249"/>
      <c r="DV97" s="249"/>
      <c r="DY97" s="249"/>
      <c r="EB97" s="249"/>
      <c r="EE97" s="249"/>
      <c r="EH97" s="249"/>
      <c r="EK97" s="249"/>
      <c r="EN97" s="249"/>
      <c r="EQ97" s="249"/>
      <c r="ET97" s="249"/>
      <c r="EW97" s="249"/>
      <c r="EZ97" s="249"/>
      <c r="FC97" s="249"/>
      <c r="FF97" s="249"/>
      <c r="FI97" s="249"/>
      <c r="FL97" s="249"/>
      <c r="FO97" s="249"/>
      <c r="FR97" s="249"/>
      <c r="FU97" s="249"/>
      <c r="FX97" s="249"/>
      <c r="GA97" s="249"/>
      <c r="GD97" s="249"/>
      <c r="GG97" s="249"/>
      <c r="GJ97" s="249"/>
      <c r="GM97" s="249"/>
      <c r="GP97" s="249"/>
      <c r="GS97" s="249"/>
      <c r="GV97" s="249"/>
      <c r="GY97" s="249"/>
      <c r="HB97" s="249"/>
      <c r="HE97" s="249"/>
    </row>
    <row r="98" spans="1:213" ht="15" x14ac:dyDescent="0.2">
      <c r="A98" s="517" t="s">
        <v>5</v>
      </c>
      <c r="B98" s="517"/>
      <c r="C98" s="517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W98" s="249"/>
      <c r="Z98" s="249"/>
      <c r="AC98" s="249"/>
      <c r="AD98" s="249"/>
      <c r="AE98" s="249"/>
      <c r="AF98" s="249"/>
      <c r="AG98" s="249"/>
      <c r="AJ98" s="249"/>
      <c r="AM98" s="249"/>
      <c r="AP98" s="249"/>
      <c r="AS98" s="249"/>
      <c r="AV98" s="249"/>
      <c r="AY98" s="249"/>
      <c r="BB98" s="249"/>
      <c r="BE98" s="249"/>
      <c r="BH98" s="249"/>
      <c r="BK98" s="249"/>
      <c r="BN98" s="249"/>
      <c r="BQ98" s="249"/>
      <c r="BT98" s="249"/>
      <c r="BW98" s="249"/>
      <c r="BZ98" s="249"/>
      <c r="CC98" s="249"/>
      <c r="CF98" s="249"/>
      <c r="CI98" s="249"/>
      <c r="CL98" s="249"/>
      <c r="CO98" s="249"/>
      <c r="CR98" s="249"/>
      <c r="CU98" s="249"/>
      <c r="CX98" s="249"/>
      <c r="DA98" s="249"/>
      <c r="DD98" s="249"/>
      <c r="DG98" s="249"/>
      <c r="DJ98" s="249"/>
      <c r="DM98" s="249"/>
      <c r="DP98" s="249"/>
      <c r="DS98" s="249"/>
      <c r="DV98" s="249"/>
      <c r="DY98" s="249"/>
      <c r="EB98" s="249"/>
      <c r="EE98" s="249"/>
      <c r="EH98" s="249"/>
      <c r="EK98" s="249"/>
      <c r="EN98" s="249"/>
      <c r="EQ98" s="249"/>
      <c r="ET98" s="249"/>
      <c r="EW98" s="249"/>
      <c r="EZ98" s="249"/>
      <c r="FC98" s="249"/>
      <c r="FF98" s="249"/>
      <c r="FI98" s="249"/>
      <c r="FL98" s="249"/>
      <c r="FO98" s="249"/>
      <c r="FR98" s="249"/>
      <c r="FU98" s="249"/>
      <c r="FX98" s="249"/>
      <c r="GA98" s="249"/>
      <c r="GD98" s="249"/>
      <c r="GG98" s="249"/>
      <c r="GJ98" s="249"/>
      <c r="GM98" s="249"/>
      <c r="GP98" s="249"/>
      <c r="GS98" s="249"/>
      <c r="GV98" s="249"/>
      <c r="GY98" s="249"/>
      <c r="HB98" s="249"/>
      <c r="HE98" s="249"/>
    </row>
    <row r="99" spans="1:213" x14ac:dyDescent="0.2">
      <c r="A99" s="262" t="s">
        <v>358</v>
      </c>
      <c r="B99" s="284">
        <v>10</v>
      </c>
      <c r="C99" s="267" t="s">
        <v>359</v>
      </c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W99" s="249"/>
      <c r="Z99" s="249"/>
      <c r="AC99" s="249"/>
      <c r="AD99" s="249"/>
      <c r="AE99" s="249"/>
      <c r="AF99" s="249"/>
      <c r="AG99" s="249"/>
      <c r="AJ99" s="249"/>
      <c r="AM99" s="249"/>
      <c r="AP99" s="249"/>
      <c r="AS99" s="249"/>
      <c r="AV99" s="249"/>
      <c r="AY99" s="249"/>
      <c r="BB99" s="249"/>
      <c r="BE99" s="249"/>
      <c r="BH99" s="249"/>
      <c r="BK99" s="249"/>
      <c r="BN99" s="249"/>
      <c r="BQ99" s="249"/>
      <c r="BT99" s="249"/>
      <c r="BW99" s="249"/>
      <c r="BZ99" s="249"/>
      <c r="CC99" s="249"/>
      <c r="CF99" s="249"/>
      <c r="CI99" s="249"/>
      <c r="CL99" s="249"/>
      <c r="CO99" s="249"/>
      <c r="CR99" s="249"/>
      <c r="CU99" s="249"/>
      <c r="CX99" s="249"/>
      <c r="DA99" s="249"/>
      <c r="DD99" s="249"/>
      <c r="DG99" s="249"/>
      <c r="DJ99" s="249"/>
      <c r="DM99" s="249"/>
      <c r="DP99" s="249"/>
      <c r="DS99" s="249"/>
      <c r="DV99" s="249"/>
      <c r="DY99" s="249"/>
      <c r="EB99" s="249"/>
      <c r="EE99" s="249"/>
      <c r="EH99" s="249"/>
      <c r="EK99" s="249"/>
      <c r="EN99" s="249"/>
      <c r="EQ99" s="249"/>
      <c r="ET99" s="249"/>
      <c r="EW99" s="249"/>
      <c r="EZ99" s="249"/>
      <c r="FC99" s="249"/>
      <c r="FF99" s="249"/>
      <c r="FI99" s="249"/>
      <c r="FL99" s="249"/>
      <c r="FO99" s="249"/>
      <c r="FR99" s="249"/>
      <c r="FU99" s="249"/>
      <c r="FX99" s="249"/>
      <c r="GA99" s="249"/>
      <c r="GD99" s="249"/>
      <c r="GG99" s="249"/>
      <c r="GJ99" s="249"/>
      <c r="GM99" s="249"/>
      <c r="GP99" s="249"/>
      <c r="GS99" s="249"/>
      <c r="GV99" s="249"/>
      <c r="GY99" s="249"/>
      <c r="HB99" s="249"/>
      <c r="HE99" s="249"/>
    </row>
    <row r="100" spans="1:213" x14ac:dyDescent="0.2">
      <c r="A100" s="262" t="s">
        <v>360</v>
      </c>
      <c r="B100" s="284">
        <v>20</v>
      </c>
      <c r="C100" s="267" t="s">
        <v>359</v>
      </c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W100" s="249"/>
      <c r="Z100" s="249"/>
      <c r="AC100" s="249"/>
      <c r="AD100" s="249"/>
      <c r="AE100" s="249"/>
      <c r="AF100" s="249"/>
      <c r="AG100" s="249"/>
      <c r="AJ100" s="249"/>
      <c r="AM100" s="249"/>
      <c r="AP100" s="249"/>
      <c r="AS100" s="249"/>
      <c r="AV100" s="249"/>
      <c r="AY100" s="249"/>
      <c r="BB100" s="249"/>
      <c r="BE100" s="249"/>
      <c r="BH100" s="249"/>
      <c r="BK100" s="249"/>
      <c r="BN100" s="249"/>
      <c r="BQ100" s="249"/>
      <c r="BT100" s="249"/>
      <c r="BW100" s="249"/>
      <c r="BZ100" s="249"/>
      <c r="CC100" s="249"/>
      <c r="CF100" s="249"/>
      <c r="CI100" s="249"/>
      <c r="CL100" s="249"/>
      <c r="CO100" s="249"/>
      <c r="CR100" s="249"/>
      <c r="CU100" s="249"/>
      <c r="CX100" s="249"/>
      <c r="DA100" s="249"/>
      <c r="DD100" s="249"/>
      <c r="DG100" s="249"/>
      <c r="DJ100" s="249"/>
      <c r="DM100" s="249"/>
      <c r="DP100" s="249"/>
      <c r="DS100" s="249"/>
      <c r="DV100" s="249"/>
      <c r="DY100" s="249"/>
      <c r="EB100" s="249"/>
      <c r="EE100" s="249"/>
      <c r="EH100" s="249"/>
      <c r="EK100" s="249"/>
      <c r="EN100" s="249"/>
      <c r="EQ100" s="249"/>
      <c r="ET100" s="249"/>
      <c r="EW100" s="249"/>
      <c r="EZ100" s="249"/>
      <c r="FC100" s="249"/>
      <c r="FF100" s="249"/>
      <c r="FI100" s="249"/>
      <c r="FL100" s="249"/>
      <c r="FO100" s="249"/>
      <c r="FR100" s="249"/>
      <c r="FU100" s="249"/>
      <c r="FX100" s="249"/>
      <c r="GA100" s="249"/>
      <c r="GD100" s="249"/>
      <c r="GG100" s="249"/>
      <c r="GJ100" s="249"/>
      <c r="GM100" s="249"/>
      <c r="GP100" s="249"/>
      <c r="GS100" s="249"/>
      <c r="GV100" s="249"/>
      <c r="GY100" s="249"/>
      <c r="HB100" s="249"/>
      <c r="HE100" s="249"/>
    </row>
    <row r="101" spans="1:213" x14ac:dyDescent="0.2">
      <c r="A101" s="262" t="s">
        <v>305</v>
      </c>
      <c r="B101" s="283">
        <v>0.05</v>
      </c>
      <c r="C101" s="262" t="s">
        <v>361</v>
      </c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W101" s="249"/>
      <c r="Z101" s="249"/>
      <c r="AC101" s="249"/>
      <c r="AD101" s="249"/>
      <c r="AE101" s="249"/>
      <c r="AF101" s="249"/>
      <c r="AG101" s="249"/>
      <c r="AJ101" s="249"/>
      <c r="AM101" s="249"/>
      <c r="AP101" s="249"/>
      <c r="AS101" s="249"/>
      <c r="AV101" s="249"/>
      <c r="AY101" s="249"/>
      <c r="BB101" s="249"/>
      <c r="BE101" s="249"/>
      <c r="BH101" s="249"/>
      <c r="BK101" s="249"/>
      <c r="BN101" s="249"/>
      <c r="BQ101" s="249"/>
      <c r="BT101" s="249"/>
      <c r="BW101" s="249"/>
      <c r="BZ101" s="249"/>
      <c r="CC101" s="249"/>
      <c r="CF101" s="249"/>
      <c r="CI101" s="249"/>
      <c r="CL101" s="249"/>
      <c r="CO101" s="249"/>
      <c r="CR101" s="249"/>
      <c r="CU101" s="249"/>
      <c r="CX101" s="249"/>
      <c r="DA101" s="249"/>
      <c r="DD101" s="249"/>
      <c r="DG101" s="249"/>
      <c r="DJ101" s="249"/>
      <c r="DM101" s="249"/>
      <c r="DP101" s="249"/>
      <c r="DS101" s="249"/>
      <c r="DV101" s="249"/>
      <c r="DY101" s="249"/>
      <c r="EB101" s="249"/>
      <c r="EE101" s="249"/>
      <c r="EH101" s="249"/>
      <c r="EK101" s="249"/>
      <c r="EN101" s="249"/>
      <c r="EQ101" s="249"/>
      <c r="ET101" s="249"/>
      <c r="EW101" s="249"/>
      <c r="EZ101" s="249"/>
      <c r="FC101" s="249"/>
      <c r="FF101" s="249"/>
      <c r="FI101" s="249"/>
      <c r="FL101" s="249"/>
      <c r="FO101" s="249"/>
      <c r="FR101" s="249"/>
      <c r="FU101" s="249"/>
      <c r="FX101" s="249"/>
      <c r="GA101" s="249"/>
      <c r="GD101" s="249"/>
      <c r="GG101" s="249"/>
      <c r="GJ101" s="249"/>
      <c r="GM101" s="249"/>
      <c r="GP101" s="249"/>
      <c r="GS101" s="249"/>
      <c r="GV101" s="249"/>
      <c r="GY101" s="249"/>
      <c r="HB101" s="249"/>
      <c r="HE101" s="249"/>
    </row>
    <row r="102" spans="1:213" x14ac:dyDescent="0.2">
      <c r="A102" s="262" t="s">
        <v>306</v>
      </c>
      <c r="B102" s="283">
        <v>0.05</v>
      </c>
      <c r="C102" s="262" t="s">
        <v>361</v>
      </c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W102" s="249"/>
      <c r="Z102" s="249"/>
      <c r="AC102" s="249"/>
      <c r="AD102" s="249"/>
      <c r="AE102" s="249"/>
      <c r="AF102" s="249"/>
      <c r="AG102" s="249"/>
      <c r="AJ102" s="249"/>
      <c r="AM102" s="249"/>
      <c r="AP102" s="249"/>
      <c r="AS102" s="249"/>
      <c r="AV102" s="249"/>
      <c r="AY102" s="249"/>
      <c r="BB102" s="249"/>
      <c r="BE102" s="249"/>
      <c r="BH102" s="249"/>
      <c r="BK102" s="249"/>
      <c r="BN102" s="249"/>
      <c r="BQ102" s="249"/>
      <c r="BT102" s="249"/>
      <c r="BW102" s="249"/>
      <c r="BZ102" s="249"/>
      <c r="CC102" s="249"/>
      <c r="CF102" s="249"/>
      <c r="CI102" s="249"/>
      <c r="CL102" s="249"/>
      <c r="CO102" s="249"/>
      <c r="CR102" s="249"/>
      <c r="CU102" s="249"/>
      <c r="CX102" s="249"/>
      <c r="DA102" s="249"/>
      <c r="DD102" s="249"/>
      <c r="DG102" s="249"/>
      <c r="DJ102" s="249"/>
      <c r="DM102" s="249"/>
      <c r="DP102" s="249"/>
      <c r="DS102" s="249"/>
      <c r="DV102" s="249"/>
      <c r="DY102" s="249"/>
      <c r="EB102" s="249"/>
      <c r="EE102" s="249"/>
      <c r="EH102" s="249"/>
      <c r="EK102" s="249"/>
      <c r="EN102" s="249"/>
      <c r="EQ102" s="249"/>
      <c r="ET102" s="249"/>
      <c r="EW102" s="249"/>
      <c r="EZ102" s="249"/>
      <c r="FC102" s="249"/>
      <c r="FF102" s="249"/>
      <c r="FI102" s="249"/>
      <c r="FL102" s="249"/>
      <c r="FO102" s="249"/>
      <c r="FR102" s="249"/>
      <c r="FU102" s="249"/>
      <c r="FX102" s="249"/>
      <c r="GA102" s="249"/>
      <c r="GD102" s="249"/>
      <c r="GG102" s="249"/>
      <c r="GJ102" s="249"/>
      <c r="GM102" s="249"/>
      <c r="GP102" s="249"/>
      <c r="GS102" s="249"/>
      <c r="GV102" s="249"/>
      <c r="GY102" s="249"/>
      <c r="HB102" s="249"/>
      <c r="HE102" s="249"/>
    </row>
    <row r="103" spans="1:213" x14ac:dyDescent="0.2">
      <c r="A103" s="262" t="s">
        <v>362</v>
      </c>
      <c r="B103" s="284">
        <v>200</v>
      </c>
      <c r="C103" s="263" t="s">
        <v>54</v>
      </c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W103" s="249"/>
      <c r="Z103" s="249"/>
      <c r="AC103" s="249"/>
      <c r="AD103" s="249"/>
      <c r="AE103" s="249"/>
      <c r="AF103" s="249"/>
      <c r="AG103" s="249"/>
      <c r="AJ103" s="249"/>
      <c r="AM103" s="249"/>
      <c r="AP103" s="249"/>
      <c r="AS103" s="249"/>
      <c r="AV103" s="249"/>
      <c r="AY103" s="249"/>
      <c r="BB103" s="249"/>
      <c r="BE103" s="249"/>
      <c r="BH103" s="249"/>
      <c r="BK103" s="249"/>
      <c r="BN103" s="249"/>
      <c r="BQ103" s="249"/>
      <c r="BT103" s="249"/>
      <c r="BW103" s="249"/>
      <c r="BZ103" s="249"/>
      <c r="CC103" s="249"/>
      <c r="CF103" s="249"/>
      <c r="CI103" s="249"/>
      <c r="CL103" s="249"/>
      <c r="CO103" s="249"/>
      <c r="CR103" s="249"/>
      <c r="CU103" s="249"/>
      <c r="CX103" s="249"/>
      <c r="DA103" s="249"/>
      <c r="DD103" s="249"/>
      <c r="DG103" s="249"/>
      <c r="DJ103" s="249"/>
      <c r="DM103" s="249"/>
      <c r="DP103" s="249"/>
      <c r="DS103" s="249"/>
      <c r="DV103" s="249"/>
      <c r="DY103" s="249"/>
      <c r="EB103" s="249"/>
      <c r="EE103" s="249"/>
      <c r="EH103" s="249"/>
      <c r="EK103" s="249"/>
      <c r="EN103" s="249"/>
      <c r="EQ103" s="249"/>
      <c r="ET103" s="249"/>
      <c r="EW103" s="249"/>
      <c r="EZ103" s="249"/>
      <c r="FC103" s="249"/>
      <c r="FF103" s="249"/>
      <c r="FI103" s="249"/>
      <c r="FL103" s="249"/>
      <c r="FO103" s="249"/>
      <c r="FR103" s="249"/>
      <c r="FU103" s="249"/>
      <c r="FX103" s="249"/>
      <c r="GA103" s="249"/>
      <c r="GD103" s="249"/>
      <c r="GG103" s="249"/>
      <c r="GJ103" s="249"/>
      <c r="GM103" s="249"/>
      <c r="GP103" s="249"/>
      <c r="GS103" s="249"/>
      <c r="GV103" s="249"/>
      <c r="GY103" s="249"/>
      <c r="HB103" s="249"/>
      <c r="HE103" s="249"/>
    </row>
    <row r="104" spans="1:213" x14ac:dyDescent="0.2">
      <c r="A104" s="262" t="s">
        <v>363</v>
      </c>
      <c r="B104" s="284">
        <v>100</v>
      </c>
      <c r="C104" s="263" t="s">
        <v>54</v>
      </c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W104" s="249"/>
      <c r="Z104" s="249"/>
      <c r="AC104" s="249"/>
      <c r="AD104" s="249"/>
      <c r="AE104" s="249"/>
      <c r="AF104" s="249"/>
      <c r="AG104" s="249"/>
      <c r="AJ104" s="249"/>
      <c r="AM104" s="249"/>
      <c r="AP104" s="249"/>
      <c r="AS104" s="249"/>
      <c r="AV104" s="249"/>
      <c r="AY104" s="249"/>
      <c r="BB104" s="249"/>
      <c r="BE104" s="249"/>
      <c r="BH104" s="249"/>
      <c r="BK104" s="249"/>
      <c r="BN104" s="249"/>
      <c r="BQ104" s="249"/>
      <c r="BT104" s="249"/>
      <c r="BW104" s="249"/>
      <c r="BZ104" s="249"/>
      <c r="CC104" s="249"/>
      <c r="CF104" s="249"/>
      <c r="CI104" s="249"/>
      <c r="CL104" s="249"/>
      <c r="CO104" s="249"/>
      <c r="CR104" s="249"/>
      <c r="CU104" s="249"/>
      <c r="CX104" s="249"/>
      <c r="DA104" s="249"/>
      <c r="DD104" s="249"/>
      <c r="DG104" s="249"/>
      <c r="DJ104" s="249"/>
      <c r="DM104" s="249"/>
      <c r="DP104" s="249"/>
      <c r="DS104" s="249"/>
      <c r="DV104" s="249"/>
      <c r="DY104" s="249"/>
      <c r="EB104" s="249"/>
      <c r="EE104" s="249"/>
      <c r="EH104" s="249"/>
      <c r="EK104" s="249"/>
      <c r="EN104" s="249"/>
      <c r="EQ104" s="249"/>
      <c r="ET104" s="249"/>
      <c r="EW104" s="249"/>
      <c r="EZ104" s="249"/>
      <c r="FC104" s="249"/>
      <c r="FF104" s="249"/>
      <c r="FI104" s="249"/>
      <c r="FL104" s="249"/>
      <c r="FO104" s="249"/>
      <c r="FR104" s="249"/>
      <c r="FU104" s="249"/>
      <c r="FX104" s="249"/>
      <c r="GA104" s="249"/>
      <c r="GD104" s="249"/>
      <c r="GG104" s="249"/>
      <c r="GJ104" s="249"/>
      <c r="GM104" s="249"/>
      <c r="GP104" s="249"/>
      <c r="GS104" s="249"/>
      <c r="GV104" s="249"/>
      <c r="GY104" s="249"/>
      <c r="HB104" s="249"/>
      <c r="HE104" s="249"/>
    </row>
    <row r="105" spans="1:213" x14ac:dyDescent="0.2">
      <c r="A105" s="249" t="s">
        <v>187</v>
      </c>
      <c r="B105" s="284">
        <v>1</v>
      </c>
      <c r="C105" s="249" t="s">
        <v>254</v>
      </c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W105" s="249"/>
      <c r="Z105" s="249"/>
      <c r="AC105" s="249"/>
      <c r="AD105" s="249"/>
      <c r="AE105" s="249"/>
      <c r="AF105" s="249"/>
      <c r="AG105" s="249"/>
      <c r="AJ105" s="249"/>
      <c r="AM105" s="249"/>
      <c r="AP105" s="249"/>
      <c r="AS105" s="249"/>
      <c r="AV105" s="249"/>
      <c r="AY105" s="249"/>
      <c r="BB105" s="249"/>
      <c r="BE105" s="249"/>
      <c r="BH105" s="249"/>
      <c r="BK105" s="249"/>
      <c r="BN105" s="249"/>
      <c r="BQ105" s="249"/>
      <c r="BT105" s="249"/>
      <c r="BW105" s="249"/>
      <c r="BZ105" s="249"/>
      <c r="CC105" s="249"/>
      <c r="CF105" s="249"/>
      <c r="CI105" s="249"/>
      <c r="CL105" s="249"/>
      <c r="CO105" s="249"/>
      <c r="CR105" s="249"/>
      <c r="CU105" s="249"/>
      <c r="CX105" s="249"/>
      <c r="DA105" s="249"/>
      <c r="DD105" s="249"/>
      <c r="DG105" s="249"/>
      <c r="DJ105" s="249"/>
      <c r="DM105" s="249"/>
      <c r="DP105" s="249"/>
      <c r="DS105" s="249"/>
      <c r="DV105" s="249"/>
      <c r="DY105" s="249"/>
      <c r="EB105" s="249"/>
      <c r="EE105" s="249"/>
      <c r="EH105" s="249"/>
      <c r="EK105" s="249"/>
      <c r="EN105" s="249"/>
      <c r="EQ105" s="249"/>
      <c r="ET105" s="249"/>
      <c r="EW105" s="249"/>
      <c r="EZ105" s="249"/>
      <c r="FC105" s="249"/>
      <c r="FF105" s="249"/>
      <c r="FI105" s="249"/>
      <c r="FL105" s="249"/>
      <c r="FO105" s="249"/>
      <c r="FR105" s="249"/>
      <c r="FU105" s="249"/>
      <c r="FX105" s="249"/>
      <c r="GA105" s="249"/>
      <c r="GD105" s="249"/>
      <c r="GG105" s="249"/>
      <c r="GJ105" s="249"/>
      <c r="GM105" s="249"/>
      <c r="GP105" s="249"/>
      <c r="GS105" s="249"/>
      <c r="GV105" s="249"/>
      <c r="GY105" s="249"/>
      <c r="HB105" s="249"/>
      <c r="HE105" s="249"/>
    </row>
    <row r="106" spans="1:213" x14ac:dyDescent="0.2">
      <c r="A106" s="249" t="s">
        <v>188</v>
      </c>
      <c r="B106" s="284">
        <v>1</v>
      </c>
      <c r="C106" s="249" t="s">
        <v>254</v>
      </c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W106" s="249"/>
      <c r="Z106" s="249"/>
      <c r="AC106" s="249"/>
      <c r="AD106" s="249"/>
      <c r="AE106" s="249"/>
      <c r="AF106" s="249"/>
      <c r="AG106" s="249"/>
      <c r="AJ106" s="249"/>
      <c r="AM106" s="249"/>
      <c r="AP106" s="249"/>
      <c r="AS106" s="249"/>
      <c r="AV106" s="249"/>
      <c r="AY106" s="249"/>
      <c r="BB106" s="249"/>
      <c r="BE106" s="249"/>
      <c r="BH106" s="249"/>
      <c r="BK106" s="249"/>
      <c r="BN106" s="249"/>
      <c r="BQ106" s="249"/>
      <c r="BT106" s="249"/>
      <c r="BW106" s="249"/>
      <c r="BZ106" s="249"/>
      <c r="CC106" s="249"/>
      <c r="CF106" s="249"/>
      <c r="CI106" s="249"/>
      <c r="CL106" s="249"/>
      <c r="CO106" s="249"/>
      <c r="CR106" s="249"/>
      <c r="CU106" s="249"/>
      <c r="CX106" s="249"/>
      <c r="DA106" s="249"/>
      <c r="DD106" s="249"/>
      <c r="DG106" s="249"/>
      <c r="DJ106" s="249"/>
      <c r="DM106" s="249"/>
      <c r="DP106" s="249"/>
      <c r="DS106" s="249"/>
      <c r="DV106" s="249"/>
      <c r="DY106" s="249"/>
      <c r="EB106" s="249"/>
      <c r="EE106" s="249"/>
      <c r="EH106" s="249"/>
      <c r="EK106" s="249"/>
      <c r="EN106" s="249"/>
      <c r="EQ106" s="249"/>
      <c r="ET106" s="249"/>
      <c r="EW106" s="249"/>
      <c r="EZ106" s="249"/>
      <c r="FC106" s="249"/>
      <c r="FF106" s="249"/>
      <c r="FI106" s="249"/>
      <c r="FL106" s="249"/>
      <c r="FO106" s="249"/>
      <c r="FR106" s="249"/>
      <c r="FU106" s="249"/>
      <c r="FX106" s="249"/>
      <c r="GA106" s="249"/>
      <c r="GD106" s="249"/>
      <c r="GG106" s="249"/>
      <c r="GJ106" s="249"/>
      <c r="GM106" s="249"/>
      <c r="GP106" s="249"/>
      <c r="GS106" s="249"/>
      <c r="GV106" s="249"/>
      <c r="GY106" s="249"/>
      <c r="HB106" s="249"/>
      <c r="HE106" s="249"/>
    </row>
    <row r="107" spans="1:213" x14ac:dyDescent="0.2">
      <c r="A107" s="94" t="s">
        <v>373</v>
      </c>
      <c r="B107" s="283">
        <v>6</v>
      </c>
      <c r="C107" s="270" t="s">
        <v>69</v>
      </c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W107" s="249"/>
      <c r="Z107" s="249"/>
      <c r="AC107" s="249"/>
      <c r="AD107" s="249"/>
      <c r="AE107" s="249"/>
      <c r="AF107" s="249"/>
      <c r="AG107" s="249"/>
      <c r="AJ107" s="249"/>
      <c r="AM107" s="249"/>
      <c r="AP107" s="249"/>
      <c r="AS107" s="249"/>
      <c r="AV107" s="249"/>
      <c r="AY107" s="249"/>
      <c r="BB107" s="249"/>
      <c r="BE107" s="249"/>
      <c r="BH107" s="249"/>
      <c r="BK107" s="249"/>
      <c r="BN107" s="249"/>
      <c r="BQ107" s="249"/>
      <c r="BT107" s="249"/>
      <c r="BW107" s="249"/>
      <c r="BZ107" s="249"/>
      <c r="CC107" s="249"/>
      <c r="CF107" s="249"/>
      <c r="CI107" s="249"/>
      <c r="CL107" s="249"/>
      <c r="CO107" s="249"/>
      <c r="CR107" s="249"/>
      <c r="CU107" s="249"/>
      <c r="CX107" s="249"/>
      <c r="DA107" s="249"/>
      <c r="DD107" s="249"/>
      <c r="DG107" s="249"/>
      <c r="DJ107" s="249"/>
      <c r="DM107" s="249"/>
      <c r="DP107" s="249"/>
      <c r="DS107" s="249"/>
      <c r="DV107" s="249"/>
      <c r="DY107" s="249"/>
      <c r="EB107" s="249"/>
      <c r="EE107" s="249"/>
      <c r="EH107" s="249"/>
      <c r="EK107" s="249"/>
      <c r="EN107" s="249"/>
      <c r="EQ107" s="249"/>
      <c r="ET107" s="249"/>
      <c r="EW107" s="249"/>
      <c r="EZ107" s="249"/>
      <c r="FC107" s="249"/>
      <c r="FF107" s="249"/>
      <c r="FI107" s="249"/>
      <c r="FL107" s="249"/>
      <c r="FO107" s="249"/>
      <c r="FR107" s="249"/>
      <c r="FU107" s="249"/>
      <c r="FX107" s="249"/>
      <c r="GA107" s="249"/>
      <c r="GD107" s="249"/>
      <c r="GG107" s="249"/>
      <c r="GJ107" s="249"/>
      <c r="GM107" s="249"/>
      <c r="GP107" s="249"/>
      <c r="GS107" s="249"/>
      <c r="GV107" s="249"/>
      <c r="GY107" s="249"/>
      <c r="HB107" s="249"/>
      <c r="HE107" s="249"/>
    </row>
    <row r="108" spans="1:213" x14ac:dyDescent="0.2">
      <c r="A108" s="94" t="s">
        <v>372</v>
      </c>
      <c r="B108" s="283">
        <f>B109-B107</f>
        <v>20</v>
      </c>
      <c r="C108" s="270" t="s">
        <v>69</v>
      </c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W108" s="249"/>
      <c r="Z108" s="249"/>
      <c r="AC108" s="249"/>
      <c r="AD108" s="249"/>
      <c r="AE108" s="249"/>
      <c r="AF108" s="249"/>
      <c r="AG108" s="249"/>
      <c r="AJ108" s="249"/>
      <c r="AM108" s="249"/>
      <c r="AP108" s="249"/>
      <c r="AS108" s="249"/>
      <c r="AV108" s="249"/>
      <c r="AY108" s="249"/>
      <c r="BB108" s="249"/>
      <c r="BE108" s="249"/>
      <c r="BH108" s="249"/>
      <c r="BK108" s="249"/>
      <c r="BN108" s="249"/>
      <c r="BQ108" s="249"/>
      <c r="BT108" s="249"/>
      <c r="BW108" s="249"/>
      <c r="BZ108" s="249"/>
      <c r="CC108" s="249"/>
      <c r="CF108" s="249"/>
      <c r="CI108" s="249"/>
      <c r="CL108" s="249"/>
      <c r="CO108" s="249"/>
      <c r="CR108" s="249"/>
      <c r="CU108" s="249"/>
      <c r="CX108" s="249"/>
      <c r="DA108" s="249"/>
      <c r="DD108" s="249"/>
      <c r="DG108" s="249"/>
      <c r="DJ108" s="249"/>
      <c r="DM108" s="249"/>
      <c r="DP108" s="249"/>
      <c r="DS108" s="249"/>
      <c r="DV108" s="249"/>
      <c r="DY108" s="249"/>
      <c r="EB108" s="249"/>
      <c r="EE108" s="249"/>
      <c r="EH108" s="249"/>
      <c r="EK108" s="249"/>
      <c r="EN108" s="249"/>
      <c r="EQ108" s="249"/>
      <c r="ET108" s="249"/>
      <c r="EW108" s="249"/>
      <c r="EZ108" s="249"/>
      <c r="FC108" s="249"/>
      <c r="FF108" s="249"/>
      <c r="FI108" s="249"/>
      <c r="FL108" s="249"/>
      <c r="FO108" s="249"/>
      <c r="FR108" s="249"/>
      <c r="FU108" s="249"/>
      <c r="FX108" s="249"/>
      <c r="GA108" s="249"/>
      <c r="GD108" s="249"/>
      <c r="GG108" s="249"/>
      <c r="GJ108" s="249"/>
      <c r="GM108" s="249"/>
      <c r="GP108" s="249"/>
      <c r="GS108" s="249"/>
      <c r="GV108" s="249"/>
      <c r="GY108" s="249"/>
      <c r="HB108" s="249"/>
      <c r="HE108" s="249"/>
    </row>
    <row r="109" spans="1:213" x14ac:dyDescent="0.2">
      <c r="A109" s="94" t="s">
        <v>59</v>
      </c>
      <c r="B109" s="283">
        <v>26</v>
      </c>
      <c r="C109" s="270" t="s">
        <v>69</v>
      </c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W109" s="249"/>
      <c r="Z109" s="249"/>
      <c r="AC109" s="249"/>
      <c r="AD109" s="249"/>
      <c r="AE109" s="249"/>
      <c r="AF109" s="249"/>
      <c r="AG109" s="249"/>
      <c r="AJ109" s="249"/>
      <c r="AM109" s="249"/>
      <c r="AP109" s="249"/>
      <c r="AS109" s="249"/>
      <c r="AV109" s="249"/>
      <c r="AY109" s="249"/>
      <c r="BB109" s="249"/>
      <c r="BE109" s="249"/>
      <c r="BH109" s="249"/>
      <c r="BK109" s="249"/>
      <c r="BN109" s="249"/>
      <c r="BQ109" s="249"/>
      <c r="BT109" s="249"/>
      <c r="BW109" s="249"/>
      <c r="BZ109" s="249"/>
      <c r="CC109" s="249"/>
      <c r="CF109" s="249"/>
      <c r="CI109" s="249"/>
      <c r="CL109" s="249"/>
      <c r="CO109" s="249"/>
      <c r="CR109" s="249"/>
      <c r="CU109" s="249"/>
      <c r="CX109" s="249"/>
      <c r="DA109" s="249"/>
      <c r="DD109" s="249"/>
      <c r="DG109" s="249"/>
      <c r="DJ109" s="249"/>
      <c r="DM109" s="249"/>
      <c r="DP109" s="249"/>
      <c r="DS109" s="249"/>
      <c r="DV109" s="249"/>
      <c r="DY109" s="249"/>
      <c r="EB109" s="249"/>
      <c r="EE109" s="249"/>
      <c r="EH109" s="249"/>
      <c r="EK109" s="249"/>
      <c r="EN109" s="249"/>
      <c r="EQ109" s="249"/>
      <c r="ET109" s="249"/>
      <c r="EW109" s="249"/>
      <c r="EZ109" s="249"/>
      <c r="FC109" s="249"/>
      <c r="FF109" s="249"/>
      <c r="FI109" s="249"/>
      <c r="FL109" s="249"/>
      <c r="FO109" s="249"/>
      <c r="FR109" s="249"/>
      <c r="FU109" s="249"/>
      <c r="FX109" s="249"/>
      <c r="GA109" s="249"/>
      <c r="GD109" s="249"/>
      <c r="GG109" s="249"/>
      <c r="GJ109" s="249"/>
      <c r="GM109" s="249"/>
      <c r="GP109" s="249"/>
      <c r="GS109" s="249"/>
      <c r="GV109" s="249"/>
      <c r="GY109" s="249"/>
      <c r="HB109" s="249"/>
      <c r="HE109" s="249"/>
    </row>
    <row r="110" spans="1:213" x14ac:dyDescent="0.2">
      <c r="A110" s="94" t="s">
        <v>371</v>
      </c>
      <c r="B110" s="107">
        <v>75</v>
      </c>
      <c r="C110" s="94" t="s">
        <v>26</v>
      </c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W110" s="249"/>
      <c r="Z110" s="249"/>
      <c r="AC110" s="249"/>
      <c r="AD110" s="249"/>
      <c r="AE110" s="249"/>
      <c r="AF110" s="249"/>
      <c r="AG110" s="249"/>
      <c r="AJ110" s="249"/>
      <c r="AM110" s="249"/>
      <c r="AP110" s="249"/>
      <c r="AS110" s="249"/>
      <c r="AV110" s="249"/>
      <c r="AY110" s="249"/>
      <c r="BB110" s="249"/>
      <c r="BE110" s="249"/>
      <c r="BH110" s="249"/>
      <c r="BK110" s="249"/>
      <c r="BN110" s="249"/>
      <c r="BQ110" s="249"/>
      <c r="BT110" s="249"/>
      <c r="BW110" s="249"/>
      <c r="BZ110" s="249"/>
      <c r="CC110" s="249"/>
      <c r="CF110" s="249"/>
      <c r="CI110" s="249"/>
      <c r="CL110" s="249"/>
      <c r="CO110" s="249"/>
      <c r="CR110" s="249"/>
      <c r="CU110" s="249"/>
      <c r="CX110" s="249"/>
      <c r="DA110" s="249"/>
      <c r="DD110" s="249"/>
      <c r="DG110" s="249"/>
      <c r="DJ110" s="249"/>
      <c r="DM110" s="249"/>
      <c r="DP110" s="249"/>
      <c r="DS110" s="249"/>
      <c r="DV110" s="249"/>
      <c r="DY110" s="249"/>
      <c r="EB110" s="249"/>
      <c r="EE110" s="249"/>
      <c r="EH110" s="249"/>
      <c r="EK110" s="249"/>
      <c r="EN110" s="249"/>
      <c r="EQ110" s="249"/>
      <c r="ET110" s="249"/>
      <c r="EW110" s="249"/>
      <c r="EZ110" s="249"/>
      <c r="FC110" s="249"/>
      <c r="FF110" s="249"/>
      <c r="FI110" s="249"/>
      <c r="FL110" s="249"/>
      <c r="FO110" s="249"/>
      <c r="FR110" s="249"/>
      <c r="FU110" s="249"/>
      <c r="FX110" s="249"/>
      <c r="GA110" s="249"/>
      <c r="GD110" s="249"/>
      <c r="GG110" s="249"/>
      <c r="GJ110" s="249"/>
      <c r="GM110" s="249"/>
      <c r="GP110" s="249"/>
      <c r="GS110" s="249"/>
      <c r="GV110" s="249"/>
      <c r="GY110" s="249"/>
      <c r="HB110" s="249"/>
      <c r="HE110" s="249"/>
    </row>
    <row r="111" spans="1:213" x14ac:dyDescent="0.2">
      <c r="A111" s="94" t="s">
        <v>370</v>
      </c>
      <c r="B111" s="283">
        <v>75</v>
      </c>
      <c r="C111" s="94" t="s">
        <v>26</v>
      </c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W111" s="249"/>
      <c r="Z111" s="249"/>
      <c r="AC111" s="249"/>
      <c r="AD111" s="249"/>
      <c r="AE111" s="249"/>
      <c r="AF111" s="249"/>
      <c r="AG111" s="249"/>
      <c r="AJ111" s="249"/>
      <c r="AM111" s="249"/>
      <c r="AP111" s="249"/>
      <c r="AS111" s="249"/>
      <c r="AV111" s="249"/>
      <c r="AY111" s="249"/>
      <c r="BB111" s="249"/>
      <c r="BE111" s="249"/>
      <c r="BH111" s="249"/>
      <c r="BK111" s="249"/>
      <c r="BN111" s="249"/>
      <c r="BQ111" s="249"/>
      <c r="BT111" s="249"/>
      <c r="BW111" s="249"/>
      <c r="BZ111" s="249"/>
      <c r="CC111" s="249"/>
      <c r="CF111" s="249"/>
      <c r="CI111" s="249"/>
      <c r="CL111" s="249"/>
      <c r="CO111" s="249"/>
      <c r="CR111" s="249"/>
      <c r="CU111" s="249"/>
      <c r="CX111" s="249"/>
      <c r="DA111" s="249"/>
      <c r="DD111" s="249"/>
      <c r="DG111" s="249"/>
      <c r="DJ111" s="249"/>
      <c r="DM111" s="249"/>
      <c r="DP111" s="249"/>
      <c r="DS111" s="249"/>
      <c r="DV111" s="249"/>
      <c r="DY111" s="249"/>
      <c r="EB111" s="249"/>
      <c r="EE111" s="249"/>
      <c r="EH111" s="249"/>
      <c r="EK111" s="249"/>
      <c r="EN111" s="249"/>
      <c r="EQ111" s="249"/>
      <c r="ET111" s="249"/>
      <c r="EW111" s="249"/>
      <c r="EZ111" s="249"/>
      <c r="FC111" s="249"/>
      <c r="FF111" s="249"/>
      <c r="FI111" s="249"/>
      <c r="FL111" s="249"/>
      <c r="FO111" s="249"/>
      <c r="FR111" s="249"/>
      <c r="FU111" s="249"/>
      <c r="FX111" s="249"/>
      <c r="GA111" s="249"/>
      <c r="GD111" s="249"/>
      <c r="GG111" s="249"/>
      <c r="GJ111" s="249"/>
      <c r="GM111" s="249"/>
      <c r="GP111" s="249"/>
      <c r="GS111" s="249"/>
      <c r="GV111" s="249"/>
      <c r="GY111" s="249"/>
      <c r="HB111" s="249"/>
      <c r="HE111" s="249"/>
    </row>
    <row r="112" spans="1:213" x14ac:dyDescent="0.2">
      <c r="A112" s="94" t="s">
        <v>157</v>
      </c>
      <c r="B112" s="283">
        <v>75</v>
      </c>
      <c r="C112" s="94" t="s">
        <v>26</v>
      </c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W112" s="249"/>
      <c r="Z112" s="249"/>
      <c r="AC112" s="249"/>
      <c r="AD112" s="249"/>
      <c r="AE112" s="249"/>
      <c r="AF112" s="249"/>
      <c r="AG112" s="249"/>
      <c r="AJ112" s="249"/>
      <c r="AM112" s="249"/>
      <c r="AP112" s="249"/>
      <c r="AS112" s="249"/>
      <c r="AV112" s="249"/>
      <c r="AY112" s="249"/>
      <c r="BB112" s="249"/>
      <c r="BE112" s="249"/>
      <c r="BH112" s="249"/>
      <c r="BK112" s="249"/>
      <c r="BN112" s="249"/>
      <c r="BQ112" s="249"/>
      <c r="BT112" s="249"/>
      <c r="BW112" s="249"/>
      <c r="BZ112" s="249"/>
      <c r="CC112" s="249"/>
      <c r="CF112" s="249"/>
      <c r="CI112" s="249"/>
      <c r="CL112" s="249"/>
      <c r="CO112" s="249"/>
      <c r="CR112" s="249"/>
      <c r="CU112" s="249"/>
      <c r="CX112" s="249"/>
      <c r="DA112" s="249"/>
      <c r="DD112" s="249"/>
      <c r="DG112" s="249"/>
      <c r="DJ112" s="249"/>
      <c r="DM112" s="249"/>
      <c r="DP112" s="249"/>
      <c r="DS112" s="249"/>
      <c r="DV112" s="249"/>
      <c r="DY112" s="249"/>
      <c r="EB112" s="249"/>
      <c r="EE112" s="249"/>
      <c r="EH112" s="249"/>
      <c r="EK112" s="249"/>
      <c r="EN112" s="249"/>
      <c r="EQ112" s="249"/>
      <c r="ET112" s="249"/>
      <c r="EW112" s="249"/>
      <c r="EZ112" s="249"/>
      <c r="FC112" s="249"/>
      <c r="FF112" s="249"/>
      <c r="FI112" s="249"/>
      <c r="FL112" s="249"/>
      <c r="FO112" s="249"/>
      <c r="FR112" s="249"/>
      <c r="FU112" s="249"/>
      <c r="FX112" s="249"/>
      <c r="GA112" s="249"/>
      <c r="GD112" s="249"/>
      <c r="GG112" s="249"/>
      <c r="GJ112" s="249"/>
      <c r="GM112" s="249"/>
      <c r="GP112" s="249"/>
      <c r="GS112" s="249"/>
      <c r="GV112" s="249"/>
      <c r="GY112" s="249"/>
      <c r="HB112" s="249"/>
      <c r="HE112" s="249"/>
    </row>
    <row r="113" spans="1:213" x14ac:dyDescent="0.2">
      <c r="A113" s="94" t="s">
        <v>105</v>
      </c>
      <c r="B113" s="283">
        <v>1</v>
      </c>
      <c r="C113" s="92" t="s">
        <v>224</v>
      </c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W113" s="249"/>
      <c r="Z113" s="249"/>
      <c r="AC113" s="249"/>
      <c r="AD113" s="249"/>
      <c r="AE113" s="249"/>
      <c r="AF113" s="249"/>
      <c r="AG113" s="249"/>
      <c r="AJ113" s="249"/>
      <c r="AM113" s="249"/>
      <c r="AP113" s="249"/>
      <c r="AS113" s="249"/>
      <c r="AV113" s="249"/>
      <c r="AY113" s="249"/>
      <c r="BB113" s="249"/>
      <c r="BE113" s="249"/>
      <c r="BH113" s="249"/>
      <c r="BK113" s="249"/>
      <c r="BN113" s="249"/>
      <c r="BQ113" s="249"/>
      <c r="BT113" s="249"/>
      <c r="BW113" s="249"/>
      <c r="BZ113" s="249"/>
      <c r="CC113" s="249"/>
      <c r="CF113" s="249"/>
      <c r="CI113" s="249"/>
      <c r="CL113" s="249"/>
      <c r="CO113" s="249"/>
      <c r="CR113" s="249"/>
      <c r="CU113" s="249"/>
      <c r="CX113" s="249"/>
      <c r="DA113" s="249"/>
      <c r="DD113" s="249"/>
      <c r="DG113" s="249"/>
      <c r="DJ113" s="249"/>
      <c r="DM113" s="249"/>
      <c r="DP113" s="249"/>
      <c r="DS113" s="249"/>
      <c r="DV113" s="249"/>
      <c r="DY113" s="249"/>
      <c r="EB113" s="249"/>
      <c r="EE113" s="249"/>
      <c r="EH113" s="249"/>
      <c r="EK113" s="249"/>
      <c r="EN113" s="249"/>
      <c r="EQ113" s="249"/>
      <c r="ET113" s="249"/>
      <c r="EW113" s="249"/>
      <c r="EZ113" s="249"/>
      <c r="FC113" s="249"/>
      <c r="FF113" s="249"/>
      <c r="FI113" s="249"/>
      <c r="FL113" s="249"/>
      <c r="FO113" s="249"/>
      <c r="FR113" s="249"/>
      <c r="FU113" s="249"/>
      <c r="FX113" s="249"/>
      <c r="GA113" s="249"/>
      <c r="GD113" s="249"/>
      <c r="GG113" s="249"/>
      <c r="GJ113" s="249"/>
      <c r="GM113" s="249"/>
      <c r="GP113" s="249"/>
      <c r="GS113" s="249"/>
      <c r="GV113" s="249"/>
      <c r="GY113" s="249"/>
      <c r="HB113" s="249"/>
      <c r="HE113" s="249"/>
    </row>
    <row r="114" spans="1:213" x14ac:dyDescent="0.2">
      <c r="A114" s="92" t="s">
        <v>368</v>
      </c>
      <c r="B114" s="284">
        <v>1</v>
      </c>
      <c r="C114" s="92" t="s">
        <v>224</v>
      </c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W114" s="249"/>
      <c r="Z114" s="249"/>
      <c r="AC114" s="249"/>
      <c r="AD114" s="249"/>
      <c r="AE114" s="249"/>
      <c r="AF114" s="249"/>
      <c r="AG114" s="249"/>
      <c r="AJ114" s="249"/>
      <c r="AM114" s="249"/>
      <c r="AP114" s="249"/>
      <c r="AS114" s="249"/>
      <c r="AV114" s="249"/>
      <c r="AY114" s="249"/>
      <c r="BB114" s="249"/>
      <c r="BE114" s="249"/>
      <c r="BH114" s="249"/>
      <c r="BK114" s="249"/>
      <c r="BN114" s="249"/>
      <c r="BQ114" s="249"/>
      <c r="BT114" s="249"/>
      <c r="BW114" s="249"/>
      <c r="BZ114" s="249"/>
      <c r="CC114" s="249"/>
      <c r="CF114" s="249"/>
      <c r="CI114" s="249"/>
      <c r="CL114" s="249"/>
      <c r="CO114" s="249"/>
      <c r="CR114" s="249"/>
      <c r="CU114" s="249"/>
      <c r="CX114" s="249"/>
      <c r="DA114" s="249"/>
      <c r="DD114" s="249"/>
      <c r="DG114" s="249"/>
      <c r="DJ114" s="249"/>
      <c r="DM114" s="249"/>
      <c r="DP114" s="249"/>
      <c r="DS114" s="249"/>
      <c r="DV114" s="249"/>
      <c r="DY114" s="249"/>
      <c r="EB114" s="249"/>
      <c r="EE114" s="249"/>
      <c r="EH114" s="249"/>
      <c r="EK114" s="249"/>
      <c r="EN114" s="249"/>
      <c r="EQ114" s="249"/>
      <c r="ET114" s="249"/>
      <c r="EW114" s="249"/>
      <c r="EZ114" s="249"/>
      <c r="FC114" s="249"/>
      <c r="FF114" s="249"/>
      <c r="FI114" s="249"/>
      <c r="FL114" s="249"/>
      <c r="FO114" s="249"/>
      <c r="FR114" s="249"/>
      <c r="FU114" s="249"/>
      <c r="FX114" s="249"/>
      <c r="GA114" s="249"/>
      <c r="GD114" s="249"/>
      <c r="GG114" s="249"/>
      <c r="GJ114" s="249"/>
      <c r="GM114" s="249"/>
      <c r="GP114" s="249"/>
      <c r="GS114" s="249"/>
      <c r="GV114" s="249"/>
      <c r="GY114" s="249"/>
      <c r="HB114" s="249"/>
      <c r="HE114" s="249"/>
    </row>
    <row r="115" spans="1:213" x14ac:dyDescent="0.2">
      <c r="A115" s="92" t="s">
        <v>369</v>
      </c>
      <c r="B115" s="284">
        <v>1</v>
      </c>
      <c r="C115" s="92" t="s">
        <v>224</v>
      </c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W115" s="249"/>
      <c r="Z115" s="249"/>
      <c r="AC115" s="249"/>
      <c r="AD115" s="249"/>
      <c r="AE115" s="249"/>
      <c r="AF115" s="249"/>
      <c r="AG115" s="249"/>
      <c r="AJ115" s="249"/>
      <c r="AM115" s="249"/>
      <c r="AP115" s="249"/>
      <c r="AS115" s="249"/>
      <c r="AV115" s="249"/>
      <c r="AY115" s="249"/>
      <c r="BB115" s="249"/>
      <c r="BE115" s="249"/>
      <c r="BH115" s="249"/>
      <c r="BK115" s="249"/>
      <c r="BN115" s="249"/>
      <c r="BQ115" s="249"/>
      <c r="BT115" s="249"/>
      <c r="BW115" s="249"/>
      <c r="BZ115" s="249"/>
      <c r="CC115" s="249"/>
      <c r="CF115" s="249"/>
      <c r="CI115" s="249"/>
      <c r="CL115" s="249"/>
      <c r="CO115" s="249"/>
      <c r="CR115" s="249"/>
      <c r="CU115" s="249"/>
      <c r="CX115" s="249"/>
      <c r="DA115" s="249"/>
      <c r="DD115" s="249"/>
      <c r="DG115" s="249"/>
      <c r="DJ115" s="249"/>
      <c r="DM115" s="249"/>
      <c r="DP115" s="249"/>
      <c r="DS115" s="249"/>
      <c r="DV115" s="249"/>
      <c r="DY115" s="249"/>
      <c r="EB115" s="249"/>
      <c r="EE115" s="249"/>
      <c r="EH115" s="249"/>
      <c r="EK115" s="249"/>
      <c r="EN115" s="249"/>
      <c r="EQ115" s="249"/>
      <c r="ET115" s="249"/>
      <c r="EW115" s="249"/>
      <c r="EZ115" s="249"/>
      <c r="FC115" s="249"/>
      <c r="FF115" s="249"/>
      <c r="FI115" s="249"/>
      <c r="FL115" s="249"/>
      <c r="FO115" s="249"/>
      <c r="FR115" s="249"/>
      <c r="FU115" s="249"/>
      <c r="FX115" s="249"/>
      <c r="GA115" s="249"/>
      <c r="GD115" s="249"/>
      <c r="GG115" s="249"/>
      <c r="GJ115" s="249"/>
      <c r="GM115" s="249"/>
      <c r="GP115" s="249"/>
      <c r="GS115" s="249"/>
      <c r="GV115" s="249"/>
      <c r="GY115" s="249"/>
      <c r="HB115" s="249"/>
      <c r="HE115" s="249"/>
    </row>
    <row r="116" spans="1:213" x14ac:dyDescent="0.2">
      <c r="A116" s="249" t="s">
        <v>366</v>
      </c>
      <c r="B116" s="284">
        <v>1</v>
      </c>
      <c r="C116" s="249" t="s">
        <v>104</v>
      </c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W116" s="249"/>
      <c r="Z116" s="249"/>
      <c r="AC116" s="249"/>
      <c r="AD116" s="249"/>
      <c r="AE116" s="249"/>
      <c r="AF116" s="249"/>
      <c r="AG116" s="249"/>
      <c r="AJ116" s="249"/>
      <c r="AM116" s="249"/>
      <c r="AP116" s="249"/>
      <c r="AS116" s="249"/>
      <c r="AV116" s="249"/>
      <c r="AY116" s="249"/>
      <c r="BB116" s="249"/>
      <c r="BE116" s="249"/>
      <c r="BH116" s="249"/>
      <c r="BK116" s="249"/>
      <c r="BN116" s="249"/>
      <c r="BQ116" s="249"/>
      <c r="BT116" s="249"/>
      <c r="BW116" s="249"/>
      <c r="BZ116" s="249"/>
      <c r="CC116" s="249"/>
      <c r="CF116" s="249"/>
      <c r="CI116" s="249"/>
      <c r="CL116" s="249"/>
      <c r="CO116" s="249"/>
      <c r="CR116" s="249"/>
      <c r="CU116" s="249"/>
      <c r="CX116" s="249"/>
      <c r="DA116" s="249"/>
      <c r="DD116" s="249"/>
      <c r="DG116" s="249"/>
      <c r="DJ116" s="249"/>
      <c r="DM116" s="249"/>
      <c r="DP116" s="249"/>
      <c r="DS116" s="249"/>
      <c r="DV116" s="249"/>
      <c r="DY116" s="249"/>
      <c r="EB116" s="249"/>
      <c r="EE116" s="249"/>
      <c r="EH116" s="249"/>
      <c r="EK116" s="249"/>
      <c r="EN116" s="249"/>
      <c r="EQ116" s="249"/>
      <c r="ET116" s="249"/>
      <c r="EW116" s="249"/>
      <c r="EZ116" s="249"/>
      <c r="FC116" s="249"/>
      <c r="FF116" s="249"/>
      <c r="FI116" s="249"/>
      <c r="FL116" s="249"/>
      <c r="FO116" s="249"/>
      <c r="FR116" s="249"/>
      <c r="FU116" s="249"/>
      <c r="FX116" s="249"/>
      <c r="GA116" s="249"/>
      <c r="GD116" s="249"/>
      <c r="GG116" s="249"/>
      <c r="GJ116" s="249"/>
      <c r="GM116" s="249"/>
      <c r="GP116" s="249"/>
      <c r="GS116" s="249"/>
      <c r="GV116" s="249"/>
      <c r="GY116" s="249"/>
      <c r="HB116" s="249"/>
      <c r="HE116" s="249"/>
    </row>
    <row r="117" spans="1:213" x14ac:dyDescent="0.2">
      <c r="A117" s="249" t="s">
        <v>367</v>
      </c>
      <c r="B117" s="284">
        <v>1</v>
      </c>
      <c r="C117" s="249" t="s">
        <v>104</v>
      </c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W117" s="249"/>
      <c r="Z117" s="249"/>
      <c r="AC117" s="249"/>
      <c r="AD117" s="249"/>
      <c r="AE117" s="249"/>
      <c r="AF117" s="249"/>
      <c r="AG117" s="249"/>
      <c r="AJ117" s="249"/>
      <c r="AM117" s="249"/>
      <c r="AP117" s="249"/>
      <c r="AS117" s="249"/>
      <c r="AV117" s="249"/>
      <c r="AY117" s="249"/>
      <c r="BB117" s="249"/>
      <c r="BE117" s="249"/>
      <c r="BH117" s="249"/>
      <c r="BK117" s="249"/>
      <c r="BN117" s="249"/>
      <c r="BQ117" s="249"/>
      <c r="BT117" s="249"/>
      <c r="BW117" s="249"/>
      <c r="BZ117" s="249"/>
      <c r="CC117" s="249"/>
      <c r="CF117" s="249"/>
      <c r="CI117" s="249"/>
      <c r="CL117" s="249"/>
      <c r="CO117" s="249"/>
      <c r="CR117" s="249"/>
      <c r="CU117" s="249"/>
      <c r="CX117" s="249"/>
      <c r="DA117" s="249"/>
      <c r="DD117" s="249"/>
      <c r="DG117" s="249"/>
      <c r="DJ117" s="249"/>
      <c r="DM117" s="249"/>
      <c r="DP117" s="249"/>
      <c r="DS117" s="249"/>
      <c r="DV117" s="249"/>
      <c r="DY117" s="249"/>
      <c r="EB117" s="249"/>
      <c r="EE117" s="249"/>
      <c r="EH117" s="249"/>
      <c r="EK117" s="249"/>
      <c r="EN117" s="249"/>
      <c r="EQ117" s="249"/>
      <c r="ET117" s="249"/>
      <c r="EW117" s="249"/>
      <c r="EZ117" s="249"/>
      <c r="FC117" s="249"/>
      <c r="FF117" s="249"/>
      <c r="FI117" s="249"/>
      <c r="FL117" s="249"/>
      <c r="FO117" s="249"/>
      <c r="FR117" s="249"/>
      <c r="FU117" s="249"/>
      <c r="FX117" s="249"/>
      <c r="GA117" s="249"/>
      <c r="GD117" s="249"/>
      <c r="GG117" s="249"/>
      <c r="GJ117" s="249"/>
      <c r="GM117" s="249"/>
      <c r="GP117" s="249"/>
      <c r="GS117" s="249"/>
      <c r="GV117" s="249"/>
      <c r="GY117" s="249"/>
      <c r="HB117" s="249"/>
      <c r="HE117" s="249"/>
    </row>
    <row r="118" spans="1:213" x14ac:dyDescent="0.2">
      <c r="A118" s="94" t="s">
        <v>364</v>
      </c>
      <c r="B118" s="284">
        <v>1</v>
      </c>
      <c r="C118" s="92" t="s">
        <v>98</v>
      </c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W118" s="249"/>
      <c r="Z118" s="249"/>
      <c r="AC118" s="249"/>
      <c r="AD118" s="249"/>
      <c r="AE118" s="249"/>
      <c r="AF118" s="249"/>
      <c r="AG118" s="249"/>
      <c r="AJ118" s="249"/>
      <c r="AM118" s="249"/>
      <c r="AP118" s="249"/>
      <c r="AS118" s="249"/>
      <c r="AV118" s="249"/>
      <c r="AY118" s="249"/>
      <c r="BB118" s="249"/>
      <c r="BE118" s="249"/>
      <c r="BH118" s="249"/>
      <c r="BK118" s="249"/>
      <c r="BN118" s="249"/>
      <c r="BQ118" s="249"/>
      <c r="BT118" s="249"/>
      <c r="BW118" s="249"/>
      <c r="BZ118" s="249"/>
      <c r="CC118" s="249"/>
      <c r="CF118" s="249"/>
      <c r="CI118" s="249"/>
      <c r="CL118" s="249"/>
      <c r="CO118" s="249"/>
      <c r="CR118" s="249"/>
      <c r="CU118" s="249"/>
      <c r="CX118" s="249"/>
      <c r="DA118" s="249"/>
      <c r="DD118" s="249"/>
      <c r="DG118" s="249"/>
      <c r="DJ118" s="249"/>
      <c r="DM118" s="249"/>
      <c r="DP118" s="249"/>
      <c r="DS118" s="249"/>
      <c r="DV118" s="249"/>
      <c r="DY118" s="249"/>
      <c r="EB118" s="249"/>
      <c r="EE118" s="249"/>
      <c r="EH118" s="249"/>
      <c r="EK118" s="249"/>
      <c r="EN118" s="249"/>
      <c r="EQ118" s="249"/>
      <c r="ET118" s="249"/>
      <c r="EW118" s="249"/>
      <c r="EZ118" s="249"/>
      <c r="FC118" s="249"/>
      <c r="FF118" s="249"/>
      <c r="FI118" s="249"/>
      <c r="FL118" s="249"/>
      <c r="FO118" s="249"/>
      <c r="FR118" s="249"/>
      <c r="FU118" s="249"/>
      <c r="FX118" s="249"/>
      <c r="GA118" s="249"/>
      <c r="GD118" s="249"/>
      <c r="GG118" s="249"/>
      <c r="GJ118" s="249"/>
      <c r="GM118" s="249"/>
      <c r="GP118" s="249"/>
      <c r="GS118" s="249"/>
      <c r="GV118" s="249"/>
      <c r="GY118" s="249"/>
      <c r="HB118" s="249"/>
      <c r="HE118" s="249"/>
    </row>
    <row r="119" spans="1:213" x14ac:dyDescent="0.2">
      <c r="A119" s="94" t="s">
        <v>365</v>
      </c>
      <c r="B119" s="284">
        <v>1</v>
      </c>
      <c r="C119" s="92" t="s">
        <v>98</v>
      </c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W119" s="249"/>
      <c r="Z119" s="249"/>
      <c r="AC119" s="249"/>
      <c r="AD119" s="249"/>
      <c r="AE119" s="249"/>
      <c r="AF119" s="249"/>
      <c r="AG119" s="249"/>
      <c r="AJ119" s="249"/>
      <c r="AM119" s="249"/>
      <c r="AP119" s="249"/>
      <c r="AS119" s="249"/>
      <c r="AV119" s="249"/>
      <c r="AY119" s="249"/>
      <c r="BB119" s="249"/>
      <c r="BE119" s="249"/>
      <c r="BH119" s="249"/>
      <c r="BK119" s="249"/>
      <c r="BN119" s="249"/>
      <c r="BQ119" s="249"/>
      <c r="BT119" s="249"/>
      <c r="BW119" s="249"/>
      <c r="BZ119" s="249"/>
      <c r="CC119" s="249"/>
      <c r="CF119" s="249"/>
      <c r="CI119" s="249"/>
      <c r="CL119" s="249"/>
      <c r="CO119" s="249"/>
      <c r="CR119" s="249"/>
      <c r="CU119" s="249"/>
      <c r="CX119" s="249"/>
      <c r="DA119" s="249"/>
      <c r="DD119" s="249"/>
      <c r="DG119" s="249"/>
      <c r="DJ119" s="249"/>
      <c r="DM119" s="249"/>
      <c r="DP119" s="249"/>
      <c r="DS119" s="249"/>
      <c r="DV119" s="249"/>
      <c r="DY119" s="249"/>
      <c r="EB119" s="249"/>
      <c r="EE119" s="249"/>
      <c r="EH119" s="249"/>
      <c r="EK119" s="249"/>
      <c r="EN119" s="249"/>
      <c r="EQ119" s="249"/>
      <c r="ET119" s="249"/>
      <c r="EW119" s="249"/>
      <c r="EZ119" s="249"/>
      <c r="FC119" s="249"/>
      <c r="FF119" s="249"/>
      <c r="FI119" s="249"/>
      <c r="FL119" s="249"/>
      <c r="FO119" s="249"/>
      <c r="FR119" s="249"/>
      <c r="FU119" s="249"/>
      <c r="FX119" s="249"/>
      <c r="GA119" s="249"/>
      <c r="GD119" s="249"/>
      <c r="GG119" s="249"/>
      <c r="GJ119" s="249"/>
      <c r="GM119" s="249"/>
      <c r="GP119" s="249"/>
      <c r="GS119" s="249"/>
      <c r="GV119" s="249"/>
      <c r="GY119" s="249"/>
      <c r="HB119" s="249"/>
      <c r="HE119" s="249"/>
    </row>
    <row r="120" spans="1:213" x14ac:dyDescent="0.2">
      <c r="A120" s="263" t="s">
        <v>192</v>
      </c>
      <c r="B120" s="283">
        <v>1</v>
      </c>
      <c r="C120" s="249" t="s">
        <v>283</v>
      </c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W120" s="249"/>
      <c r="Z120" s="249"/>
      <c r="AC120" s="249"/>
      <c r="AD120" s="249"/>
      <c r="AE120" s="249"/>
      <c r="AF120" s="249"/>
      <c r="AG120" s="249"/>
      <c r="AJ120" s="249"/>
      <c r="AM120" s="249"/>
      <c r="AP120" s="249"/>
      <c r="AS120" s="249"/>
      <c r="AV120" s="249"/>
      <c r="AY120" s="249"/>
      <c r="BB120" s="249"/>
      <c r="BE120" s="249"/>
      <c r="BH120" s="249"/>
      <c r="BK120" s="249"/>
      <c r="BN120" s="249"/>
      <c r="BQ120" s="249"/>
      <c r="BT120" s="249"/>
      <c r="BW120" s="249"/>
      <c r="BZ120" s="249"/>
      <c r="CC120" s="249"/>
      <c r="CF120" s="249"/>
      <c r="CI120" s="249"/>
      <c r="CL120" s="249"/>
      <c r="CO120" s="249"/>
      <c r="CR120" s="249"/>
      <c r="CU120" s="249"/>
      <c r="CX120" s="249"/>
      <c r="DA120" s="249"/>
      <c r="DD120" s="249"/>
      <c r="DG120" s="249"/>
      <c r="DJ120" s="249"/>
      <c r="DM120" s="249"/>
      <c r="DP120" s="249"/>
      <c r="DS120" s="249"/>
      <c r="DV120" s="249"/>
      <c r="DY120" s="249"/>
      <c r="EB120" s="249"/>
      <c r="EE120" s="249"/>
      <c r="EH120" s="249"/>
      <c r="EK120" s="249"/>
      <c r="EN120" s="249"/>
      <c r="EQ120" s="249"/>
      <c r="ET120" s="249"/>
      <c r="EW120" s="249"/>
      <c r="EZ120" s="249"/>
      <c r="FC120" s="249"/>
      <c r="FF120" s="249"/>
      <c r="FI120" s="249"/>
      <c r="FL120" s="249"/>
      <c r="FO120" s="249"/>
      <c r="FR120" s="249"/>
      <c r="FU120" s="249"/>
      <c r="FX120" s="249"/>
      <c r="GA120" s="249"/>
      <c r="GD120" s="249"/>
      <c r="GG120" s="249"/>
      <c r="GJ120" s="249"/>
      <c r="GM120" s="249"/>
      <c r="GP120" s="249"/>
      <c r="GS120" s="249"/>
      <c r="GV120" s="249"/>
      <c r="GY120" s="249"/>
      <c r="HB120" s="249"/>
      <c r="HE120" s="249"/>
    </row>
    <row r="121" spans="1:213" x14ac:dyDescent="0.2">
      <c r="A121" s="263" t="s">
        <v>189</v>
      </c>
      <c r="B121" s="283">
        <v>1</v>
      </c>
      <c r="C121" s="249" t="s">
        <v>283</v>
      </c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W121" s="249"/>
      <c r="Z121" s="249"/>
      <c r="AC121" s="249"/>
      <c r="AD121" s="249"/>
      <c r="AE121" s="249"/>
      <c r="AF121" s="249"/>
      <c r="AG121" s="249"/>
      <c r="AJ121" s="249"/>
      <c r="AM121" s="249"/>
      <c r="AP121" s="249"/>
      <c r="AS121" s="249"/>
      <c r="AV121" s="249"/>
      <c r="AY121" s="249"/>
      <c r="BB121" s="249"/>
      <c r="BE121" s="249"/>
      <c r="BH121" s="249"/>
      <c r="BK121" s="249"/>
      <c r="BN121" s="249"/>
      <c r="BQ121" s="249"/>
      <c r="BT121" s="249"/>
      <c r="BW121" s="249"/>
      <c r="BZ121" s="249"/>
      <c r="CC121" s="249"/>
      <c r="CF121" s="249"/>
      <c r="CI121" s="249"/>
      <c r="CL121" s="249"/>
      <c r="CO121" s="249"/>
      <c r="CR121" s="249"/>
      <c r="CU121" s="249"/>
      <c r="CX121" s="249"/>
      <c r="DA121" s="249"/>
      <c r="DD121" s="249"/>
      <c r="DG121" s="249"/>
      <c r="DJ121" s="249"/>
      <c r="DM121" s="249"/>
      <c r="DP121" s="249"/>
      <c r="DS121" s="249"/>
      <c r="DV121" s="249"/>
      <c r="DY121" s="249"/>
      <c r="EB121" s="249"/>
      <c r="EE121" s="249"/>
      <c r="EH121" s="249"/>
      <c r="EK121" s="249"/>
      <c r="EN121" s="249"/>
      <c r="EQ121" s="249"/>
      <c r="ET121" s="249"/>
      <c r="EW121" s="249"/>
      <c r="EZ121" s="249"/>
      <c r="FC121" s="249"/>
      <c r="FF121" s="249"/>
      <c r="FI121" s="249"/>
      <c r="FL121" s="249"/>
      <c r="FO121" s="249"/>
      <c r="FR121" s="249"/>
      <c r="FU121" s="249"/>
      <c r="FX121" s="249"/>
      <c r="GA121" s="249"/>
      <c r="GD121" s="249"/>
      <c r="GG121" s="249"/>
      <c r="GJ121" s="249"/>
      <c r="GM121" s="249"/>
      <c r="GP121" s="249"/>
      <c r="GS121" s="249"/>
      <c r="GV121" s="249"/>
      <c r="GY121" s="249"/>
      <c r="HB121" s="249"/>
      <c r="HE121" s="249"/>
    </row>
    <row r="122" spans="1:213" x14ac:dyDescent="0.2">
      <c r="A122" s="263" t="s">
        <v>190</v>
      </c>
      <c r="B122" s="283">
        <v>1</v>
      </c>
      <c r="C122" s="249" t="s">
        <v>47</v>
      </c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W122" s="249"/>
      <c r="Z122" s="249"/>
      <c r="AC122" s="249"/>
      <c r="AD122" s="249"/>
      <c r="AE122" s="249"/>
      <c r="AF122" s="249"/>
      <c r="AG122" s="249"/>
      <c r="AJ122" s="249"/>
      <c r="AM122" s="249"/>
      <c r="AP122" s="249"/>
      <c r="AS122" s="249"/>
      <c r="AV122" s="249"/>
      <c r="AY122" s="249"/>
      <c r="BB122" s="249"/>
      <c r="BE122" s="249"/>
      <c r="BH122" s="249"/>
      <c r="BK122" s="249"/>
      <c r="BN122" s="249"/>
      <c r="BQ122" s="249"/>
      <c r="BT122" s="249"/>
      <c r="BW122" s="249"/>
      <c r="BZ122" s="249"/>
      <c r="CC122" s="249"/>
      <c r="CF122" s="249"/>
      <c r="CI122" s="249"/>
      <c r="CL122" s="249"/>
      <c r="CO122" s="249"/>
      <c r="CR122" s="249"/>
      <c r="CU122" s="249"/>
      <c r="CX122" s="249"/>
      <c r="DA122" s="249"/>
      <c r="DD122" s="249"/>
      <c r="DG122" s="249"/>
      <c r="DJ122" s="249"/>
      <c r="DM122" s="249"/>
      <c r="DP122" s="249"/>
      <c r="DS122" s="249"/>
      <c r="DV122" s="249"/>
      <c r="DY122" s="249"/>
      <c r="EB122" s="249"/>
      <c r="EE122" s="249"/>
      <c r="EH122" s="249"/>
      <c r="EK122" s="249"/>
      <c r="EN122" s="249"/>
      <c r="EQ122" s="249"/>
      <c r="ET122" s="249"/>
      <c r="EW122" s="249"/>
      <c r="EZ122" s="249"/>
      <c r="FC122" s="249"/>
      <c r="FF122" s="249"/>
      <c r="FI122" s="249"/>
      <c r="FL122" s="249"/>
      <c r="FO122" s="249"/>
      <c r="FR122" s="249"/>
      <c r="FU122" s="249"/>
      <c r="FX122" s="249"/>
      <c r="GA122" s="249"/>
      <c r="GD122" s="249"/>
      <c r="GG122" s="249"/>
      <c r="GJ122" s="249"/>
      <c r="GM122" s="249"/>
      <c r="GP122" s="249"/>
      <c r="GS122" s="249"/>
      <c r="GV122" s="249"/>
      <c r="GY122" s="249"/>
      <c r="HB122" s="249"/>
      <c r="HE122" s="249"/>
    </row>
    <row r="123" spans="1:213" x14ac:dyDescent="0.2">
      <c r="A123" s="263" t="s">
        <v>191</v>
      </c>
      <c r="B123" s="283">
        <v>1</v>
      </c>
      <c r="C123" s="249" t="s">
        <v>47</v>
      </c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W123" s="249"/>
      <c r="Z123" s="249"/>
      <c r="AC123" s="249"/>
      <c r="AD123" s="249"/>
      <c r="AE123" s="249"/>
      <c r="AF123" s="249"/>
      <c r="AG123" s="249"/>
      <c r="AJ123" s="249"/>
      <c r="AM123" s="249"/>
      <c r="AP123" s="249"/>
      <c r="AS123" s="249"/>
      <c r="AV123" s="249"/>
      <c r="AY123" s="249"/>
      <c r="BB123" s="249"/>
      <c r="BE123" s="249"/>
      <c r="BH123" s="249"/>
      <c r="BK123" s="249"/>
      <c r="BN123" s="249"/>
      <c r="BQ123" s="249"/>
      <c r="BT123" s="249"/>
      <c r="BW123" s="249"/>
      <c r="BZ123" s="249"/>
      <c r="CC123" s="249"/>
      <c r="CF123" s="249"/>
      <c r="CI123" s="249"/>
      <c r="CL123" s="249"/>
      <c r="CO123" s="249"/>
      <c r="CR123" s="249"/>
      <c r="CU123" s="249"/>
      <c r="CX123" s="249"/>
      <c r="DA123" s="249"/>
      <c r="DD123" s="249"/>
      <c r="DG123" s="249"/>
      <c r="DJ123" s="249"/>
      <c r="DM123" s="249"/>
      <c r="DP123" s="249"/>
      <c r="DS123" s="249"/>
      <c r="DV123" s="249"/>
      <c r="DY123" s="249"/>
      <c r="EB123" s="249"/>
      <c r="EE123" s="249"/>
      <c r="EH123" s="249"/>
      <c r="EK123" s="249"/>
      <c r="EN123" s="249"/>
      <c r="EQ123" s="249"/>
      <c r="ET123" s="249"/>
      <c r="EW123" s="249"/>
      <c r="EZ123" s="249"/>
      <c r="FC123" s="249"/>
      <c r="FF123" s="249"/>
      <c r="FI123" s="249"/>
      <c r="FL123" s="249"/>
      <c r="FO123" s="249"/>
      <c r="FR123" s="249"/>
      <c r="FU123" s="249"/>
      <c r="FX123" s="249"/>
      <c r="GA123" s="249"/>
      <c r="GD123" s="249"/>
      <c r="GG123" s="249"/>
      <c r="GJ123" s="249"/>
      <c r="GM123" s="249"/>
      <c r="GP123" s="249"/>
      <c r="GS123" s="249"/>
      <c r="GV123" s="249"/>
      <c r="GY123" s="249"/>
      <c r="HB123" s="249"/>
      <c r="HE123" s="249"/>
    </row>
    <row r="124" spans="1:213" x14ac:dyDescent="0.2">
      <c r="A124" s="263" t="s">
        <v>199</v>
      </c>
      <c r="B124" s="283">
        <v>1</v>
      </c>
      <c r="C124" s="249" t="s">
        <v>30</v>
      </c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W124" s="249"/>
      <c r="Z124" s="249"/>
      <c r="AC124" s="249"/>
      <c r="AD124" s="249"/>
      <c r="AE124" s="249"/>
      <c r="AF124" s="249"/>
      <c r="AG124" s="249"/>
      <c r="AJ124" s="249"/>
      <c r="AM124" s="249"/>
      <c r="AP124" s="249"/>
      <c r="AS124" s="249"/>
      <c r="AV124" s="249"/>
      <c r="AY124" s="249"/>
      <c r="BB124" s="249"/>
      <c r="BE124" s="249"/>
      <c r="BH124" s="249"/>
      <c r="BK124" s="249"/>
      <c r="BN124" s="249"/>
      <c r="BQ124" s="249"/>
      <c r="BT124" s="249"/>
      <c r="BW124" s="249"/>
      <c r="BZ124" s="249"/>
      <c r="CC124" s="249"/>
      <c r="CF124" s="249"/>
      <c r="CI124" s="249"/>
      <c r="CL124" s="249"/>
      <c r="CO124" s="249"/>
      <c r="CR124" s="249"/>
      <c r="CU124" s="249"/>
      <c r="CX124" s="249"/>
      <c r="DA124" s="249"/>
      <c r="DD124" s="249"/>
      <c r="DG124" s="249"/>
      <c r="DJ124" s="249"/>
      <c r="DM124" s="249"/>
      <c r="DP124" s="249"/>
      <c r="DS124" s="249"/>
      <c r="DV124" s="249"/>
      <c r="DY124" s="249"/>
      <c r="EB124" s="249"/>
      <c r="EE124" s="249"/>
      <c r="EH124" s="249"/>
      <c r="EK124" s="249"/>
      <c r="EN124" s="249"/>
      <c r="EQ124" s="249"/>
      <c r="ET124" s="249"/>
      <c r="EW124" s="249"/>
      <c r="EZ124" s="249"/>
      <c r="FC124" s="249"/>
      <c r="FF124" s="249"/>
      <c r="FI124" s="249"/>
      <c r="FL124" s="249"/>
      <c r="FO124" s="249"/>
      <c r="FR124" s="249"/>
      <c r="FU124" s="249"/>
      <c r="FX124" s="249"/>
      <c r="GA124" s="249"/>
      <c r="GD124" s="249"/>
      <c r="GG124" s="249"/>
      <c r="GJ124" s="249"/>
      <c r="GM124" s="249"/>
      <c r="GP124" s="249"/>
      <c r="GS124" s="249"/>
      <c r="GV124" s="249"/>
      <c r="GY124" s="249"/>
      <c r="HB124" s="249"/>
      <c r="HE124" s="249"/>
    </row>
    <row r="125" spans="1:213" x14ac:dyDescent="0.2">
      <c r="A125" s="249" t="s">
        <v>193</v>
      </c>
      <c r="B125" s="283">
        <v>1</v>
      </c>
      <c r="C125" s="249" t="s">
        <v>283</v>
      </c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W125" s="249"/>
      <c r="Z125" s="249"/>
      <c r="AC125" s="249"/>
      <c r="AD125" s="249"/>
      <c r="AE125" s="249"/>
      <c r="AF125" s="249"/>
      <c r="AG125" s="249"/>
      <c r="AJ125" s="249"/>
      <c r="AM125" s="249"/>
      <c r="AP125" s="249"/>
      <c r="AS125" s="249"/>
      <c r="AV125" s="249"/>
      <c r="AY125" s="249"/>
      <c r="BB125" s="249"/>
      <c r="BE125" s="249"/>
      <c r="BH125" s="249"/>
      <c r="BK125" s="249"/>
      <c r="BN125" s="249"/>
      <c r="BQ125" s="249"/>
      <c r="BT125" s="249"/>
      <c r="BW125" s="249"/>
      <c r="BZ125" s="249"/>
      <c r="CC125" s="249"/>
      <c r="CF125" s="249"/>
      <c r="CI125" s="249"/>
      <c r="CL125" s="249"/>
      <c r="CO125" s="249"/>
      <c r="CR125" s="249"/>
      <c r="CU125" s="249"/>
      <c r="CX125" s="249"/>
      <c r="DA125" s="249"/>
      <c r="DD125" s="249"/>
      <c r="DG125" s="249"/>
      <c r="DJ125" s="249"/>
      <c r="DM125" s="249"/>
      <c r="DP125" s="249"/>
      <c r="DS125" s="249"/>
      <c r="DV125" s="249"/>
      <c r="DY125" s="249"/>
      <c r="EB125" s="249"/>
      <c r="EE125" s="249"/>
      <c r="EH125" s="249"/>
      <c r="EK125" s="249"/>
      <c r="EN125" s="249"/>
      <c r="EQ125" s="249"/>
      <c r="ET125" s="249"/>
      <c r="EW125" s="249"/>
      <c r="EZ125" s="249"/>
      <c r="FC125" s="249"/>
      <c r="FF125" s="249"/>
      <c r="FI125" s="249"/>
      <c r="FL125" s="249"/>
      <c r="FO125" s="249"/>
      <c r="FR125" s="249"/>
      <c r="FU125" s="249"/>
      <c r="FX125" s="249"/>
      <c r="GA125" s="249"/>
      <c r="GD125" s="249"/>
      <c r="GG125" s="249"/>
      <c r="GJ125" s="249"/>
      <c r="GM125" s="249"/>
      <c r="GP125" s="249"/>
      <c r="GS125" s="249"/>
      <c r="GV125" s="249"/>
      <c r="GY125" s="249"/>
      <c r="HB125" s="249"/>
      <c r="HE125" s="249"/>
    </row>
    <row r="126" spans="1:213" x14ac:dyDescent="0.2">
      <c r="A126" s="249" t="s">
        <v>196</v>
      </c>
      <c r="B126" s="283">
        <v>1</v>
      </c>
      <c r="C126" s="249" t="s">
        <v>283</v>
      </c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W126" s="249"/>
      <c r="Z126" s="249"/>
      <c r="AC126" s="249"/>
      <c r="AD126" s="249"/>
      <c r="AE126" s="249"/>
      <c r="AF126" s="249"/>
      <c r="AG126" s="249"/>
      <c r="AJ126" s="249"/>
      <c r="AM126" s="249"/>
      <c r="AP126" s="249"/>
      <c r="AS126" s="249"/>
      <c r="AV126" s="249"/>
      <c r="AY126" s="249"/>
      <c r="BB126" s="249"/>
      <c r="BE126" s="249"/>
      <c r="BH126" s="249"/>
      <c r="BK126" s="249"/>
      <c r="BN126" s="249"/>
      <c r="BQ126" s="249"/>
      <c r="BT126" s="249"/>
      <c r="BW126" s="249"/>
      <c r="BZ126" s="249"/>
      <c r="CC126" s="249"/>
      <c r="CF126" s="249"/>
      <c r="CI126" s="249"/>
      <c r="CL126" s="249"/>
      <c r="CO126" s="249"/>
      <c r="CR126" s="249"/>
      <c r="CU126" s="249"/>
      <c r="CX126" s="249"/>
      <c r="DA126" s="249"/>
      <c r="DD126" s="249"/>
      <c r="DG126" s="249"/>
      <c r="DJ126" s="249"/>
      <c r="DM126" s="249"/>
      <c r="DP126" s="249"/>
      <c r="DS126" s="249"/>
      <c r="DV126" s="249"/>
      <c r="DY126" s="249"/>
      <c r="EB126" s="249"/>
      <c r="EE126" s="249"/>
      <c r="EH126" s="249"/>
      <c r="EK126" s="249"/>
      <c r="EN126" s="249"/>
      <c r="EQ126" s="249"/>
      <c r="ET126" s="249"/>
      <c r="EW126" s="249"/>
      <c r="EZ126" s="249"/>
      <c r="FC126" s="249"/>
      <c r="FF126" s="249"/>
      <c r="FI126" s="249"/>
      <c r="FL126" s="249"/>
      <c r="FO126" s="249"/>
      <c r="FR126" s="249"/>
      <c r="FU126" s="249"/>
      <c r="FX126" s="249"/>
      <c r="GA126" s="249"/>
      <c r="GD126" s="249"/>
      <c r="GG126" s="249"/>
      <c r="GJ126" s="249"/>
      <c r="GM126" s="249"/>
      <c r="GP126" s="249"/>
      <c r="GS126" s="249"/>
      <c r="GV126" s="249"/>
      <c r="GY126" s="249"/>
      <c r="HB126" s="249"/>
      <c r="HE126" s="249"/>
    </row>
    <row r="127" spans="1:213" x14ac:dyDescent="0.2">
      <c r="A127" s="268" t="s">
        <v>197</v>
      </c>
      <c r="B127" s="283">
        <v>1</v>
      </c>
      <c r="C127" s="249" t="s">
        <v>47</v>
      </c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W127" s="249"/>
      <c r="Z127" s="249"/>
      <c r="AC127" s="249"/>
      <c r="AD127" s="249"/>
      <c r="AE127" s="249"/>
      <c r="AF127" s="249"/>
      <c r="AG127" s="249"/>
      <c r="AJ127" s="249"/>
      <c r="AM127" s="249"/>
      <c r="AP127" s="249"/>
      <c r="AS127" s="249"/>
      <c r="AV127" s="249"/>
      <c r="AY127" s="249"/>
      <c r="BB127" s="249"/>
      <c r="BE127" s="249"/>
      <c r="BH127" s="249"/>
      <c r="BK127" s="249"/>
      <c r="BN127" s="249"/>
      <c r="BQ127" s="249"/>
      <c r="BT127" s="249"/>
      <c r="BW127" s="249"/>
      <c r="BZ127" s="249"/>
      <c r="CC127" s="249"/>
      <c r="CF127" s="249"/>
      <c r="CI127" s="249"/>
      <c r="CL127" s="249"/>
      <c r="CO127" s="249"/>
      <c r="CR127" s="249"/>
      <c r="CU127" s="249"/>
      <c r="CX127" s="249"/>
      <c r="DA127" s="249"/>
      <c r="DD127" s="249"/>
      <c r="DG127" s="249"/>
      <c r="DJ127" s="249"/>
      <c r="DM127" s="249"/>
      <c r="DP127" s="249"/>
      <c r="DS127" s="249"/>
      <c r="DV127" s="249"/>
      <c r="DY127" s="249"/>
      <c r="EB127" s="249"/>
      <c r="EE127" s="249"/>
      <c r="EH127" s="249"/>
      <c r="EK127" s="249"/>
      <c r="EN127" s="249"/>
      <c r="EQ127" s="249"/>
      <c r="ET127" s="249"/>
      <c r="EW127" s="249"/>
      <c r="EZ127" s="249"/>
      <c r="FC127" s="249"/>
      <c r="FF127" s="249"/>
      <c r="FI127" s="249"/>
      <c r="FL127" s="249"/>
      <c r="FO127" s="249"/>
      <c r="FR127" s="249"/>
      <c r="FU127" s="249"/>
      <c r="FX127" s="249"/>
      <c r="GA127" s="249"/>
      <c r="GD127" s="249"/>
      <c r="GG127" s="249"/>
      <c r="GJ127" s="249"/>
      <c r="GM127" s="249"/>
      <c r="GP127" s="249"/>
      <c r="GS127" s="249"/>
      <c r="GV127" s="249"/>
      <c r="GY127" s="249"/>
      <c r="HB127" s="249"/>
      <c r="HE127" s="249"/>
    </row>
    <row r="128" spans="1:213" x14ac:dyDescent="0.2">
      <c r="A128" s="262" t="s">
        <v>198</v>
      </c>
      <c r="B128" s="283">
        <v>1</v>
      </c>
      <c r="C128" s="249" t="s">
        <v>47</v>
      </c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W128" s="249"/>
      <c r="Z128" s="249"/>
      <c r="AC128" s="249"/>
      <c r="AD128" s="249"/>
      <c r="AE128" s="249"/>
      <c r="AF128" s="249"/>
      <c r="AG128" s="249"/>
      <c r="AJ128" s="249"/>
      <c r="AM128" s="249"/>
      <c r="AP128" s="249"/>
      <c r="AS128" s="249"/>
      <c r="AV128" s="249"/>
      <c r="AY128" s="249"/>
      <c r="BB128" s="249"/>
      <c r="BE128" s="249"/>
      <c r="BH128" s="249"/>
      <c r="BK128" s="249"/>
      <c r="BN128" s="249"/>
      <c r="BQ128" s="249"/>
      <c r="BT128" s="249"/>
      <c r="BW128" s="249"/>
      <c r="BZ128" s="249"/>
      <c r="CC128" s="249"/>
      <c r="CF128" s="249"/>
      <c r="CI128" s="249"/>
      <c r="CL128" s="249"/>
      <c r="CO128" s="249"/>
      <c r="CR128" s="249"/>
      <c r="CU128" s="249"/>
      <c r="CX128" s="249"/>
      <c r="DA128" s="249"/>
      <c r="DD128" s="249"/>
      <c r="DG128" s="249"/>
      <c r="DJ128" s="249"/>
      <c r="DM128" s="249"/>
      <c r="DP128" s="249"/>
      <c r="DS128" s="249"/>
      <c r="DV128" s="249"/>
      <c r="DY128" s="249"/>
      <c r="EB128" s="249"/>
      <c r="EE128" s="249"/>
      <c r="EH128" s="249"/>
      <c r="EK128" s="249"/>
      <c r="EN128" s="249"/>
      <c r="EQ128" s="249"/>
      <c r="ET128" s="249"/>
      <c r="EW128" s="249"/>
      <c r="EZ128" s="249"/>
      <c r="FC128" s="249"/>
      <c r="FF128" s="249"/>
      <c r="FI128" s="249"/>
      <c r="FL128" s="249"/>
      <c r="FO128" s="249"/>
      <c r="FR128" s="249"/>
      <c r="FU128" s="249"/>
      <c r="FX128" s="249"/>
      <c r="GA128" s="249"/>
      <c r="GD128" s="249"/>
      <c r="GG128" s="249"/>
      <c r="GJ128" s="249"/>
      <c r="GM128" s="249"/>
      <c r="GP128" s="249"/>
      <c r="GS128" s="249"/>
      <c r="GV128" s="249"/>
      <c r="GY128" s="249"/>
      <c r="HB128" s="249"/>
      <c r="HE128" s="249"/>
    </row>
    <row r="129" spans="1:213" x14ac:dyDescent="0.2">
      <c r="A129" s="263" t="s">
        <v>200</v>
      </c>
      <c r="B129" s="283">
        <v>1</v>
      </c>
      <c r="C129" s="249" t="s">
        <v>30</v>
      </c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W129" s="249"/>
      <c r="Z129" s="249"/>
      <c r="AC129" s="249"/>
      <c r="AD129" s="249"/>
      <c r="AE129" s="249"/>
      <c r="AF129" s="249"/>
      <c r="AG129" s="249"/>
      <c r="AJ129" s="249"/>
      <c r="AM129" s="249"/>
      <c r="AP129" s="249"/>
      <c r="AS129" s="249"/>
      <c r="AV129" s="249"/>
      <c r="AY129" s="249"/>
      <c r="BB129" s="249"/>
      <c r="BE129" s="249"/>
      <c r="BH129" s="249"/>
      <c r="BK129" s="249"/>
      <c r="BN129" s="249"/>
      <c r="BQ129" s="249"/>
      <c r="BT129" s="249"/>
      <c r="BW129" s="249"/>
      <c r="BZ129" s="249"/>
      <c r="CC129" s="249"/>
      <c r="CF129" s="249"/>
      <c r="CI129" s="249"/>
      <c r="CL129" s="249"/>
      <c r="CO129" s="249"/>
      <c r="CR129" s="249"/>
      <c r="CU129" s="249"/>
      <c r="CX129" s="249"/>
      <c r="DA129" s="249"/>
      <c r="DD129" s="249"/>
      <c r="DG129" s="249"/>
      <c r="DJ129" s="249"/>
      <c r="DM129" s="249"/>
      <c r="DP129" s="249"/>
      <c r="DS129" s="249"/>
      <c r="DV129" s="249"/>
      <c r="DY129" s="249"/>
      <c r="EB129" s="249"/>
      <c r="EE129" s="249"/>
      <c r="EH129" s="249"/>
      <c r="EK129" s="249"/>
      <c r="EN129" s="249"/>
      <c r="EQ129" s="249"/>
      <c r="ET129" s="249"/>
      <c r="EW129" s="249"/>
      <c r="EZ129" s="249"/>
      <c r="FC129" s="249"/>
      <c r="FF129" s="249"/>
      <c r="FI129" s="249"/>
      <c r="FL129" s="249"/>
      <c r="FO129" s="249"/>
      <c r="FR129" s="249"/>
      <c r="FU129" s="249"/>
      <c r="FX129" s="249"/>
      <c r="GA129" s="249"/>
      <c r="GD129" s="249"/>
      <c r="GG129" s="249"/>
      <c r="GJ129" s="249"/>
      <c r="GM129" s="249"/>
      <c r="GP129" s="249"/>
      <c r="GS129" s="249"/>
      <c r="GV129" s="249"/>
      <c r="GY129" s="249"/>
      <c r="HB129" s="249"/>
      <c r="HE129" s="249"/>
    </row>
    <row r="130" spans="1:213" x14ac:dyDescent="0.2">
      <c r="A130" s="262" t="s">
        <v>255</v>
      </c>
      <c r="B130" s="284">
        <v>1</v>
      </c>
      <c r="C130" s="249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W130" s="249"/>
      <c r="Z130" s="249"/>
      <c r="AC130" s="249"/>
      <c r="AD130" s="249"/>
      <c r="AE130" s="249"/>
      <c r="AF130" s="249"/>
      <c r="AG130" s="249"/>
      <c r="AJ130" s="249"/>
      <c r="AM130" s="249"/>
      <c r="AP130" s="249"/>
      <c r="AS130" s="249"/>
      <c r="AV130" s="249"/>
      <c r="AY130" s="249"/>
      <c r="BB130" s="249"/>
      <c r="BE130" s="249"/>
      <c r="BH130" s="249"/>
      <c r="BK130" s="249"/>
      <c r="BN130" s="249"/>
      <c r="BQ130" s="249"/>
      <c r="BT130" s="249"/>
      <c r="BW130" s="249"/>
      <c r="BZ130" s="249"/>
      <c r="CC130" s="249"/>
      <c r="CF130" s="249"/>
      <c r="CI130" s="249"/>
      <c r="CL130" s="249"/>
      <c r="CO130" s="249"/>
      <c r="CR130" s="249"/>
      <c r="CU130" s="249"/>
      <c r="CX130" s="249"/>
      <c r="DA130" s="249"/>
      <c r="DD130" s="249"/>
      <c r="DG130" s="249"/>
      <c r="DJ130" s="249"/>
      <c r="DM130" s="249"/>
      <c r="DP130" s="249"/>
      <c r="DS130" s="249"/>
      <c r="DV130" s="249"/>
      <c r="DY130" s="249"/>
      <c r="EB130" s="249"/>
      <c r="EE130" s="249"/>
      <c r="EH130" s="249"/>
      <c r="EK130" s="249"/>
      <c r="EN130" s="249"/>
      <c r="EQ130" s="249"/>
      <c r="ET130" s="249"/>
      <c r="EW130" s="249"/>
      <c r="EZ130" s="249"/>
      <c r="FC130" s="249"/>
      <c r="FF130" s="249"/>
      <c r="FI130" s="249"/>
      <c r="FL130" s="249"/>
      <c r="FO130" s="249"/>
      <c r="FR130" s="249"/>
      <c r="FU130" s="249"/>
      <c r="FX130" s="249"/>
      <c r="GA130" s="249"/>
      <c r="GD130" s="249"/>
      <c r="GG130" s="249"/>
      <c r="GJ130" s="249"/>
      <c r="GM130" s="249"/>
      <c r="GP130" s="249"/>
      <c r="GS130" s="249"/>
      <c r="GV130" s="249"/>
      <c r="GY130" s="249"/>
      <c r="HB130" s="249"/>
      <c r="HE130" s="249"/>
    </row>
    <row r="131" spans="1:213" x14ac:dyDescent="0.2">
      <c r="A131" s="249" t="s">
        <v>83</v>
      </c>
      <c r="B131" s="284">
        <v>0.5</v>
      </c>
      <c r="C131" s="249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W131" s="249"/>
      <c r="Z131" s="249"/>
      <c r="AC131" s="249"/>
      <c r="AD131" s="249"/>
      <c r="AE131" s="249"/>
      <c r="AF131" s="249"/>
      <c r="AG131" s="249"/>
      <c r="AJ131" s="249"/>
      <c r="AM131" s="249"/>
      <c r="AP131" s="249"/>
      <c r="AS131" s="249"/>
      <c r="AV131" s="249"/>
      <c r="AY131" s="249"/>
      <c r="BB131" s="249"/>
      <c r="BE131" s="249"/>
      <c r="BH131" s="249"/>
      <c r="BK131" s="249"/>
      <c r="BN131" s="249"/>
      <c r="BQ131" s="249"/>
      <c r="BT131" s="249"/>
      <c r="BW131" s="249"/>
      <c r="BZ131" s="249"/>
      <c r="CC131" s="249"/>
      <c r="CF131" s="249"/>
      <c r="CI131" s="249"/>
      <c r="CL131" s="249"/>
      <c r="CO131" s="249"/>
      <c r="CR131" s="249"/>
      <c r="CU131" s="249"/>
      <c r="CX131" s="249"/>
      <c r="DA131" s="249"/>
      <c r="DD131" s="249"/>
      <c r="DG131" s="249"/>
      <c r="DJ131" s="249"/>
      <c r="DM131" s="249"/>
      <c r="DP131" s="249"/>
      <c r="DS131" s="249"/>
      <c r="DV131" s="249"/>
      <c r="DY131" s="249"/>
      <c r="EB131" s="249"/>
      <c r="EE131" s="249"/>
      <c r="EH131" s="249"/>
      <c r="EK131" s="249"/>
      <c r="EN131" s="249"/>
      <c r="EQ131" s="249"/>
      <c r="ET131" s="249"/>
      <c r="EW131" s="249"/>
      <c r="EZ131" s="249"/>
      <c r="FC131" s="249"/>
      <c r="FF131" s="249"/>
      <c r="FI131" s="249"/>
      <c r="FL131" s="249"/>
      <c r="FO131" s="249"/>
      <c r="FR131" s="249"/>
      <c r="FU131" s="249"/>
      <c r="FX131" s="249"/>
      <c r="GA131" s="249"/>
      <c r="GD131" s="249"/>
      <c r="GG131" s="249"/>
      <c r="GJ131" s="249"/>
      <c r="GM131" s="249"/>
      <c r="GP131" s="249"/>
      <c r="GS131" s="249"/>
      <c r="GV131" s="249"/>
      <c r="GY131" s="249"/>
      <c r="HB131" s="249"/>
      <c r="HE131" s="249"/>
    </row>
    <row r="132" spans="1:213" ht="15" x14ac:dyDescent="0.2">
      <c r="A132" s="518" t="s">
        <v>180</v>
      </c>
      <c r="B132" s="518"/>
      <c r="C132" s="518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W132" s="249"/>
      <c r="Z132" s="249"/>
      <c r="AC132" s="249"/>
      <c r="AD132" s="249"/>
      <c r="AE132" s="249"/>
      <c r="AF132" s="249"/>
      <c r="AG132" s="249"/>
      <c r="AJ132" s="249"/>
      <c r="AM132" s="249"/>
      <c r="AP132" s="249"/>
      <c r="AS132" s="249"/>
      <c r="AV132" s="249"/>
      <c r="AY132" s="249"/>
      <c r="BB132" s="249"/>
      <c r="BE132" s="249"/>
      <c r="BH132" s="249"/>
      <c r="BK132" s="249"/>
      <c r="BN132" s="249"/>
      <c r="BQ132" s="249"/>
      <c r="BT132" s="249"/>
      <c r="BW132" s="249"/>
      <c r="BZ132" s="249"/>
      <c r="CC132" s="249"/>
      <c r="CF132" s="249"/>
      <c r="CI132" s="249"/>
      <c r="CL132" s="249"/>
      <c r="CO132" s="249"/>
      <c r="CR132" s="249"/>
      <c r="CU132" s="249"/>
      <c r="CX132" s="249"/>
      <c r="DA132" s="249"/>
      <c r="DD132" s="249"/>
      <c r="DG132" s="249"/>
      <c r="DJ132" s="249"/>
      <c r="DM132" s="249"/>
      <c r="DP132" s="249"/>
      <c r="DS132" s="249"/>
      <c r="DV132" s="249"/>
      <c r="DY132" s="249"/>
      <c r="EB132" s="249"/>
      <c r="EE132" s="249"/>
      <c r="EH132" s="249"/>
      <c r="EK132" s="249"/>
      <c r="EN132" s="249"/>
      <c r="EQ132" s="249"/>
      <c r="ET132" s="249"/>
      <c r="EW132" s="249"/>
      <c r="EZ132" s="249"/>
      <c r="FC132" s="249"/>
      <c r="FF132" s="249"/>
      <c r="FI132" s="249"/>
      <c r="FL132" s="249"/>
      <c r="FO132" s="249"/>
      <c r="FR132" s="249"/>
      <c r="FU132" s="249"/>
      <c r="FX132" s="249"/>
      <c r="GA132" s="249"/>
      <c r="GD132" s="249"/>
      <c r="GG132" s="249"/>
      <c r="GJ132" s="249"/>
      <c r="GM132" s="249"/>
      <c r="GP132" s="249"/>
      <c r="GS132" s="249"/>
      <c r="GV132" s="249"/>
      <c r="GY132" s="249"/>
      <c r="HB132" s="249"/>
      <c r="HE132" s="249"/>
    </row>
    <row r="133" spans="1:213" x14ac:dyDescent="0.2">
      <c r="A133" s="262" t="s">
        <v>374</v>
      </c>
      <c r="B133" s="283">
        <v>200</v>
      </c>
      <c r="C133" s="263" t="s">
        <v>54</v>
      </c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W133" s="249"/>
      <c r="Z133" s="249"/>
      <c r="AC133" s="249"/>
      <c r="AD133" s="249"/>
      <c r="AE133" s="249"/>
      <c r="AF133" s="249"/>
      <c r="AG133" s="249"/>
      <c r="AJ133" s="249"/>
      <c r="AM133" s="249"/>
      <c r="AP133" s="249"/>
      <c r="AS133" s="249"/>
      <c r="AV133" s="249"/>
      <c r="AY133" s="249"/>
      <c r="BB133" s="249"/>
      <c r="BE133" s="249"/>
      <c r="BH133" s="249"/>
      <c r="BK133" s="249"/>
      <c r="BN133" s="249"/>
      <c r="BQ133" s="249"/>
      <c r="BT133" s="249"/>
      <c r="BW133" s="249"/>
      <c r="BZ133" s="249"/>
      <c r="CC133" s="249"/>
      <c r="CF133" s="249"/>
      <c r="CI133" s="249"/>
      <c r="CL133" s="249"/>
      <c r="CO133" s="249"/>
      <c r="CR133" s="249"/>
      <c r="CU133" s="249"/>
      <c r="CX133" s="249"/>
      <c r="DA133" s="249"/>
      <c r="DD133" s="249"/>
      <c r="DG133" s="249"/>
      <c r="DJ133" s="249"/>
      <c r="DM133" s="249"/>
      <c r="DP133" s="249"/>
      <c r="DS133" s="249"/>
      <c r="DV133" s="249"/>
      <c r="DY133" s="249"/>
      <c r="EB133" s="249"/>
      <c r="EE133" s="249"/>
      <c r="EH133" s="249"/>
      <c r="EK133" s="249"/>
      <c r="EN133" s="249"/>
      <c r="EQ133" s="249"/>
      <c r="ET133" s="249"/>
      <c r="EW133" s="249"/>
      <c r="EZ133" s="249"/>
      <c r="FC133" s="249"/>
      <c r="FF133" s="249"/>
      <c r="FI133" s="249"/>
      <c r="FL133" s="249"/>
      <c r="FO133" s="249"/>
      <c r="FR133" s="249"/>
      <c r="FU133" s="249"/>
      <c r="FX133" s="249"/>
      <c r="GA133" s="249"/>
      <c r="GD133" s="249"/>
      <c r="GG133" s="249"/>
      <c r="GJ133" s="249"/>
      <c r="GM133" s="249"/>
      <c r="GP133" s="249"/>
      <c r="GS133" s="249"/>
      <c r="GV133" s="249"/>
      <c r="GY133" s="249"/>
      <c r="HB133" s="249"/>
      <c r="HE133" s="249"/>
    </row>
    <row r="134" spans="1:213" x14ac:dyDescent="0.2">
      <c r="A134" s="262" t="s">
        <v>375</v>
      </c>
      <c r="B134" s="283">
        <v>100</v>
      </c>
      <c r="C134" s="263" t="s">
        <v>54</v>
      </c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W134" s="249"/>
      <c r="Z134" s="249"/>
      <c r="AC134" s="249"/>
      <c r="AD134" s="249"/>
      <c r="AE134" s="249"/>
      <c r="AF134" s="249"/>
      <c r="AG134" s="249"/>
      <c r="AJ134" s="249"/>
      <c r="AM134" s="249"/>
      <c r="AP134" s="249"/>
      <c r="AS134" s="249"/>
      <c r="AV134" s="249"/>
      <c r="AY134" s="249"/>
      <c r="BB134" s="249"/>
      <c r="BE134" s="249"/>
      <c r="BH134" s="249"/>
      <c r="BK134" s="249"/>
      <c r="BN134" s="249"/>
      <c r="BQ134" s="249"/>
      <c r="BT134" s="249"/>
      <c r="BW134" s="249"/>
      <c r="BZ134" s="249"/>
      <c r="CC134" s="249"/>
      <c r="CF134" s="249"/>
      <c r="CI134" s="249"/>
      <c r="CL134" s="249"/>
      <c r="CO134" s="249"/>
      <c r="CR134" s="249"/>
      <c r="CU134" s="249"/>
      <c r="CX134" s="249"/>
      <c r="DA134" s="249"/>
      <c r="DD134" s="249"/>
      <c r="DG134" s="249"/>
      <c r="DJ134" s="249"/>
      <c r="DM134" s="249"/>
      <c r="DP134" s="249"/>
      <c r="DS134" s="249"/>
      <c r="DV134" s="249"/>
      <c r="DY134" s="249"/>
      <c r="EB134" s="249"/>
      <c r="EE134" s="249"/>
      <c r="EH134" s="249"/>
      <c r="EK134" s="249"/>
      <c r="EN134" s="249"/>
      <c r="EQ134" s="249"/>
      <c r="ET134" s="249"/>
      <c r="EW134" s="249"/>
      <c r="EZ134" s="249"/>
      <c r="FC134" s="249"/>
      <c r="FF134" s="249"/>
      <c r="FI134" s="249"/>
      <c r="FL134" s="249"/>
      <c r="FO134" s="249"/>
      <c r="FR134" s="249"/>
      <c r="FU134" s="249"/>
      <c r="FX134" s="249"/>
      <c r="GA134" s="249"/>
      <c r="GD134" s="249"/>
      <c r="GG134" s="249"/>
      <c r="GJ134" s="249"/>
      <c r="GM134" s="249"/>
      <c r="GP134" s="249"/>
      <c r="GS134" s="249"/>
      <c r="GV134" s="249"/>
      <c r="GY134" s="249"/>
      <c r="HB134" s="249"/>
      <c r="HE134" s="249"/>
    </row>
    <row r="135" spans="1:213" x14ac:dyDescent="0.2">
      <c r="A135" s="262" t="s">
        <v>376</v>
      </c>
      <c r="B135" s="283">
        <v>10</v>
      </c>
      <c r="C135" s="267" t="s">
        <v>359</v>
      </c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W135" s="249"/>
      <c r="Z135" s="249"/>
      <c r="AC135" s="249"/>
      <c r="AD135" s="249"/>
      <c r="AE135" s="249"/>
      <c r="AF135" s="249"/>
      <c r="AG135" s="249"/>
      <c r="AJ135" s="249"/>
      <c r="AM135" s="249"/>
      <c r="AP135" s="249"/>
      <c r="AS135" s="249"/>
      <c r="AV135" s="249"/>
      <c r="AY135" s="249"/>
      <c r="BB135" s="249"/>
      <c r="BE135" s="249"/>
      <c r="BH135" s="249"/>
      <c r="BK135" s="249"/>
      <c r="BN135" s="249"/>
      <c r="BQ135" s="249"/>
      <c r="BT135" s="249"/>
      <c r="BW135" s="249"/>
      <c r="BZ135" s="249"/>
      <c r="CC135" s="249"/>
      <c r="CF135" s="249"/>
      <c r="CI135" s="249"/>
      <c r="CL135" s="249"/>
      <c r="CO135" s="249"/>
      <c r="CR135" s="249"/>
      <c r="CU135" s="249"/>
      <c r="CX135" s="249"/>
      <c r="DA135" s="249"/>
      <c r="DD135" s="249"/>
      <c r="DG135" s="249"/>
      <c r="DJ135" s="249"/>
      <c r="DM135" s="249"/>
      <c r="DP135" s="249"/>
      <c r="DS135" s="249"/>
      <c r="DV135" s="249"/>
      <c r="DY135" s="249"/>
      <c r="EB135" s="249"/>
      <c r="EE135" s="249"/>
      <c r="EH135" s="249"/>
      <c r="EK135" s="249"/>
      <c r="EN135" s="249"/>
      <c r="EQ135" s="249"/>
      <c r="ET135" s="249"/>
      <c r="EW135" s="249"/>
      <c r="EZ135" s="249"/>
      <c r="FC135" s="249"/>
      <c r="FF135" s="249"/>
      <c r="FI135" s="249"/>
      <c r="FL135" s="249"/>
      <c r="FO135" s="249"/>
      <c r="FR135" s="249"/>
      <c r="FU135" s="249"/>
      <c r="FX135" s="249"/>
      <c r="GA135" s="249"/>
      <c r="GD135" s="249"/>
      <c r="GG135" s="249"/>
      <c r="GJ135" s="249"/>
      <c r="GM135" s="249"/>
      <c r="GP135" s="249"/>
      <c r="GS135" s="249"/>
      <c r="GV135" s="249"/>
      <c r="GY135" s="249"/>
      <c r="HB135" s="249"/>
      <c r="HE135" s="249"/>
    </row>
    <row r="136" spans="1:213" x14ac:dyDescent="0.2">
      <c r="A136" s="262" t="s">
        <v>377</v>
      </c>
      <c r="B136" s="283">
        <v>20</v>
      </c>
      <c r="C136" s="267" t="s">
        <v>359</v>
      </c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W136" s="249"/>
      <c r="Z136" s="249"/>
      <c r="AC136" s="249"/>
      <c r="AD136" s="249"/>
      <c r="AE136" s="249"/>
      <c r="AF136" s="249"/>
      <c r="AG136" s="249"/>
      <c r="AJ136" s="249"/>
      <c r="AM136" s="249"/>
      <c r="AP136" s="249"/>
      <c r="AS136" s="249"/>
      <c r="AV136" s="249"/>
      <c r="AY136" s="249"/>
      <c r="BB136" s="249"/>
      <c r="BE136" s="249"/>
      <c r="BH136" s="249"/>
      <c r="BK136" s="249"/>
      <c r="BN136" s="249"/>
      <c r="BQ136" s="249"/>
      <c r="BT136" s="249"/>
      <c r="BW136" s="249"/>
      <c r="BZ136" s="249"/>
      <c r="CC136" s="249"/>
      <c r="CF136" s="249"/>
      <c r="CI136" s="249"/>
      <c r="CL136" s="249"/>
      <c r="CO136" s="249"/>
      <c r="CR136" s="249"/>
      <c r="CU136" s="249"/>
      <c r="CX136" s="249"/>
      <c r="DA136" s="249"/>
      <c r="DD136" s="249"/>
      <c r="DG136" s="249"/>
      <c r="DJ136" s="249"/>
      <c r="DM136" s="249"/>
      <c r="DP136" s="249"/>
      <c r="DS136" s="249"/>
      <c r="DV136" s="249"/>
      <c r="DY136" s="249"/>
      <c r="EB136" s="249"/>
      <c r="EE136" s="249"/>
      <c r="EH136" s="249"/>
      <c r="EK136" s="249"/>
      <c r="EN136" s="249"/>
      <c r="EQ136" s="249"/>
      <c r="ET136" s="249"/>
      <c r="EW136" s="249"/>
      <c r="EZ136" s="249"/>
      <c r="FC136" s="249"/>
      <c r="FF136" s="249"/>
      <c r="FI136" s="249"/>
      <c r="FL136" s="249"/>
      <c r="FO136" s="249"/>
      <c r="FR136" s="249"/>
      <c r="FU136" s="249"/>
      <c r="FX136" s="249"/>
      <c r="GA136" s="249"/>
      <c r="GD136" s="249"/>
      <c r="GG136" s="249"/>
      <c r="GJ136" s="249"/>
      <c r="GM136" s="249"/>
      <c r="GP136" s="249"/>
      <c r="GS136" s="249"/>
      <c r="GV136" s="249"/>
      <c r="GY136" s="249"/>
      <c r="HB136" s="249"/>
      <c r="HE136" s="249"/>
    </row>
    <row r="137" spans="1:213" x14ac:dyDescent="0.2">
      <c r="A137" s="267" t="s">
        <v>378</v>
      </c>
      <c r="B137" s="284">
        <v>0.78</v>
      </c>
      <c r="C137" s="262" t="s">
        <v>30</v>
      </c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W137" s="249"/>
      <c r="Z137" s="249"/>
      <c r="AC137" s="249"/>
      <c r="AD137" s="249"/>
      <c r="AE137" s="249"/>
      <c r="AF137" s="249"/>
      <c r="AG137" s="249"/>
      <c r="AJ137" s="249"/>
      <c r="AM137" s="249"/>
      <c r="AP137" s="249"/>
      <c r="AS137" s="249"/>
      <c r="AV137" s="249"/>
      <c r="AY137" s="249"/>
      <c r="BB137" s="249"/>
      <c r="BE137" s="249"/>
      <c r="BH137" s="249"/>
      <c r="BK137" s="249"/>
      <c r="BN137" s="249"/>
      <c r="BQ137" s="249"/>
      <c r="BT137" s="249"/>
      <c r="BW137" s="249"/>
      <c r="BZ137" s="249"/>
      <c r="CC137" s="249"/>
      <c r="CF137" s="249"/>
      <c r="CI137" s="249"/>
      <c r="CL137" s="249"/>
      <c r="CO137" s="249"/>
      <c r="CR137" s="249"/>
      <c r="CU137" s="249"/>
      <c r="CX137" s="249"/>
      <c r="DA137" s="249"/>
      <c r="DD137" s="249"/>
      <c r="DG137" s="249"/>
      <c r="DJ137" s="249"/>
      <c r="DM137" s="249"/>
      <c r="DP137" s="249"/>
      <c r="DS137" s="249"/>
      <c r="DV137" s="249"/>
      <c r="DY137" s="249"/>
      <c r="EB137" s="249"/>
      <c r="EE137" s="249"/>
      <c r="EH137" s="249"/>
      <c r="EK137" s="249"/>
      <c r="EN137" s="249"/>
      <c r="EQ137" s="249"/>
      <c r="ET137" s="249"/>
      <c r="EW137" s="249"/>
      <c r="EZ137" s="249"/>
      <c r="FC137" s="249"/>
      <c r="FF137" s="249"/>
      <c r="FI137" s="249"/>
      <c r="FL137" s="249"/>
      <c r="FO137" s="249"/>
      <c r="FR137" s="249"/>
      <c r="FU137" s="249"/>
      <c r="FX137" s="249"/>
      <c r="GA137" s="249"/>
      <c r="GD137" s="249"/>
      <c r="GG137" s="249"/>
      <c r="GJ137" s="249"/>
      <c r="GM137" s="249"/>
      <c r="GP137" s="249"/>
      <c r="GS137" s="249"/>
      <c r="GV137" s="249"/>
      <c r="GY137" s="249"/>
      <c r="HB137" s="249"/>
      <c r="HE137" s="249"/>
    </row>
    <row r="138" spans="1:213" x14ac:dyDescent="0.2">
      <c r="A138" s="267" t="s">
        <v>379</v>
      </c>
      <c r="B138" s="284">
        <v>2.5</v>
      </c>
      <c r="C138" s="262" t="s">
        <v>30</v>
      </c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W138" s="249"/>
      <c r="Z138" s="249"/>
      <c r="AC138" s="249"/>
      <c r="AD138" s="249"/>
      <c r="AE138" s="249"/>
      <c r="AF138" s="249"/>
      <c r="AG138" s="249"/>
      <c r="AJ138" s="249"/>
      <c r="AM138" s="249"/>
      <c r="AP138" s="249"/>
      <c r="AS138" s="249"/>
      <c r="AV138" s="249"/>
      <c r="AY138" s="249"/>
      <c r="BB138" s="249"/>
      <c r="BE138" s="249"/>
      <c r="BH138" s="249"/>
      <c r="BK138" s="249"/>
      <c r="BN138" s="249"/>
      <c r="BQ138" s="249"/>
      <c r="BT138" s="249"/>
      <c r="BW138" s="249"/>
      <c r="BZ138" s="249"/>
      <c r="CC138" s="249"/>
      <c r="CF138" s="249"/>
      <c r="CI138" s="249"/>
      <c r="CL138" s="249"/>
      <c r="CO138" s="249"/>
      <c r="CR138" s="249"/>
      <c r="CU138" s="249"/>
      <c r="CX138" s="249"/>
      <c r="DA138" s="249"/>
      <c r="DD138" s="249"/>
      <c r="DG138" s="249"/>
      <c r="DJ138" s="249"/>
      <c r="DM138" s="249"/>
      <c r="DP138" s="249"/>
      <c r="DS138" s="249"/>
      <c r="DV138" s="249"/>
      <c r="DY138" s="249"/>
      <c r="EB138" s="249"/>
      <c r="EE138" s="249"/>
      <c r="EH138" s="249"/>
      <c r="EK138" s="249"/>
      <c r="EN138" s="249"/>
      <c r="EQ138" s="249"/>
      <c r="ET138" s="249"/>
      <c r="EW138" s="249"/>
      <c r="EZ138" s="249"/>
      <c r="FC138" s="249"/>
      <c r="FF138" s="249"/>
      <c r="FI138" s="249"/>
      <c r="FL138" s="249"/>
      <c r="FO138" s="249"/>
      <c r="FR138" s="249"/>
      <c r="FU138" s="249"/>
      <c r="FX138" s="249"/>
      <c r="GA138" s="249"/>
      <c r="GD138" s="249"/>
      <c r="GG138" s="249"/>
      <c r="GJ138" s="249"/>
      <c r="GM138" s="249"/>
      <c r="GP138" s="249"/>
      <c r="GS138" s="249"/>
      <c r="GV138" s="249"/>
      <c r="GY138" s="249"/>
      <c r="HB138" s="249"/>
      <c r="HE138" s="249"/>
    </row>
    <row r="139" spans="1:213" x14ac:dyDescent="0.2">
      <c r="A139" s="262" t="s">
        <v>380</v>
      </c>
      <c r="B139" s="283">
        <v>68.099999999999994</v>
      </c>
      <c r="C139" s="267" t="s">
        <v>254</v>
      </c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W139" s="249"/>
      <c r="Z139" s="249"/>
      <c r="AC139" s="249"/>
      <c r="AD139" s="249"/>
      <c r="AE139" s="249"/>
      <c r="AF139" s="249"/>
      <c r="AG139" s="249"/>
      <c r="AJ139" s="249"/>
      <c r="AM139" s="249"/>
      <c r="AP139" s="249"/>
      <c r="AS139" s="249"/>
      <c r="AV139" s="249"/>
      <c r="AY139" s="249"/>
      <c r="BB139" s="249"/>
      <c r="BE139" s="249"/>
      <c r="BH139" s="249"/>
      <c r="BK139" s="249"/>
      <c r="BN139" s="249"/>
      <c r="BQ139" s="249"/>
      <c r="BT139" s="249"/>
      <c r="BW139" s="249"/>
      <c r="BZ139" s="249"/>
      <c r="CC139" s="249"/>
      <c r="CF139" s="249"/>
      <c r="CI139" s="249"/>
      <c r="CL139" s="249"/>
      <c r="CO139" s="249"/>
      <c r="CR139" s="249"/>
      <c r="CU139" s="249"/>
      <c r="CX139" s="249"/>
      <c r="DA139" s="249"/>
      <c r="DD139" s="249"/>
      <c r="DG139" s="249"/>
      <c r="DJ139" s="249"/>
      <c r="DM139" s="249"/>
      <c r="DP139" s="249"/>
      <c r="DS139" s="249"/>
      <c r="DV139" s="249"/>
      <c r="DY139" s="249"/>
      <c r="EB139" s="249"/>
      <c r="EE139" s="249"/>
      <c r="EH139" s="249"/>
      <c r="EK139" s="249"/>
      <c r="EN139" s="249"/>
      <c r="EQ139" s="249"/>
      <c r="ET139" s="249"/>
      <c r="EW139" s="249"/>
      <c r="EZ139" s="249"/>
      <c r="FC139" s="249"/>
      <c r="FF139" s="249"/>
      <c r="FI139" s="249"/>
      <c r="FL139" s="249"/>
      <c r="FO139" s="249"/>
      <c r="FR139" s="249"/>
      <c r="FU139" s="249"/>
      <c r="FX139" s="249"/>
      <c r="GA139" s="249"/>
      <c r="GD139" s="249"/>
      <c r="GG139" s="249"/>
      <c r="GJ139" s="249"/>
      <c r="GM139" s="249"/>
      <c r="GP139" s="249"/>
      <c r="GS139" s="249"/>
      <c r="GV139" s="249"/>
      <c r="GY139" s="249"/>
      <c r="HB139" s="249"/>
      <c r="HE139" s="249"/>
    </row>
    <row r="140" spans="1:213" x14ac:dyDescent="0.2">
      <c r="A140" s="262" t="s">
        <v>381</v>
      </c>
      <c r="B140" s="283">
        <v>176.8</v>
      </c>
      <c r="C140" s="267" t="s">
        <v>254</v>
      </c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W140" s="249"/>
      <c r="Z140" s="249"/>
      <c r="AC140" s="249"/>
      <c r="AD140" s="249"/>
      <c r="AE140" s="249"/>
      <c r="AF140" s="249"/>
      <c r="AG140" s="249"/>
      <c r="AJ140" s="249"/>
      <c r="AM140" s="249"/>
      <c r="AP140" s="249"/>
      <c r="AS140" s="249"/>
      <c r="AV140" s="249"/>
      <c r="AY140" s="249"/>
      <c r="BB140" s="249"/>
      <c r="BE140" s="249"/>
      <c r="BH140" s="249"/>
      <c r="BK140" s="249"/>
      <c r="BN140" s="249"/>
      <c r="BQ140" s="249"/>
      <c r="BT140" s="249"/>
      <c r="BW140" s="249"/>
      <c r="BZ140" s="249"/>
      <c r="CC140" s="249"/>
      <c r="CF140" s="249"/>
      <c r="CI140" s="249"/>
      <c r="CL140" s="249"/>
      <c r="CO140" s="249"/>
      <c r="CR140" s="249"/>
      <c r="CU140" s="249"/>
      <c r="CX140" s="249"/>
      <c r="DA140" s="249"/>
      <c r="DD140" s="249"/>
      <c r="DG140" s="249"/>
      <c r="DJ140" s="249"/>
      <c r="DM140" s="249"/>
      <c r="DP140" s="249"/>
      <c r="DS140" s="249"/>
      <c r="DV140" s="249"/>
      <c r="DY140" s="249"/>
      <c r="EB140" s="249"/>
      <c r="EE140" s="249"/>
      <c r="EH140" s="249"/>
      <c r="EK140" s="249"/>
      <c r="EN140" s="249"/>
      <c r="EQ140" s="249"/>
      <c r="ET140" s="249"/>
      <c r="EW140" s="249"/>
      <c r="EZ140" s="249"/>
      <c r="FC140" s="249"/>
      <c r="FF140" s="249"/>
      <c r="FI140" s="249"/>
      <c r="FL140" s="249"/>
      <c r="FO140" s="249"/>
      <c r="FR140" s="249"/>
      <c r="FU140" s="249"/>
      <c r="FX140" s="249"/>
      <c r="GA140" s="249"/>
      <c r="GD140" s="249"/>
      <c r="GG140" s="249"/>
      <c r="GJ140" s="249"/>
      <c r="GM140" s="249"/>
      <c r="GP140" s="249"/>
      <c r="GS140" s="249"/>
      <c r="GV140" s="249"/>
      <c r="GY140" s="249"/>
      <c r="HB140" s="249"/>
      <c r="HE140" s="249"/>
    </row>
    <row r="141" spans="1:213" x14ac:dyDescent="0.2">
      <c r="A141" s="262" t="s">
        <v>382</v>
      </c>
      <c r="B141" s="283">
        <v>41.7</v>
      </c>
      <c r="C141" s="267" t="s">
        <v>254</v>
      </c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W141" s="249"/>
      <c r="Z141" s="249"/>
      <c r="AC141" s="249"/>
      <c r="AD141" s="249"/>
      <c r="AE141" s="249"/>
      <c r="AF141" s="249"/>
      <c r="AG141" s="249"/>
      <c r="AJ141" s="249"/>
      <c r="AM141" s="249"/>
      <c r="AP141" s="249"/>
      <c r="AS141" s="249"/>
      <c r="AV141" s="249"/>
      <c r="AY141" s="249"/>
      <c r="BB141" s="249"/>
      <c r="BE141" s="249"/>
      <c r="BH141" s="249"/>
      <c r="BK141" s="249"/>
      <c r="BN141" s="249"/>
      <c r="BQ141" s="249"/>
      <c r="BT141" s="249"/>
      <c r="BW141" s="249"/>
      <c r="BZ141" s="249"/>
      <c r="CC141" s="249"/>
      <c r="CF141" s="249"/>
      <c r="CI141" s="249"/>
      <c r="CL141" s="249"/>
      <c r="CO141" s="249"/>
      <c r="CR141" s="249"/>
      <c r="CU141" s="249"/>
      <c r="CX141" s="249"/>
      <c r="DA141" s="249"/>
      <c r="DD141" s="249"/>
      <c r="DG141" s="249"/>
      <c r="DJ141" s="249"/>
      <c r="DM141" s="249"/>
      <c r="DP141" s="249"/>
      <c r="DS141" s="249"/>
      <c r="DV141" s="249"/>
      <c r="DY141" s="249"/>
      <c r="EB141" s="249"/>
      <c r="EE141" s="249"/>
      <c r="EH141" s="249"/>
      <c r="EK141" s="249"/>
      <c r="EN141" s="249"/>
      <c r="EQ141" s="249"/>
      <c r="ET141" s="249"/>
      <c r="EW141" s="249"/>
      <c r="EZ141" s="249"/>
      <c r="FC141" s="249"/>
      <c r="FF141" s="249"/>
      <c r="FI141" s="249"/>
      <c r="FL141" s="249"/>
      <c r="FO141" s="249"/>
      <c r="FR141" s="249"/>
      <c r="FU141" s="249"/>
      <c r="FX141" s="249"/>
      <c r="GA141" s="249"/>
      <c r="GD141" s="249"/>
      <c r="GG141" s="249"/>
      <c r="GJ141" s="249"/>
      <c r="GM141" s="249"/>
      <c r="GP141" s="249"/>
      <c r="GS141" s="249"/>
      <c r="GV141" s="249"/>
      <c r="GY141" s="249"/>
      <c r="HB141" s="249"/>
      <c r="HE141" s="249"/>
    </row>
    <row r="142" spans="1:213" x14ac:dyDescent="0.2">
      <c r="A142" s="262" t="s">
        <v>383</v>
      </c>
      <c r="B142" s="283">
        <v>125.7</v>
      </c>
      <c r="C142" s="267" t="s">
        <v>254</v>
      </c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W142" s="249"/>
      <c r="Z142" s="249"/>
      <c r="AC142" s="249"/>
      <c r="AD142" s="249"/>
      <c r="AE142" s="249"/>
      <c r="AF142" s="249"/>
      <c r="AG142" s="249"/>
      <c r="AJ142" s="249"/>
      <c r="AM142" s="249"/>
      <c r="AP142" s="249"/>
      <c r="AS142" s="249"/>
      <c r="AV142" s="249"/>
      <c r="AY142" s="249"/>
      <c r="BB142" s="249"/>
      <c r="BE142" s="249"/>
      <c r="BH142" s="249"/>
      <c r="BK142" s="249"/>
      <c r="BN142" s="249"/>
      <c r="BQ142" s="249"/>
      <c r="BT142" s="249"/>
      <c r="BW142" s="249"/>
      <c r="BZ142" s="249"/>
      <c r="CC142" s="249"/>
      <c r="CF142" s="249"/>
      <c r="CI142" s="249"/>
      <c r="CL142" s="249"/>
      <c r="CO142" s="249"/>
      <c r="CR142" s="249"/>
      <c r="CU142" s="249"/>
      <c r="CX142" s="249"/>
      <c r="DA142" s="249"/>
      <c r="DD142" s="249"/>
      <c r="DG142" s="249"/>
      <c r="DJ142" s="249"/>
      <c r="DM142" s="249"/>
      <c r="DP142" s="249"/>
      <c r="DS142" s="249"/>
      <c r="DV142" s="249"/>
      <c r="DY142" s="249"/>
      <c r="EB142" s="249"/>
      <c r="EE142" s="249"/>
      <c r="EH142" s="249"/>
      <c r="EK142" s="249"/>
      <c r="EN142" s="249"/>
      <c r="EQ142" s="249"/>
      <c r="ET142" s="249"/>
      <c r="EW142" s="249"/>
      <c r="EZ142" s="249"/>
      <c r="FC142" s="249"/>
      <c r="FF142" s="249"/>
      <c r="FI142" s="249"/>
      <c r="FL142" s="249"/>
      <c r="FO142" s="249"/>
      <c r="FR142" s="249"/>
      <c r="FU142" s="249"/>
      <c r="FX142" s="249"/>
      <c r="GA142" s="249"/>
      <c r="GD142" s="249"/>
      <c r="GG142" s="249"/>
      <c r="GJ142" s="249"/>
      <c r="GM142" s="249"/>
      <c r="GP142" s="249"/>
      <c r="GS142" s="249"/>
      <c r="GV142" s="249"/>
      <c r="GY142" s="249"/>
      <c r="HB142" s="249"/>
      <c r="HE142" s="249"/>
    </row>
    <row r="143" spans="1:213" x14ac:dyDescent="0.2">
      <c r="A143" s="262" t="s">
        <v>479</v>
      </c>
      <c r="B143" s="283">
        <v>349.5</v>
      </c>
      <c r="C143" s="267" t="s">
        <v>254</v>
      </c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W143" s="249"/>
      <c r="Z143" s="249"/>
      <c r="AC143" s="249"/>
      <c r="AD143" s="249"/>
      <c r="AE143" s="249"/>
      <c r="AF143" s="249"/>
      <c r="AG143" s="249"/>
      <c r="AJ143" s="249"/>
      <c r="AM143" s="249"/>
      <c r="AP143" s="249"/>
      <c r="AS143" s="249"/>
      <c r="AV143" s="249"/>
      <c r="AY143" s="249"/>
      <c r="BB143" s="249"/>
      <c r="BE143" s="249"/>
      <c r="BH143" s="249"/>
      <c r="BK143" s="249"/>
      <c r="BN143" s="249"/>
      <c r="BQ143" s="249"/>
      <c r="BT143" s="249"/>
      <c r="BW143" s="249"/>
      <c r="BZ143" s="249"/>
      <c r="CC143" s="249"/>
      <c r="CF143" s="249"/>
      <c r="CI143" s="249"/>
      <c r="CL143" s="249"/>
      <c r="CO143" s="249"/>
      <c r="CR143" s="249"/>
      <c r="CU143" s="249"/>
      <c r="CX143" s="249"/>
      <c r="DA143" s="249"/>
      <c r="DD143" s="249"/>
      <c r="DG143" s="249"/>
      <c r="DJ143" s="249"/>
      <c r="DM143" s="249"/>
      <c r="DP143" s="249"/>
      <c r="DS143" s="249"/>
      <c r="DV143" s="249"/>
      <c r="DY143" s="249"/>
      <c r="EB143" s="249"/>
      <c r="EE143" s="249"/>
      <c r="EH143" s="249"/>
      <c r="EK143" s="249"/>
      <c r="EN143" s="249"/>
      <c r="EQ143" s="249"/>
      <c r="ET143" s="249"/>
      <c r="EW143" s="249"/>
      <c r="EZ143" s="249"/>
      <c r="FC143" s="249"/>
      <c r="FF143" s="249"/>
      <c r="FI143" s="249"/>
      <c r="FL143" s="249"/>
      <c r="FO143" s="249"/>
      <c r="FR143" s="249"/>
      <c r="FU143" s="249"/>
      <c r="FX143" s="249"/>
      <c r="GA143" s="249"/>
      <c r="GD143" s="249"/>
      <c r="GG143" s="249"/>
      <c r="GJ143" s="249"/>
      <c r="GM143" s="249"/>
      <c r="GP143" s="249"/>
      <c r="GS143" s="249"/>
      <c r="GV143" s="249"/>
      <c r="GY143" s="249"/>
      <c r="HB143" s="249"/>
      <c r="HE143" s="249"/>
    </row>
    <row r="144" spans="1:213" x14ac:dyDescent="0.2">
      <c r="A144" s="262" t="s">
        <v>480</v>
      </c>
      <c r="B144" s="283">
        <v>445.6</v>
      </c>
      <c r="C144" s="267" t="s">
        <v>254</v>
      </c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W144" s="249"/>
      <c r="Z144" s="249"/>
      <c r="AC144" s="249"/>
      <c r="AD144" s="249"/>
      <c r="AE144" s="249"/>
      <c r="AF144" s="249"/>
      <c r="AG144" s="249"/>
      <c r="AJ144" s="249"/>
      <c r="AM144" s="249"/>
      <c r="AP144" s="249"/>
      <c r="AS144" s="249"/>
      <c r="AV144" s="249"/>
      <c r="AY144" s="249"/>
      <c r="BB144" s="249"/>
      <c r="BE144" s="249"/>
      <c r="BH144" s="249"/>
      <c r="BK144" s="249"/>
      <c r="BN144" s="249"/>
      <c r="BQ144" s="249"/>
      <c r="BT144" s="249"/>
      <c r="BW144" s="249"/>
      <c r="BZ144" s="249"/>
      <c r="CC144" s="249"/>
      <c r="CF144" s="249"/>
      <c r="CI144" s="249"/>
      <c r="CL144" s="249"/>
      <c r="CO144" s="249"/>
      <c r="CR144" s="249"/>
      <c r="CU144" s="249"/>
      <c r="CX144" s="249"/>
      <c r="DA144" s="249"/>
      <c r="DD144" s="249"/>
      <c r="DG144" s="249"/>
      <c r="DJ144" s="249"/>
      <c r="DM144" s="249"/>
      <c r="DP144" s="249"/>
      <c r="DS144" s="249"/>
      <c r="DV144" s="249"/>
      <c r="DY144" s="249"/>
      <c r="EB144" s="249"/>
      <c r="EE144" s="249"/>
      <c r="EH144" s="249"/>
      <c r="EK144" s="249"/>
      <c r="EN144" s="249"/>
      <c r="EQ144" s="249"/>
      <c r="ET144" s="249"/>
      <c r="EW144" s="249"/>
      <c r="EZ144" s="249"/>
      <c r="FC144" s="249"/>
      <c r="FF144" s="249"/>
      <c r="FI144" s="249"/>
      <c r="FL144" s="249"/>
      <c r="FO144" s="249"/>
      <c r="FR144" s="249"/>
      <c r="FU144" s="249"/>
      <c r="FX144" s="249"/>
      <c r="GA144" s="249"/>
      <c r="GD144" s="249"/>
      <c r="GG144" s="249"/>
      <c r="GJ144" s="249"/>
      <c r="GM144" s="249"/>
      <c r="GP144" s="249"/>
      <c r="GS144" s="249"/>
      <c r="GV144" s="249"/>
      <c r="GY144" s="249"/>
      <c r="HB144" s="249"/>
      <c r="HE144" s="249"/>
    </row>
    <row r="145" spans="1:213" x14ac:dyDescent="0.2">
      <c r="A145" s="262" t="s">
        <v>481</v>
      </c>
      <c r="B145" s="283">
        <v>40.1</v>
      </c>
      <c r="C145" s="267" t="s">
        <v>254</v>
      </c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W145" s="249"/>
      <c r="Z145" s="249"/>
      <c r="AC145" s="249"/>
      <c r="AD145" s="249"/>
      <c r="AE145" s="249"/>
      <c r="AF145" s="249"/>
      <c r="AG145" s="249"/>
      <c r="AJ145" s="249"/>
      <c r="AM145" s="249"/>
      <c r="AP145" s="249"/>
      <c r="AS145" s="249"/>
      <c r="AV145" s="249"/>
      <c r="AY145" s="249"/>
      <c r="BB145" s="249"/>
      <c r="BE145" s="249"/>
      <c r="BH145" s="249"/>
      <c r="BK145" s="249"/>
      <c r="BN145" s="249"/>
      <c r="BQ145" s="249"/>
      <c r="BT145" s="249"/>
      <c r="BW145" s="249"/>
      <c r="BZ145" s="249"/>
      <c r="CC145" s="249"/>
      <c r="CF145" s="249"/>
      <c r="CI145" s="249"/>
      <c r="CL145" s="249"/>
      <c r="CO145" s="249"/>
      <c r="CR145" s="249"/>
      <c r="CU145" s="249"/>
      <c r="CX145" s="249"/>
      <c r="DA145" s="249"/>
      <c r="DD145" s="249"/>
      <c r="DG145" s="249"/>
      <c r="DJ145" s="249"/>
      <c r="DM145" s="249"/>
      <c r="DP145" s="249"/>
      <c r="DS145" s="249"/>
      <c r="DV145" s="249"/>
      <c r="DY145" s="249"/>
      <c r="EB145" s="249"/>
      <c r="EE145" s="249"/>
      <c r="EH145" s="249"/>
      <c r="EK145" s="249"/>
      <c r="EN145" s="249"/>
      <c r="EQ145" s="249"/>
      <c r="ET145" s="249"/>
      <c r="EW145" s="249"/>
      <c r="EZ145" s="249"/>
      <c r="FC145" s="249"/>
      <c r="FF145" s="249"/>
      <c r="FI145" s="249"/>
      <c r="FL145" s="249"/>
      <c r="FO145" s="249"/>
      <c r="FR145" s="249"/>
      <c r="FU145" s="249"/>
      <c r="FX145" s="249"/>
      <c r="GA145" s="249"/>
      <c r="GD145" s="249"/>
      <c r="GG145" s="249"/>
      <c r="GJ145" s="249"/>
      <c r="GM145" s="249"/>
      <c r="GP145" s="249"/>
      <c r="GS145" s="249"/>
      <c r="GV145" s="249"/>
      <c r="GY145" s="249"/>
      <c r="HB145" s="249"/>
      <c r="HE145" s="249"/>
    </row>
    <row r="146" spans="1:213" x14ac:dyDescent="0.2">
      <c r="A146" s="262" t="s">
        <v>482</v>
      </c>
      <c r="B146" s="283">
        <v>178</v>
      </c>
      <c r="C146" s="267" t="s">
        <v>254</v>
      </c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W146" s="249"/>
      <c r="Z146" s="249"/>
      <c r="AC146" s="249"/>
      <c r="AD146" s="249"/>
      <c r="AE146" s="249"/>
      <c r="AF146" s="249"/>
      <c r="AG146" s="249"/>
      <c r="AJ146" s="249"/>
      <c r="AM146" s="249"/>
      <c r="AP146" s="249"/>
      <c r="AS146" s="249"/>
      <c r="AV146" s="249"/>
      <c r="AY146" s="249"/>
      <c r="BB146" s="249"/>
      <c r="BE146" s="249"/>
      <c r="BH146" s="249"/>
      <c r="BK146" s="249"/>
      <c r="BN146" s="249"/>
      <c r="BQ146" s="249"/>
      <c r="BT146" s="249"/>
      <c r="BW146" s="249"/>
      <c r="BZ146" s="249"/>
      <c r="CC146" s="249"/>
      <c r="CF146" s="249"/>
      <c r="CI146" s="249"/>
      <c r="CL146" s="249"/>
      <c r="CO146" s="249"/>
      <c r="CR146" s="249"/>
      <c r="CU146" s="249"/>
      <c r="CX146" s="249"/>
      <c r="DA146" s="249"/>
      <c r="DD146" s="249"/>
      <c r="DG146" s="249"/>
      <c r="DJ146" s="249"/>
      <c r="DM146" s="249"/>
      <c r="DP146" s="249"/>
      <c r="DS146" s="249"/>
      <c r="DV146" s="249"/>
      <c r="DY146" s="249"/>
      <c r="EB146" s="249"/>
      <c r="EE146" s="249"/>
      <c r="EH146" s="249"/>
      <c r="EK146" s="249"/>
      <c r="EN146" s="249"/>
      <c r="EQ146" s="249"/>
      <c r="ET146" s="249"/>
      <c r="EW146" s="249"/>
      <c r="EZ146" s="249"/>
      <c r="FC146" s="249"/>
      <c r="FF146" s="249"/>
      <c r="FI146" s="249"/>
      <c r="FL146" s="249"/>
      <c r="FO146" s="249"/>
      <c r="FR146" s="249"/>
      <c r="FU146" s="249"/>
      <c r="FX146" s="249"/>
      <c r="GA146" s="249"/>
      <c r="GD146" s="249"/>
      <c r="GG146" s="249"/>
      <c r="GJ146" s="249"/>
      <c r="GM146" s="249"/>
      <c r="GP146" s="249"/>
      <c r="GS146" s="249"/>
      <c r="GV146" s="249"/>
      <c r="GY146" s="249"/>
      <c r="HB146" s="249"/>
      <c r="HE146" s="249"/>
    </row>
    <row r="147" spans="1:213" x14ac:dyDescent="0.2">
      <c r="A147" s="262" t="s">
        <v>326</v>
      </c>
      <c r="B147" s="283">
        <v>10.95</v>
      </c>
      <c r="C147" s="262" t="s">
        <v>254</v>
      </c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W147" s="249"/>
      <c r="Z147" s="249"/>
      <c r="AC147" s="249"/>
      <c r="AD147" s="249"/>
      <c r="AE147" s="249"/>
      <c r="AF147" s="249"/>
      <c r="AG147" s="249"/>
      <c r="AJ147" s="249"/>
      <c r="AM147" s="249"/>
      <c r="AP147" s="249"/>
      <c r="AS147" s="249"/>
      <c r="AV147" s="249"/>
      <c r="AY147" s="249"/>
      <c r="BB147" s="249"/>
      <c r="BE147" s="249"/>
      <c r="BH147" s="249"/>
      <c r="BK147" s="249"/>
      <c r="BN147" s="249"/>
      <c r="BQ147" s="249"/>
      <c r="BT147" s="249"/>
      <c r="BW147" s="249"/>
      <c r="BZ147" s="249"/>
      <c r="CC147" s="249"/>
      <c r="CF147" s="249"/>
      <c r="CI147" s="249"/>
      <c r="CL147" s="249"/>
      <c r="CO147" s="249"/>
      <c r="CR147" s="249"/>
      <c r="CU147" s="249"/>
      <c r="CX147" s="249"/>
      <c r="DA147" s="249"/>
      <c r="DD147" s="249"/>
      <c r="DG147" s="249"/>
      <c r="DJ147" s="249"/>
      <c r="DM147" s="249"/>
      <c r="DP147" s="249"/>
      <c r="DS147" s="249"/>
      <c r="DV147" s="249"/>
      <c r="DY147" s="249"/>
      <c r="EB147" s="249"/>
      <c r="EE147" s="249"/>
      <c r="EH147" s="249"/>
      <c r="EK147" s="249"/>
      <c r="EN147" s="249"/>
      <c r="EQ147" s="249"/>
      <c r="ET147" s="249"/>
      <c r="EW147" s="249"/>
      <c r="EZ147" s="249"/>
      <c r="FC147" s="249"/>
      <c r="FF147" s="249"/>
      <c r="FI147" s="249"/>
      <c r="FL147" s="249"/>
      <c r="FO147" s="249"/>
      <c r="FR147" s="249"/>
      <c r="FU147" s="249"/>
      <c r="FX147" s="249"/>
      <c r="GA147" s="249"/>
      <c r="GD147" s="249"/>
      <c r="GG147" s="249"/>
      <c r="GJ147" s="249"/>
      <c r="GM147" s="249"/>
      <c r="GP147" s="249"/>
      <c r="GS147" s="249"/>
      <c r="GV147" s="249"/>
      <c r="GY147" s="249"/>
      <c r="HB147" s="249"/>
      <c r="HE147" s="249"/>
    </row>
    <row r="148" spans="1:213" x14ac:dyDescent="0.2">
      <c r="A148" s="262" t="s">
        <v>327</v>
      </c>
      <c r="B148" s="283">
        <v>53.4</v>
      </c>
      <c r="C148" s="262" t="s">
        <v>254</v>
      </c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W148" s="249"/>
      <c r="Z148" s="249"/>
      <c r="AC148" s="249"/>
      <c r="AD148" s="249"/>
      <c r="AE148" s="249"/>
      <c r="AF148" s="249"/>
      <c r="AG148" s="249"/>
      <c r="AJ148" s="249"/>
      <c r="AM148" s="249"/>
      <c r="AP148" s="249"/>
      <c r="AS148" s="249"/>
      <c r="AV148" s="249"/>
      <c r="AY148" s="249"/>
      <c r="BB148" s="249"/>
      <c r="BE148" s="249"/>
      <c r="BH148" s="249"/>
      <c r="BK148" s="249"/>
      <c r="BN148" s="249"/>
      <c r="BQ148" s="249"/>
      <c r="BT148" s="249"/>
      <c r="BW148" s="249"/>
      <c r="BZ148" s="249"/>
      <c r="CC148" s="249"/>
      <c r="CF148" s="249"/>
      <c r="CI148" s="249"/>
      <c r="CL148" s="249"/>
      <c r="CO148" s="249"/>
      <c r="CR148" s="249"/>
      <c r="CU148" s="249"/>
      <c r="CX148" s="249"/>
      <c r="DA148" s="249"/>
      <c r="DD148" s="249"/>
      <c r="DG148" s="249"/>
      <c r="DJ148" s="249"/>
      <c r="DM148" s="249"/>
      <c r="DP148" s="249"/>
      <c r="DS148" s="249"/>
      <c r="DV148" s="249"/>
      <c r="DY148" s="249"/>
      <c r="EB148" s="249"/>
      <c r="EE148" s="249"/>
      <c r="EH148" s="249"/>
      <c r="EK148" s="249"/>
      <c r="EN148" s="249"/>
      <c r="EQ148" s="249"/>
      <c r="ET148" s="249"/>
      <c r="EW148" s="249"/>
      <c r="EZ148" s="249"/>
      <c r="FC148" s="249"/>
      <c r="FF148" s="249"/>
      <c r="FI148" s="249"/>
      <c r="FL148" s="249"/>
      <c r="FO148" s="249"/>
      <c r="FR148" s="249"/>
      <c r="FU148" s="249"/>
      <c r="FX148" s="249"/>
      <c r="GA148" s="249"/>
      <c r="GD148" s="249"/>
      <c r="GG148" s="249"/>
      <c r="GJ148" s="249"/>
      <c r="GM148" s="249"/>
      <c r="GP148" s="249"/>
      <c r="GS148" s="249"/>
      <c r="GV148" s="249"/>
      <c r="GY148" s="249"/>
      <c r="HB148" s="249"/>
      <c r="HE148" s="249"/>
    </row>
    <row r="149" spans="1:213" x14ac:dyDescent="0.2">
      <c r="A149" s="262" t="s">
        <v>483</v>
      </c>
      <c r="B149" s="283">
        <v>32.799999999999997</v>
      </c>
      <c r="C149" s="267" t="s">
        <v>254</v>
      </c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W149" s="249"/>
      <c r="Z149" s="249"/>
      <c r="AC149" s="249"/>
      <c r="AD149" s="249"/>
      <c r="AE149" s="249"/>
      <c r="AF149" s="249"/>
      <c r="AG149" s="249"/>
      <c r="AJ149" s="249"/>
      <c r="AM149" s="249"/>
      <c r="AP149" s="249"/>
      <c r="AS149" s="249"/>
      <c r="AV149" s="249"/>
      <c r="AY149" s="249"/>
      <c r="BB149" s="249"/>
      <c r="BE149" s="249"/>
      <c r="BH149" s="249"/>
      <c r="BK149" s="249"/>
      <c r="BN149" s="249"/>
      <c r="BQ149" s="249"/>
      <c r="BT149" s="249"/>
      <c r="BW149" s="249"/>
      <c r="BZ149" s="249"/>
      <c r="CC149" s="249"/>
      <c r="CF149" s="249"/>
      <c r="CI149" s="249"/>
      <c r="CL149" s="249"/>
      <c r="CO149" s="249"/>
      <c r="CR149" s="249"/>
      <c r="CU149" s="249"/>
      <c r="CX149" s="249"/>
      <c r="DA149" s="249"/>
      <c r="DD149" s="249"/>
      <c r="DG149" s="249"/>
      <c r="DJ149" s="249"/>
      <c r="DM149" s="249"/>
      <c r="DP149" s="249"/>
      <c r="DS149" s="249"/>
      <c r="DV149" s="249"/>
      <c r="DY149" s="249"/>
      <c r="EB149" s="249"/>
      <c r="EE149" s="249"/>
      <c r="EH149" s="249"/>
      <c r="EK149" s="249"/>
      <c r="EN149" s="249"/>
      <c r="EQ149" s="249"/>
      <c r="ET149" s="249"/>
      <c r="EW149" s="249"/>
      <c r="EZ149" s="249"/>
      <c r="FC149" s="249"/>
      <c r="FF149" s="249"/>
      <c r="FI149" s="249"/>
      <c r="FL149" s="249"/>
      <c r="FO149" s="249"/>
      <c r="FR149" s="249"/>
      <c r="FU149" s="249"/>
      <c r="FX149" s="249"/>
      <c r="GA149" s="249"/>
      <c r="GD149" s="249"/>
      <c r="GG149" s="249"/>
      <c r="GJ149" s="249"/>
      <c r="GM149" s="249"/>
      <c r="GP149" s="249"/>
      <c r="GS149" s="249"/>
      <c r="GV149" s="249"/>
      <c r="GY149" s="249"/>
      <c r="HB149" s="249"/>
      <c r="HE149" s="249"/>
    </row>
    <row r="150" spans="1:213" x14ac:dyDescent="0.2">
      <c r="A150" s="262" t="s">
        <v>484</v>
      </c>
      <c r="B150" s="283">
        <v>155.4</v>
      </c>
      <c r="C150" s="267" t="s">
        <v>254</v>
      </c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W150" s="249"/>
      <c r="Z150" s="249"/>
      <c r="AC150" s="249"/>
      <c r="AD150" s="249"/>
      <c r="AE150" s="249"/>
      <c r="AF150" s="249"/>
      <c r="AG150" s="249"/>
      <c r="AJ150" s="249"/>
      <c r="AM150" s="249"/>
      <c r="AP150" s="249"/>
      <c r="AS150" s="249"/>
      <c r="AV150" s="249"/>
      <c r="AY150" s="249"/>
      <c r="BB150" s="249"/>
      <c r="BE150" s="249"/>
      <c r="BH150" s="249"/>
      <c r="BK150" s="249"/>
      <c r="BN150" s="249"/>
      <c r="BQ150" s="249"/>
      <c r="BT150" s="249"/>
      <c r="BW150" s="249"/>
      <c r="BZ150" s="249"/>
      <c r="CC150" s="249"/>
      <c r="CF150" s="249"/>
      <c r="CI150" s="249"/>
      <c r="CL150" s="249"/>
      <c r="CO150" s="249"/>
      <c r="CR150" s="249"/>
      <c r="CU150" s="249"/>
      <c r="CX150" s="249"/>
      <c r="DA150" s="249"/>
      <c r="DD150" s="249"/>
      <c r="DG150" s="249"/>
      <c r="DJ150" s="249"/>
      <c r="DM150" s="249"/>
      <c r="DP150" s="249"/>
      <c r="DS150" s="249"/>
      <c r="DV150" s="249"/>
      <c r="DY150" s="249"/>
      <c r="EB150" s="249"/>
      <c r="EE150" s="249"/>
      <c r="EH150" s="249"/>
      <c r="EK150" s="249"/>
      <c r="EN150" s="249"/>
      <c r="EQ150" s="249"/>
      <c r="ET150" s="249"/>
      <c r="EW150" s="249"/>
      <c r="EZ150" s="249"/>
      <c r="FC150" s="249"/>
      <c r="FF150" s="249"/>
      <c r="FI150" s="249"/>
      <c r="FL150" s="249"/>
      <c r="FO150" s="249"/>
      <c r="FR150" s="249"/>
      <c r="FU150" s="249"/>
      <c r="FX150" s="249"/>
      <c r="GA150" s="249"/>
      <c r="GD150" s="249"/>
      <c r="GG150" s="249"/>
      <c r="GJ150" s="249"/>
      <c r="GM150" s="249"/>
      <c r="GP150" s="249"/>
      <c r="GS150" s="249"/>
      <c r="GV150" s="249"/>
      <c r="GY150" s="249"/>
      <c r="HB150" s="249"/>
      <c r="HE150" s="249"/>
    </row>
    <row r="151" spans="1:213" x14ac:dyDescent="0.2">
      <c r="A151" s="262" t="s">
        <v>324</v>
      </c>
      <c r="B151" s="283">
        <v>23.6</v>
      </c>
      <c r="C151" s="262" t="s">
        <v>254</v>
      </c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W151" s="249"/>
      <c r="Z151" s="249"/>
      <c r="AC151" s="249"/>
      <c r="AD151" s="249"/>
      <c r="AE151" s="249"/>
      <c r="AF151" s="249"/>
      <c r="AG151" s="249"/>
      <c r="AJ151" s="249"/>
      <c r="AM151" s="249"/>
      <c r="AP151" s="249"/>
      <c r="AS151" s="249"/>
      <c r="AV151" s="249"/>
      <c r="AY151" s="249"/>
      <c r="BB151" s="249"/>
      <c r="BE151" s="249"/>
      <c r="BH151" s="249"/>
      <c r="BK151" s="249"/>
      <c r="BN151" s="249"/>
      <c r="BQ151" s="249"/>
      <c r="BT151" s="249"/>
      <c r="BW151" s="249"/>
      <c r="BZ151" s="249"/>
      <c r="CC151" s="249"/>
      <c r="CF151" s="249"/>
      <c r="CI151" s="249"/>
      <c r="CL151" s="249"/>
      <c r="CO151" s="249"/>
      <c r="CR151" s="249"/>
      <c r="CU151" s="249"/>
      <c r="CX151" s="249"/>
      <c r="DA151" s="249"/>
      <c r="DD151" s="249"/>
      <c r="DG151" s="249"/>
      <c r="DJ151" s="249"/>
      <c r="DM151" s="249"/>
      <c r="DP151" s="249"/>
      <c r="DS151" s="249"/>
      <c r="DV151" s="249"/>
      <c r="DY151" s="249"/>
      <c r="EB151" s="249"/>
      <c r="EE151" s="249"/>
      <c r="EH151" s="249"/>
      <c r="EK151" s="249"/>
      <c r="EN151" s="249"/>
      <c r="EQ151" s="249"/>
      <c r="ET151" s="249"/>
      <c r="EW151" s="249"/>
      <c r="EZ151" s="249"/>
      <c r="FC151" s="249"/>
      <c r="FF151" s="249"/>
      <c r="FI151" s="249"/>
      <c r="FL151" s="249"/>
      <c r="FO151" s="249"/>
      <c r="FR151" s="249"/>
      <c r="FU151" s="249"/>
      <c r="FX151" s="249"/>
      <c r="GA151" s="249"/>
      <c r="GD151" s="249"/>
      <c r="GG151" s="249"/>
      <c r="GJ151" s="249"/>
      <c r="GM151" s="249"/>
      <c r="GP151" s="249"/>
      <c r="GS151" s="249"/>
      <c r="GV151" s="249"/>
      <c r="GY151" s="249"/>
      <c r="HB151" s="249"/>
      <c r="HE151" s="249"/>
    </row>
    <row r="152" spans="1:213" x14ac:dyDescent="0.2">
      <c r="A152" s="262" t="s">
        <v>325</v>
      </c>
      <c r="B152" s="283">
        <v>106.6</v>
      </c>
      <c r="C152" s="262" t="s">
        <v>254</v>
      </c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W152" s="249"/>
      <c r="Z152" s="249"/>
      <c r="AC152" s="249"/>
      <c r="AD152" s="249"/>
      <c r="AE152" s="249"/>
      <c r="AF152" s="249"/>
      <c r="AG152" s="249"/>
      <c r="AJ152" s="249"/>
      <c r="AM152" s="249"/>
      <c r="AP152" s="249"/>
      <c r="AS152" s="249"/>
      <c r="AV152" s="249"/>
      <c r="AY152" s="249"/>
      <c r="BB152" s="249"/>
      <c r="BE152" s="249"/>
      <c r="BH152" s="249"/>
      <c r="BK152" s="249"/>
      <c r="BN152" s="249"/>
      <c r="BQ152" s="249"/>
      <c r="BT152" s="249"/>
      <c r="BW152" s="249"/>
      <c r="BZ152" s="249"/>
      <c r="CC152" s="249"/>
      <c r="CF152" s="249"/>
      <c r="CI152" s="249"/>
      <c r="CL152" s="249"/>
      <c r="CO152" s="249"/>
      <c r="CR152" s="249"/>
      <c r="CU152" s="249"/>
      <c r="CX152" s="249"/>
      <c r="DA152" s="249"/>
      <c r="DD152" s="249"/>
      <c r="DG152" s="249"/>
      <c r="DJ152" s="249"/>
      <c r="DM152" s="249"/>
      <c r="DP152" s="249"/>
      <c r="DS152" s="249"/>
      <c r="DV152" s="249"/>
      <c r="DY152" s="249"/>
      <c r="EB152" s="249"/>
      <c r="EE152" s="249"/>
      <c r="EH152" s="249"/>
      <c r="EK152" s="249"/>
      <c r="EN152" s="249"/>
      <c r="EQ152" s="249"/>
      <c r="ET152" s="249"/>
      <c r="EW152" s="249"/>
      <c r="EZ152" s="249"/>
      <c r="FC152" s="249"/>
      <c r="FF152" s="249"/>
      <c r="FI152" s="249"/>
      <c r="FL152" s="249"/>
      <c r="FO152" s="249"/>
      <c r="FR152" s="249"/>
      <c r="FU152" s="249"/>
      <c r="FX152" s="249"/>
      <c r="GA152" s="249"/>
      <c r="GD152" s="249"/>
      <c r="GG152" s="249"/>
      <c r="GJ152" s="249"/>
      <c r="GM152" s="249"/>
      <c r="GP152" s="249"/>
      <c r="GS152" s="249"/>
      <c r="GV152" s="249"/>
      <c r="GY152" s="249"/>
      <c r="HB152" s="249"/>
      <c r="HE152" s="249"/>
    </row>
    <row r="153" spans="1:213" x14ac:dyDescent="0.2">
      <c r="A153" s="262" t="s">
        <v>328</v>
      </c>
      <c r="B153" s="283">
        <v>18.5</v>
      </c>
      <c r="C153" s="262" t="s">
        <v>254</v>
      </c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W153" s="249"/>
      <c r="Z153" s="249"/>
      <c r="AC153" s="249"/>
      <c r="AD153" s="249"/>
      <c r="AE153" s="249"/>
      <c r="AF153" s="249"/>
      <c r="AG153" s="249"/>
      <c r="AJ153" s="249"/>
      <c r="AM153" s="249"/>
      <c r="AP153" s="249"/>
      <c r="AS153" s="249"/>
      <c r="AV153" s="249"/>
      <c r="AY153" s="249"/>
      <c r="BB153" s="249"/>
      <c r="BE153" s="249"/>
      <c r="BH153" s="249"/>
      <c r="BK153" s="249"/>
      <c r="BN153" s="249"/>
      <c r="BQ153" s="249"/>
      <c r="BT153" s="249"/>
      <c r="BW153" s="249"/>
      <c r="BZ153" s="249"/>
      <c r="CC153" s="249"/>
      <c r="CF153" s="249"/>
      <c r="CI153" s="249"/>
      <c r="CL153" s="249"/>
      <c r="CO153" s="249"/>
      <c r="CR153" s="249"/>
      <c r="CU153" s="249"/>
      <c r="CX153" s="249"/>
      <c r="DA153" s="249"/>
      <c r="DD153" s="249"/>
      <c r="DG153" s="249"/>
      <c r="DJ153" s="249"/>
      <c r="DM153" s="249"/>
      <c r="DP153" s="249"/>
      <c r="DS153" s="249"/>
      <c r="DV153" s="249"/>
      <c r="DY153" s="249"/>
      <c r="EB153" s="249"/>
      <c r="EE153" s="249"/>
      <c r="EH153" s="249"/>
      <c r="EK153" s="249"/>
      <c r="EN153" s="249"/>
      <c r="EQ153" s="249"/>
      <c r="ET153" s="249"/>
      <c r="EW153" s="249"/>
      <c r="EZ153" s="249"/>
      <c r="FC153" s="249"/>
      <c r="FF153" s="249"/>
      <c r="FI153" s="249"/>
      <c r="FL153" s="249"/>
      <c r="FO153" s="249"/>
      <c r="FR153" s="249"/>
      <c r="FU153" s="249"/>
      <c r="FX153" s="249"/>
      <c r="GA153" s="249"/>
      <c r="GD153" s="249"/>
      <c r="GG153" s="249"/>
      <c r="GJ153" s="249"/>
      <c r="GM153" s="249"/>
      <c r="GP153" s="249"/>
      <c r="GS153" s="249"/>
      <c r="GV153" s="249"/>
      <c r="GY153" s="249"/>
      <c r="HB153" s="249"/>
      <c r="HE153" s="249"/>
    </row>
    <row r="154" spans="1:213" x14ac:dyDescent="0.2">
      <c r="A154" s="262" t="s">
        <v>329</v>
      </c>
      <c r="B154" s="283">
        <v>97.9</v>
      </c>
      <c r="C154" s="262" t="s">
        <v>254</v>
      </c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W154" s="249"/>
      <c r="Z154" s="249"/>
      <c r="AC154" s="249"/>
      <c r="AD154" s="249"/>
      <c r="AE154" s="249"/>
      <c r="AF154" s="249"/>
      <c r="AG154" s="249"/>
      <c r="AJ154" s="249"/>
      <c r="AM154" s="249"/>
      <c r="AP154" s="249"/>
      <c r="AS154" s="249"/>
      <c r="AV154" s="249"/>
      <c r="AY154" s="249"/>
      <c r="BB154" s="249"/>
      <c r="BE154" s="249"/>
      <c r="BH154" s="249"/>
      <c r="BK154" s="249"/>
      <c r="BN154" s="249"/>
      <c r="BQ154" s="249"/>
      <c r="BT154" s="249"/>
      <c r="BW154" s="249"/>
      <c r="BZ154" s="249"/>
      <c r="CC154" s="249"/>
      <c r="CF154" s="249"/>
      <c r="CI154" s="249"/>
      <c r="CL154" s="249"/>
      <c r="CO154" s="249"/>
      <c r="CR154" s="249"/>
      <c r="CU154" s="249"/>
      <c r="CX154" s="249"/>
      <c r="DA154" s="249"/>
      <c r="DD154" s="249"/>
      <c r="DG154" s="249"/>
      <c r="DJ154" s="249"/>
      <c r="DM154" s="249"/>
      <c r="DP154" s="249"/>
      <c r="DS154" s="249"/>
      <c r="DV154" s="249"/>
      <c r="DY154" s="249"/>
      <c r="EB154" s="249"/>
      <c r="EE154" s="249"/>
      <c r="EH154" s="249"/>
      <c r="EK154" s="249"/>
      <c r="EN154" s="249"/>
      <c r="EQ154" s="249"/>
      <c r="ET154" s="249"/>
      <c r="EW154" s="249"/>
      <c r="EZ154" s="249"/>
      <c r="FC154" s="249"/>
      <c r="FF154" s="249"/>
      <c r="FI154" s="249"/>
      <c r="FL154" s="249"/>
      <c r="FO154" s="249"/>
      <c r="FR154" s="249"/>
      <c r="FU154" s="249"/>
      <c r="FX154" s="249"/>
      <c r="GA154" s="249"/>
      <c r="GD154" s="249"/>
      <c r="GG154" s="249"/>
      <c r="GJ154" s="249"/>
      <c r="GM154" s="249"/>
      <c r="GP154" s="249"/>
      <c r="GS154" s="249"/>
      <c r="GV154" s="249"/>
      <c r="GY154" s="249"/>
      <c r="HB154" s="249"/>
      <c r="HE154" s="249"/>
    </row>
    <row r="155" spans="1:213" x14ac:dyDescent="0.2">
      <c r="A155" s="262" t="s">
        <v>384</v>
      </c>
      <c r="B155" s="284">
        <v>6</v>
      </c>
      <c r="C155" s="93" t="s">
        <v>69</v>
      </c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W155" s="249"/>
      <c r="Z155" s="249"/>
      <c r="AC155" s="249"/>
      <c r="AD155" s="249"/>
      <c r="AE155" s="249"/>
      <c r="AF155" s="249"/>
      <c r="AG155" s="249"/>
      <c r="AJ155" s="249"/>
      <c r="AM155" s="249"/>
      <c r="AP155" s="249"/>
      <c r="AS155" s="249"/>
      <c r="AV155" s="249"/>
      <c r="AY155" s="249"/>
      <c r="BB155" s="249"/>
      <c r="BE155" s="249"/>
      <c r="BH155" s="249"/>
      <c r="BK155" s="249"/>
      <c r="BN155" s="249"/>
      <c r="BQ155" s="249"/>
      <c r="BT155" s="249"/>
      <c r="BW155" s="249"/>
      <c r="BZ155" s="249"/>
      <c r="CC155" s="249"/>
      <c r="CF155" s="249"/>
      <c r="CI155" s="249"/>
      <c r="CL155" s="249"/>
      <c r="CO155" s="249"/>
      <c r="CR155" s="249"/>
      <c r="CU155" s="249"/>
      <c r="CX155" s="249"/>
      <c r="DA155" s="249"/>
      <c r="DD155" s="249"/>
      <c r="DG155" s="249"/>
      <c r="DJ155" s="249"/>
      <c r="DM155" s="249"/>
      <c r="DP155" s="249"/>
      <c r="DS155" s="249"/>
      <c r="DV155" s="249"/>
      <c r="DY155" s="249"/>
      <c r="EB155" s="249"/>
      <c r="EE155" s="249"/>
      <c r="EH155" s="249"/>
      <c r="EK155" s="249"/>
      <c r="EN155" s="249"/>
      <c r="EQ155" s="249"/>
      <c r="ET155" s="249"/>
      <c r="EW155" s="249"/>
      <c r="EZ155" s="249"/>
      <c r="FC155" s="249"/>
      <c r="FF155" s="249"/>
      <c r="FI155" s="249"/>
      <c r="FL155" s="249"/>
      <c r="FO155" s="249"/>
      <c r="FR155" s="249"/>
      <c r="FU155" s="249"/>
      <c r="FX155" s="249"/>
      <c r="GA155" s="249"/>
      <c r="GD155" s="249"/>
      <c r="GG155" s="249"/>
      <c r="GJ155" s="249"/>
      <c r="GM155" s="249"/>
      <c r="GP155" s="249"/>
      <c r="GS155" s="249"/>
      <c r="GV155" s="249"/>
      <c r="GY155" s="249"/>
      <c r="HB155" s="249"/>
      <c r="HE155" s="249"/>
    </row>
    <row r="156" spans="1:213" x14ac:dyDescent="0.2">
      <c r="A156" s="262" t="s">
        <v>385</v>
      </c>
      <c r="B156" s="284">
        <v>34</v>
      </c>
      <c r="C156" s="93" t="s">
        <v>69</v>
      </c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W156" s="249"/>
      <c r="Z156" s="249"/>
      <c r="AC156" s="249"/>
      <c r="AD156" s="249"/>
      <c r="AE156" s="249"/>
      <c r="AF156" s="249"/>
      <c r="AG156" s="249"/>
      <c r="AJ156" s="249"/>
      <c r="AM156" s="249"/>
      <c r="AP156" s="249"/>
      <c r="AS156" s="249"/>
      <c r="AV156" s="249"/>
      <c r="AY156" s="249"/>
      <c r="BB156" s="249"/>
      <c r="BE156" s="249"/>
      <c r="BH156" s="249"/>
      <c r="BK156" s="249"/>
      <c r="BN156" s="249"/>
      <c r="BQ156" s="249"/>
      <c r="BT156" s="249"/>
      <c r="BW156" s="249"/>
      <c r="BZ156" s="249"/>
      <c r="CC156" s="249"/>
      <c r="CF156" s="249"/>
      <c r="CI156" s="249"/>
      <c r="CL156" s="249"/>
      <c r="CO156" s="249"/>
      <c r="CR156" s="249"/>
      <c r="CU156" s="249"/>
      <c r="CX156" s="249"/>
      <c r="DA156" s="249"/>
      <c r="DD156" s="249"/>
      <c r="DG156" s="249"/>
      <c r="DJ156" s="249"/>
      <c r="DM156" s="249"/>
      <c r="DP156" s="249"/>
      <c r="DS156" s="249"/>
      <c r="DV156" s="249"/>
      <c r="DY156" s="249"/>
      <c r="EB156" s="249"/>
      <c r="EE156" s="249"/>
      <c r="EH156" s="249"/>
      <c r="EK156" s="249"/>
      <c r="EN156" s="249"/>
      <c r="EQ156" s="249"/>
      <c r="ET156" s="249"/>
      <c r="EW156" s="249"/>
      <c r="EZ156" s="249"/>
      <c r="FC156" s="249"/>
      <c r="FF156" s="249"/>
      <c r="FI156" s="249"/>
      <c r="FL156" s="249"/>
      <c r="FO156" s="249"/>
      <c r="FR156" s="249"/>
      <c r="FU156" s="249"/>
      <c r="FX156" s="249"/>
      <c r="GA156" s="249"/>
      <c r="GD156" s="249"/>
      <c r="GG156" s="249"/>
      <c r="GJ156" s="249"/>
      <c r="GM156" s="249"/>
      <c r="GP156" s="249"/>
      <c r="GS156" s="249"/>
      <c r="GV156" s="249"/>
      <c r="GY156" s="249"/>
      <c r="HB156" s="249"/>
      <c r="HE156" s="249"/>
    </row>
    <row r="157" spans="1:213" x14ac:dyDescent="0.2">
      <c r="A157" s="262" t="s">
        <v>386</v>
      </c>
      <c r="B157" s="284">
        <v>40</v>
      </c>
      <c r="C157" s="93" t="s">
        <v>69</v>
      </c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W157" s="249"/>
      <c r="Z157" s="249"/>
      <c r="AC157" s="249"/>
      <c r="AD157" s="249"/>
      <c r="AE157" s="249"/>
      <c r="AF157" s="249"/>
      <c r="AG157" s="249"/>
      <c r="AJ157" s="249"/>
      <c r="AM157" s="249"/>
      <c r="AP157" s="249"/>
      <c r="AS157" s="249"/>
      <c r="AV157" s="249"/>
      <c r="AY157" s="249"/>
      <c r="BB157" s="249"/>
      <c r="BE157" s="249"/>
      <c r="BH157" s="249"/>
      <c r="BK157" s="249"/>
      <c r="BN157" s="249"/>
      <c r="BQ157" s="249"/>
      <c r="BT157" s="249"/>
      <c r="BW157" s="249"/>
      <c r="BZ157" s="249"/>
      <c r="CC157" s="249"/>
      <c r="CF157" s="249"/>
      <c r="CI157" s="249"/>
      <c r="CL157" s="249"/>
      <c r="CO157" s="249"/>
      <c r="CR157" s="249"/>
      <c r="CU157" s="249"/>
      <c r="CX157" s="249"/>
      <c r="DA157" s="249"/>
      <c r="DD157" s="249"/>
      <c r="DG157" s="249"/>
      <c r="DJ157" s="249"/>
      <c r="DM157" s="249"/>
      <c r="DP157" s="249"/>
      <c r="DS157" s="249"/>
      <c r="DV157" s="249"/>
      <c r="DY157" s="249"/>
      <c r="EB157" s="249"/>
      <c r="EE157" s="249"/>
      <c r="EH157" s="249"/>
      <c r="EK157" s="249"/>
      <c r="EN157" s="249"/>
      <c r="EQ157" s="249"/>
      <c r="ET157" s="249"/>
      <c r="EW157" s="249"/>
      <c r="EZ157" s="249"/>
      <c r="FC157" s="249"/>
      <c r="FF157" s="249"/>
      <c r="FI157" s="249"/>
      <c r="FL157" s="249"/>
      <c r="FO157" s="249"/>
      <c r="FR157" s="249"/>
      <c r="FU157" s="249"/>
      <c r="FX157" s="249"/>
      <c r="GA157" s="249"/>
      <c r="GD157" s="249"/>
      <c r="GG157" s="249"/>
      <c r="GJ157" s="249"/>
      <c r="GM157" s="249"/>
      <c r="GP157" s="249"/>
      <c r="GS157" s="249"/>
      <c r="GV157" s="249"/>
      <c r="GY157" s="249"/>
      <c r="HB157" s="249"/>
      <c r="HE157" s="249"/>
    </row>
    <row r="158" spans="1:213" x14ac:dyDescent="0.2">
      <c r="A158" s="262" t="s">
        <v>387</v>
      </c>
      <c r="B158" s="284">
        <v>350</v>
      </c>
      <c r="C158" s="262" t="s">
        <v>26</v>
      </c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W158" s="249"/>
      <c r="Z158" s="249"/>
      <c r="AC158" s="249"/>
      <c r="AD158" s="249"/>
      <c r="AE158" s="249"/>
      <c r="AF158" s="249"/>
      <c r="AG158" s="249"/>
      <c r="AJ158" s="249"/>
      <c r="AM158" s="249"/>
      <c r="AP158" s="249"/>
      <c r="AS158" s="249"/>
      <c r="AV158" s="249"/>
      <c r="AY158" s="249"/>
      <c r="BB158" s="249"/>
      <c r="BE158" s="249"/>
      <c r="BH158" s="249"/>
      <c r="BK158" s="249"/>
      <c r="BN158" s="249"/>
      <c r="BQ158" s="249"/>
      <c r="BT158" s="249"/>
      <c r="BW158" s="249"/>
      <c r="BZ158" s="249"/>
      <c r="CC158" s="249"/>
      <c r="CF158" s="249"/>
      <c r="CI158" s="249"/>
      <c r="CL158" s="249"/>
      <c r="CO158" s="249"/>
      <c r="CR158" s="249"/>
      <c r="CU158" s="249"/>
      <c r="CX158" s="249"/>
      <c r="DA158" s="249"/>
      <c r="DD158" s="249"/>
      <c r="DG158" s="249"/>
      <c r="DJ158" s="249"/>
      <c r="DM158" s="249"/>
      <c r="DP158" s="249"/>
      <c r="DS158" s="249"/>
      <c r="DV158" s="249"/>
      <c r="DY158" s="249"/>
      <c r="EB158" s="249"/>
      <c r="EE158" s="249"/>
      <c r="EH158" s="249"/>
      <c r="EK158" s="249"/>
      <c r="EN158" s="249"/>
      <c r="EQ158" s="249"/>
      <c r="ET158" s="249"/>
      <c r="EW158" s="249"/>
      <c r="EZ158" s="249"/>
      <c r="FC158" s="249"/>
      <c r="FF158" s="249"/>
      <c r="FI158" s="249"/>
      <c r="FL158" s="249"/>
      <c r="FO158" s="249"/>
      <c r="FR158" s="249"/>
      <c r="FU158" s="249"/>
      <c r="FX158" s="249"/>
      <c r="GA158" s="249"/>
      <c r="GD158" s="249"/>
      <c r="GG158" s="249"/>
      <c r="GJ158" s="249"/>
      <c r="GM158" s="249"/>
      <c r="GP158" s="249"/>
      <c r="GS158" s="249"/>
      <c r="GV158" s="249"/>
      <c r="GY158" s="249"/>
      <c r="HB158" s="249"/>
      <c r="HE158" s="249"/>
    </row>
    <row r="159" spans="1:213" x14ac:dyDescent="0.2">
      <c r="A159" s="262" t="s">
        <v>388</v>
      </c>
      <c r="B159" s="284">
        <v>350</v>
      </c>
      <c r="C159" s="262" t="s">
        <v>26</v>
      </c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W159" s="249"/>
      <c r="Z159" s="249"/>
      <c r="AC159" s="249"/>
      <c r="AD159" s="249"/>
      <c r="AE159" s="249"/>
      <c r="AF159" s="249"/>
      <c r="AG159" s="249"/>
      <c r="AJ159" s="249"/>
      <c r="AM159" s="249"/>
      <c r="AP159" s="249"/>
      <c r="AS159" s="249"/>
      <c r="AV159" s="249"/>
      <c r="AY159" s="249"/>
      <c r="BB159" s="249"/>
      <c r="BE159" s="249"/>
      <c r="BH159" s="249"/>
      <c r="BK159" s="249"/>
      <c r="BN159" s="249"/>
      <c r="BQ159" s="249"/>
      <c r="BT159" s="249"/>
      <c r="BW159" s="249"/>
      <c r="BZ159" s="249"/>
      <c r="CC159" s="249"/>
      <c r="CF159" s="249"/>
      <c r="CI159" s="249"/>
      <c r="CL159" s="249"/>
      <c r="CO159" s="249"/>
      <c r="CR159" s="249"/>
      <c r="CU159" s="249"/>
      <c r="CX159" s="249"/>
      <c r="DA159" s="249"/>
      <c r="DD159" s="249"/>
      <c r="DG159" s="249"/>
      <c r="DJ159" s="249"/>
      <c r="DM159" s="249"/>
      <c r="DP159" s="249"/>
      <c r="DS159" s="249"/>
      <c r="DV159" s="249"/>
      <c r="DY159" s="249"/>
      <c r="EB159" s="249"/>
      <c r="EE159" s="249"/>
      <c r="EH159" s="249"/>
      <c r="EK159" s="249"/>
      <c r="EN159" s="249"/>
      <c r="EQ159" s="249"/>
      <c r="ET159" s="249"/>
      <c r="EW159" s="249"/>
      <c r="EZ159" s="249"/>
      <c r="FC159" s="249"/>
      <c r="FF159" s="249"/>
      <c r="FI159" s="249"/>
      <c r="FL159" s="249"/>
      <c r="FO159" s="249"/>
      <c r="FR159" s="249"/>
      <c r="FU159" s="249"/>
      <c r="FX159" s="249"/>
      <c r="GA159" s="249"/>
      <c r="GD159" s="249"/>
      <c r="GG159" s="249"/>
      <c r="GJ159" s="249"/>
      <c r="GM159" s="249"/>
      <c r="GP159" s="249"/>
      <c r="GS159" s="249"/>
      <c r="GV159" s="249"/>
      <c r="GY159" s="249"/>
      <c r="HB159" s="249"/>
      <c r="HE159" s="249"/>
    </row>
    <row r="160" spans="1:213" x14ac:dyDescent="0.2">
      <c r="A160" s="262" t="s">
        <v>389</v>
      </c>
      <c r="B160" s="283">
        <v>24</v>
      </c>
      <c r="C160" s="263" t="s">
        <v>224</v>
      </c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W160" s="249"/>
      <c r="Z160" s="249"/>
      <c r="AC160" s="249"/>
      <c r="AD160" s="249"/>
      <c r="AE160" s="249"/>
      <c r="AF160" s="249"/>
      <c r="AG160" s="249"/>
      <c r="AJ160" s="249"/>
      <c r="AM160" s="249"/>
      <c r="AP160" s="249"/>
      <c r="AS160" s="249"/>
      <c r="AV160" s="249"/>
      <c r="AY160" s="249"/>
      <c r="BB160" s="249"/>
      <c r="BE160" s="249"/>
      <c r="BH160" s="249"/>
      <c r="BK160" s="249"/>
      <c r="BN160" s="249"/>
      <c r="BQ160" s="249"/>
      <c r="BT160" s="249"/>
      <c r="BW160" s="249"/>
      <c r="BZ160" s="249"/>
      <c r="CC160" s="249"/>
      <c r="CF160" s="249"/>
      <c r="CI160" s="249"/>
      <c r="CL160" s="249"/>
      <c r="CO160" s="249"/>
      <c r="CR160" s="249"/>
      <c r="CU160" s="249"/>
      <c r="CX160" s="249"/>
      <c r="DA160" s="249"/>
      <c r="DD160" s="249"/>
      <c r="DG160" s="249"/>
      <c r="DJ160" s="249"/>
      <c r="DM160" s="249"/>
      <c r="DP160" s="249"/>
      <c r="DS160" s="249"/>
      <c r="DV160" s="249"/>
      <c r="DY160" s="249"/>
      <c r="EB160" s="249"/>
      <c r="EE160" s="249"/>
      <c r="EH160" s="249"/>
      <c r="EK160" s="249"/>
      <c r="EN160" s="249"/>
      <c r="EQ160" s="249"/>
      <c r="ET160" s="249"/>
      <c r="EW160" s="249"/>
      <c r="EZ160" s="249"/>
      <c r="FC160" s="249"/>
      <c r="FF160" s="249"/>
      <c r="FI160" s="249"/>
      <c r="FL160" s="249"/>
      <c r="FO160" s="249"/>
      <c r="FR160" s="249"/>
      <c r="FU160" s="249"/>
      <c r="FX160" s="249"/>
      <c r="GA160" s="249"/>
      <c r="GD160" s="249"/>
      <c r="GG160" s="249"/>
      <c r="GJ160" s="249"/>
      <c r="GM160" s="249"/>
      <c r="GP160" s="249"/>
      <c r="GS160" s="249"/>
      <c r="GV160" s="249"/>
      <c r="GY160" s="249"/>
      <c r="HB160" s="249"/>
      <c r="HE160" s="249"/>
    </row>
    <row r="161" spans="1:213" x14ac:dyDescent="0.2">
      <c r="A161" s="262" t="s">
        <v>390</v>
      </c>
      <c r="B161" s="283">
        <v>24</v>
      </c>
      <c r="C161" s="263" t="s">
        <v>224</v>
      </c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W161" s="249"/>
      <c r="Z161" s="249"/>
      <c r="AC161" s="249"/>
      <c r="AD161" s="249"/>
      <c r="AE161" s="249"/>
      <c r="AF161" s="249"/>
      <c r="AG161" s="249"/>
      <c r="AJ161" s="249"/>
      <c r="AM161" s="249"/>
      <c r="AP161" s="249"/>
      <c r="AS161" s="249"/>
      <c r="AV161" s="249"/>
      <c r="AY161" s="249"/>
      <c r="BB161" s="249"/>
      <c r="BE161" s="249"/>
      <c r="BH161" s="249"/>
      <c r="BK161" s="249"/>
      <c r="BN161" s="249"/>
      <c r="BQ161" s="249"/>
      <c r="BT161" s="249"/>
      <c r="BW161" s="249"/>
      <c r="BZ161" s="249"/>
      <c r="CC161" s="249"/>
      <c r="CF161" s="249"/>
      <c r="CI161" s="249"/>
      <c r="CL161" s="249"/>
      <c r="CO161" s="249"/>
      <c r="CR161" s="249"/>
      <c r="CU161" s="249"/>
      <c r="CX161" s="249"/>
      <c r="DA161" s="249"/>
      <c r="DD161" s="249"/>
      <c r="DG161" s="249"/>
      <c r="DJ161" s="249"/>
      <c r="DM161" s="249"/>
      <c r="DP161" s="249"/>
      <c r="DS161" s="249"/>
      <c r="DV161" s="249"/>
      <c r="DY161" s="249"/>
      <c r="EB161" s="249"/>
      <c r="EE161" s="249"/>
      <c r="EH161" s="249"/>
      <c r="EK161" s="249"/>
      <c r="EN161" s="249"/>
      <c r="EQ161" s="249"/>
      <c r="ET161" s="249"/>
      <c r="EW161" s="249"/>
      <c r="EZ161" s="249"/>
      <c r="FC161" s="249"/>
      <c r="FF161" s="249"/>
      <c r="FI161" s="249"/>
      <c r="FL161" s="249"/>
      <c r="FO161" s="249"/>
      <c r="FR161" s="249"/>
      <c r="FU161" s="249"/>
      <c r="FX161" s="249"/>
      <c r="GA161" s="249"/>
      <c r="GD161" s="249"/>
      <c r="GG161" s="249"/>
      <c r="GJ161" s="249"/>
      <c r="GM161" s="249"/>
      <c r="GP161" s="249"/>
      <c r="GS161" s="249"/>
      <c r="GV161" s="249"/>
      <c r="GY161" s="249"/>
      <c r="HB161" s="249"/>
      <c r="HE161" s="249"/>
    </row>
    <row r="162" spans="1:213" x14ac:dyDescent="0.2">
      <c r="A162" s="262" t="s">
        <v>396</v>
      </c>
      <c r="B162" s="283">
        <v>24</v>
      </c>
      <c r="C162" s="263" t="s">
        <v>224</v>
      </c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W162" s="249"/>
      <c r="Z162" s="249"/>
      <c r="AC162" s="249"/>
      <c r="AD162" s="249"/>
      <c r="AE162" s="249"/>
      <c r="AF162" s="249"/>
      <c r="AG162" s="249"/>
      <c r="AJ162" s="249"/>
      <c r="AM162" s="249"/>
      <c r="AP162" s="249"/>
      <c r="AS162" s="249"/>
      <c r="AV162" s="249"/>
      <c r="AY162" s="249"/>
      <c r="BB162" s="249"/>
      <c r="BE162" s="249"/>
      <c r="BH162" s="249"/>
      <c r="BK162" s="249"/>
      <c r="BN162" s="249"/>
      <c r="BQ162" s="249"/>
      <c r="BT162" s="249"/>
      <c r="BW162" s="249"/>
      <c r="BZ162" s="249"/>
      <c r="CC162" s="249"/>
      <c r="CF162" s="249"/>
      <c r="CI162" s="249"/>
      <c r="CL162" s="249"/>
      <c r="CO162" s="249"/>
      <c r="CR162" s="249"/>
      <c r="CU162" s="249"/>
      <c r="CX162" s="249"/>
      <c r="DA162" s="249"/>
      <c r="DD162" s="249"/>
      <c r="DG162" s="249"/>
      <c r="DJ162" s="249"/>
      <c r="DM162" s="249"/>
      <c r="DP162" s="249"/>
      <c r="DS162" s="249"/>
      <c r="DV162" s="249"/>
      <c r="DY162" s="249"/>
      <c r="EB162" s="249"/>
      <c r="EE162" s="249"/>
      <c r="EH162" s="249"/>
      <c r="EK162" s="249"/>
      <c r="EN162" s="249"/>
      <c r="EQ162" s="249"/>
      <c r="ET162" s="249"/>
      <c r="EW162" s="249"/>
      <c r="EZ162" s="249"/>
      <c r="FC162" s="249"/>
      <c r="FF162" s="249"/>
      <c r="FI162" s="249"/>
      <c r="FL162" s="249"/>
      <c r="FO162" s="249"/>
      <c r="FR162" s="249"/>
      <c r="FU162" s="249"/>
      <c r="FX162" s="249"/>
      <c r="GA162" s="249"/>
      <c r="GD162" s="249"/>
      <c r="GG162" s="249"/>
      <c r="GJ162" s="249"/>
      <c r="GM162" s="249"/>
      <c r="GP162" s="249"/>
      <c r="GS162" s="249"/>
      <c r="GV162" s="249"/>
      <c r="GY162" s="249"/>
      <c r="HB162" s="249"/>
      <c r="HE162" s="249"/>
    </row>
    <row r="163" spans="1:213" x14ac:dyDescent="0.2">
      <c r="A163" s="249" t="s">
        <v>393</v>
      </c>
      <c r="B163" s="283">
        <v>0.54</v>
      </c>
      <c r="C163" s="267" t="s">
        <v>395</v>
      </c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W163" s="249"/>
      <c r="Z163" s="249"/>
      <c r="AC163" s="249"/>
      <c r="AD163" s="249"/>
      <c r="AE163" s="249"/>
      <c r="AF163" s="249"/>
      <c r="AG163" s="249"/>
      <c r="AJ163" s="249"/>
      <c r="AM163" s="249"/>
      <c r="AP163" s="249"/>
      <c r="AS163" s="249"/>
      <c r="AV163" s="249"/>
      <c r="AY163" s="249"/>
      <c r="BB163" s="249"/>
      <c r="BE163" s="249"/>
      <c r="BH163" s="249"/>
      <c r="BK163" s="249"/>
      <c r="BN163" s="249"/>
      <c r="BQ163" s="249"/>
      <c r="BT163" s="249"/>
      <c r="BW163" s="249"/>
      <c r="BZ163" s="249"/>
      <c r="CC163" s="249"/>
      <c r="CF163" s="249"/>
      <c r="CI163" s="249"/>
      <c r="CL163" s="249"/>
      <c r="CO163" s="249"/>
      <c r="CR163" s="249"/>
      <c r="CU163" s="249"/>
      <c r="CX163" s="249"/>
      <c r="DA163" s="249"/>
      <c r="DD163" s="249"/>
      <c r="DG163" s="249"/>
      <c r="DJ163" s="249"/>
      <c r="DM163" s="249"/>
      <c r="DP163" s="249"/>
      <c r="DS163" s="249"/>
      <c r="DV163" s="249"/>
      <c r="DY163" s="249"/>
      <c r="EB163" s="249"/>
      <c r="EE163" s="249"/>
      <c r="EH163" s="249"/>
      <c r="EK163" s="249"/>
      <c r="EN163" s="249"/>
      <c r="EQ163" s="249"/>
      <c r="ET163" s="249"/>
      <c r="EW163" s="249"/>
      <c r="EZ163" s="249"/>
      <c r="FC163" s="249"/>
      <c r="FF163" s="249"/>
      <c r="FI163" s="249"/>
      <c r="FL163" s="249"/>
      <c r="FO163" s="249"/>
      <c r="FR163" s="249"/>
      <c r="FU163" s="249"/>
      <c r="FX163" s="249"/>
      <c r="GA163" s="249"/>
      <c r="GD163" s="249"/>
      <c r="GG163" s="249"/>
      <c r="GJ163" s="249"/>
      <c r="GM163" s="249"/>
      <c r="GP163" s="249"/>
      <c r="GS163" s="249"/>
      <c r="GV163" s="249"/>
      <c r="GY163" s="249"/>
      <c r="HB163" s="249"/>
      <c r="HE163" s="249"/>
    </row>
    <row r="164" spans="1:213" x14ac:dyDescent="0.2">
      <c r="A164" s="249" t="s">
        <v>394</v>
      </c>
      <c r="B164" s="283">
        <v>0.71</v>
      </c>
      <c r="C164" s="267" t="s">
        <v>395</v>
      </c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W164" s="249"/>
      <c r="Z164" s="249"/>
      <c r="AC164" s="249"/>
      <c r="AD164" s="249"/>
      <c r="AE164" s="249"/>
      <c r="AF164" s="249"/>
      <c r="AG164" s="249"/>
      <c r="AJ164" s="249"/>
      <c r="AM164" s="249"/>
      <c r="AP164" s="249"/>
      <c r="AS164" s="249"/>
      <c r="AV164" s="249"/>
      <c r="AY164" s="249"/>
      <c r="BB164" s="249"/>
      <c r="BE164" s="249"/>
      <c r="BH164" s="249"/>
      <c r="BK164" s="249"/>
      <c r="BN164" s="249"/>
      <c r="BQ164" s="249"/>
      <c r="BT164" s="249"/>
      <c r="BW164" s="249"/>
      <c r="BZ164" s="249"/>
      <c r="CC164" s="249"/>
      <c r="CF164" s="249"/>
      <c r="CI164" s="249"/>
      <c r="CL164" s="249"/>
      <c r="CO164" s="249"/>
      <c r="CR164" s="249"/>
      <c r="CU164" s="249"/>
      <c r="CX164" s="249"/>
      <c r="DA164" s="249"/>
      <c r="DD164" s="249"/>
      <c r="DG164" s="249"/>
      <c r="DJ164" s="249"/>
      <c r="DM164" s="249"/>
      <c r="DP164" s="249"/>
      <c r="DS164" s="249"/>
      <c r="DV164" s="249"/>
      <c r="DY164" s="249"/>
      <c r="EB164" s="249"/>
      <c r="EE164" s="249"/>
      <c r="EH164" s="249"/>
      <c r="EK164" s="249"/>
      <c r="EN164" s="249"/>
      <c r="EQ164" s="249"/>
      <c r="ET164" s="249"/>
      <c r="EW164" s="249"/>
      <c r="EZ164" s="249"/>
      <c r="FC164" s="249"/>
      <c r="FF164" s="249"/>
      <c r="FI164" s="249"/>
      <c r="FL164" s="249"/>
      <c r="FO164" s="249"/>
      <c r="FR164" s="249"/>
      <c r="FU164" s="249"/>
      <c r="FX164" s="249"/>
      <c r="GA164" s="249"/>
      <c r="GD164" s="249"/>
      <c r="GG164" s="249"/>
      <c r="GJ164" s="249"/>
      <c r="GM164" s="249"/>
      <c r="GP164" s="249"/>
      <c r="GS164" s="249"/>
      <c r="GV164" s="249"/>
      <c r="GY164" s="249"/>
      <c r="HB164" s="249"/>
      <c r="HE164" s="249"/>
    </row>
    <row r="165" spans="1:213" x14ac:dyDescent="0.2">
      <c r="A165" s="262" t="s">
        <v>391</v>
      </c>
      <c r="B165" s="283">
        <v>12.167999999999999</v>
      </c>
      <c r="C165" s="263" t="s">
        <v>224</v>
      </c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W165" s="249"/>
      <c r="Z165" s="249"/>
      <c r="AC165" s="249"/>
      <c r="AD165" s="249"/>
      <c r="AE165" s="249"/>
      <c r="AF165" s="249"/>
      <c r="AG165" s="249"/>
      <c r="AJ165" s="249"/>
      <c r="AM165" s="249"/>
      <c r="AP165" s="249"/>
      <c r="AS165" s="249"/>
      <c r="AV165" s="249"/>
      <c r="AY165" s="249"/>
      <c r="BB165" s="249"/>
      <c r="BE165" s="249"/>
      <c r="BH165" s="249"/>
      <c r="BK165" s="249"/>
      <c r="BN165" s="249"/>
      <c r="BQ165" s="249"/>
      <c r="BT165" s="249"/>
      <c r="BW165" s="249"/>
      <c r="BZ165" s="249"/>
      <c r="CC165" s="249"/>
      <c r="CF165" s="249"/>
      <c r="CI165" s="249"/>
      <c r="CL165" s="249"/>
      <c r="CO165" s="249"/>
      <c r="CR165" s="249"/>
      <c r="CU165" s="249"/>
      <c r="CX165" s="249"/>
      <c r="DA165" s="249"/>
      <c r="DD165" s="249"/>
      <c r="DG165" s="249"/>
      <c r="DJ165" s="249"/>
      <c r="DM165" s="249"/>
      <c r="DP165" s="249"/>
      <c r="DS165" s="249"/>
      <c r="DV165" s="249"/>
      <c r="DY165" s="249"/>
      <c r="EB165" s="249"/>
      <c r="EE165" s="249"/>
      <c r="EH165" s="249"/>
      <c r="EK165" s="249"/>
      <c r="EN165" s="249"/>
      <c r="EQ165" s="249"/>
      <c r="ET165" s="249"/>
      <c r="EW165" s="249"/>
      <c r="EZ165" s="249"/>
      <c r="FC165" s="249"/>
      <c r="FF165" s="249"/>
      <c r="FI165" s="249"/>
      <c r="FL165" s="249"/>
      <c r="FO165" s="249"/>
      <c r="FR165" s="249"/>
      <c r="FU165" s="249"/>
      <c r="FX165" s="249"/>
      <c r="GA165" s="249"/>
      <c r="GD165" s="249"/>
      <c r="GG165" s="249"/>
      <c r="GJ165" s="249"/>
      <c r="GM165" s="249"/>
      <c r="GP165" s="249"/>
      <c r="GS165" s="249"/>
      <c r="GV165" s="249"/>
      <c r="GY165" s="249"/>
      <c r="HB165" s="249"/>
      <c r="HE165" s="249"/>
    </row>
    <row r="166" spans="1:213" x14ac:dyDescent="0.2">
      <c r="A166" s="262" t="s">
        <v>392</v>
      </c>
      <c r="B166" s="283">
        <v>10.007999999999999</v>
      </c>
      <c r="C166" s="263" t="s">
        <v>224</v>
      </c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W166" s="249"/>
      <c r="Z166" s="249"/>
      <c r="AC166" s="249"/>
      <c r="AD166" s="249"/>
      <c r="AE166" s="249"/>
      <c r="AF166" s="249"/>
      <c r="AG166" s="249"/>
      <c r="AJ166" s="249"/>
      <c r="AM166" s="249"/>
      <c r="AP166" s="249"/>
      <c r="AS166" s="249"/>
      <c r="AV166" s="249"/>
      <c r="AY166" s="249"/>
      <c r="BB166" s="249"/>
      <c r="BE166" s="249"/>
      <c r="BH166" s="249"/>
      <c r="BK166" s="249"/>
      <c r="BN166" s="249"/>
      <c r="BQ166" s="249"/>
      <c r="BT166" s="249"/>
      <c r="BW166" s="249"/>
      <c r="BZ166" s="249"/>
      <c r="CC166" s="249"/>
      <c r="CF166" s="249"/>
      <c r="CI166" s="249"/>
      <c r="CL166" s="249"/>
      <c r="CO166" s="249"/>
      <c r="CR166" s="249"/>
      <c r="CU166" s="249"/>
      <c r="CX166" s="249"/>
      <c r="DA166" s="249"/>
      <c r="DD166" s="249"/>
      <c r="DG166" s="249"/>
      <c r="DJ166" s="249"/>
      <c r="DM166" s="249"/>
      <c r="DP166" s="249"/>
      <c r="DS166" s="249"/>
      <c r="DV166" s="249"/>
      <c r="DY166" s="249"/>
      <c r="EB166" s="249"/>
      <c r="EE166" s="249"/>
      <c r="EH166" s="249"/>
      <c r="EK166" s="249"/>
      <c r="EN166" s="249"/>
      <c r="EQ166" s="249"/>
      <c r="ET166" s="249"/>
      <c r="EW166" s="249"/>
      <c r="EZ166" s="249"/>
      <c r="FC166" s="249"/>
      <c r="FF166" s="249"/>
      <c r="FI166" s="249"/>
      <c r="FL166" s="249"/>
      <c r="FO166" s="249"/>
      <c r="FR166" s="249"/>
      <c r="FU166" s="249"/>
      <c r="FX166" s="249"/>
      <c r="GA166" s="249"/>
      <c r="GD166" s="249"/>
      <c r="GG166" s="249"/>
      <c r="GJ166" s="249"/>
      <c r="GM166" s="249"/>
      <c r="GP166" s="249"/>
      <c r="GS166" s="249"/>
      <c r="GV166" s="249"/>
      <c r="GY166" s="249"/>
      <c r="HB166" s="249"/>
      <c r="HE166" s="249"/>
    </row>
    <row r="167" spans="1:213" x14ac:dyDescent="0.2">
      <c r="A167" s="262" t="s">
        <v>397</v>
      </c>
      <c r="B167" s="283">
        <v>1</v>
      </c>
      <c r="C167" s="267" t="s">
        <v>166</v>
      </c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W167" s="249"/>
      <c r="Z167" s="249"/>
      <c r="AC167" s="249"/>
      <c r="AD167" s="249"/>
      <c r="AE167" s="249"/>
      <c r="AF167" s="249"/>
      <c r="AG167" s="249"/>
      <c r="AJ167" s="249"/>
      <c r="AM167" s="249"/>
      <c r="AP167" s="249"/>
      <c r="AS167" s="249"/>
      <c r="AV167" s="249"/>
      <c r="AY167" s="249"/>
      <c r="BB167" s="249"/>
      <c r="BE167" s="249"/>
      <c r="BH167" s="249"/>
      <c r="BK167" s="249"/>
      <c r="BN167" s="249"/>
      <c r="BQ167" s="249"/>
      <c r="BT167" s="249"/>
      <c r="BW167" s="249"/>
      <c r="BZ167" s="249"/>
      <c r="CC167" s="249"/>
      <c r="CF167" s="249"/>
      <c r="CI167" s="249"/>
      <c r="CL167" s="249"/>
      <c r="CO167" s="249"/>
      <c r="CR167" s="249"/>
      <c r="CU167" s="249"/>
      <c r="CX167" s="249"/>
      <c r="DA167" s="249"/>
      <c r="DD167" s="249"/>
      <c r="DG167" s="249"/>
      <c r="DJ167" s="249"/>
      <c r="DM167" s="249"/>
      <c r="DP167" s="249"/>
      <c r="DS167" s="249"/>
      <c r="DV167" s="249"/>
      <c r="DY167" s="249"/>
      <c r="EB167" s="249"/>
      <c r="EE167" s="249"/>
      <c r="EH167" s="249"/>
      <c r="EK167" s="249"/>
      <c r="EN167" s="249"/>
      <c r="EQ167" s="249"/>
      <c r="ET167" s="249"/>
      <c r="EW167" s="249"/>
      <c r="EZ167" s="249"/>
      <c r="FC167" s="249"/>
      <c r="FF167" s="249"/>
      <c r="FI167" s="249"/>
      <c r="FL167" s="249"/>
      <c r="FO167" s="249"/>
      <c r="FR167" s="249"/>
      <c r="FU167" s="249"/>
      <c r="FX167" s="249"/>
      <c r="GA167" s="249"/>
      <c r="GD167" s="249"/>
      <c r="GG167" s="249"/>
      <c r="GJ167" s="249"/>
      <c r="GM167" s="249"/>
      <c r="GP167" s="249"/>
      <c r="GS167" s="249"/>
      <c r="GV167" s="249"/>
      <c r="GY167" s="249"/>
      <c r="HB167" s="249"/>
      <c r="HE167" s="249"/>
    </row>
    <row r="168" spans="1:213" x14ac:dyDescent="0.2">
      <c r="A168" s="262" t="s">
        <v>398</v>
      </c>
      <c r="B168" s="283">
        <v>1</v>
      </c>
      <c r="C168" s="267" t="s">
        <v>166</v>
      </c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W168" s="249"/>
      <c r="Z168" s="249"/>
      <c r="AC168" s="249"/>
      <c r="AD168" s="249"/>
      <c r="AE168" s="249"/>
      <c r="AF168" s="249"/>
      <c r="AG168" s="249"/>
      <c r="AJ168" s="249"/>
      <c r="AM168" s="249"/>
      <c r="AP168" s="249"/>
      <c r="AS168" s="249"/>
      <c r="AV168" s="249"/>
      <c r="AY168" s="249"/>
      <c r="BB168" s="249"/>
      <c r="BE168" s="249"/>
      <c r="BH168" s="249"/>
      <c r="BK168" s="249"/>
      <c r="BN168" s="249"/>
      <c r="BQ168" s="249"/>
      <c r="BT168" s="249"/>
      <c r="BW168" s="249"/>
      <c r="BZ168" s="249"/>
      <c r="CC168" s="249"/>
      <c r="CF168" s="249"/>
      <c r="CI168" s="249"/>
      <c r="CL168" s="249"/>
      <c r="CO168" s="249"/>
      <c r="CR168" s="249"/>
      <c r="CU168" s="249"/>
      <c r="CX168" s="249"/>
      <c r="DA168" s="249"/>
      <c r="DD168" s="249"/>
      <c r="DG168" s="249"/>
      <c r="DJ168" s="249"/>
      <c r="DM168" s="249"/>
      <c r="DP168" s="249"/>
      <c r="DS168" s="249"/>
      <c r="DV168" s="249"/>
      <c r="DY168" s="249"/>
      <c r="EB168" s="249"/>
      <c r="EE168" s="249"/>
      <c r="EH168" s="249"/>
      <c r="EK168" s="249"/>
      <c r="EN168" s="249"/>
      <c r="EQ168" s="249"/>
      <c r="ET168" s="249"/>
      <c r="EW168" s="249"/>
      <c r="EZ168" s="249"/>
      <c r="FC168" s="249"/>
      <c r="FF168" s="249"/>
      <c r="FI168" s="249"/>
      <c r="FL168" s="249"/>
      <c r="FO168" s="249"/>
      <c r="FR168" s="249"/>
      <c r="FU168" s="249"/>
      <c r="FX168" s="249"/>
      <c r="GA168" s="249"/>
      <c r="GD168" s="249"/>
      <c r="GG168" s="249"/>
      <c r="GJ168" s="249"/>
      <c r="GM168" s="249"/>
      <c r="GP168" s="249"/>
      <c r="GS168" s="249"/>
      <c r="GV168" s="249"/>
      <c r="GY168" s="249"/>
      <c r="HB168" s="249"/>
      <c r="HE168" s="249"/>
    </row>
    <row r="169" spans="1:213" x14ac:dyDescent="0.2">
      <c r="A169" s="262" t="s">
        <v>103</v>
      </c>
      <c r="B169" s="283">
        <v>0.4</v>
      </c>
      <c r="C169" s="247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W169" s="249"/>
      <c r="Z169" s="249"/>
      <c r="AC169" s="249"/>
      <c r="AD169" s="249"/>
      <c r="AE169" s="249"/>
      <c r="AF169" s="249"/>
      <c r="AG169" s="249"/>
      <c r="AJ169" s="249"/>
      <c r="AM169" s="249"/>
      <c r="AP169" s="249"/>
      <c r="AS169" s="249"/>
      <c r="AV169" s="249"/>
      <c r="AY169" s="249"/>
      <c r="BB169" s="249"/>
      <c r="BE169" s="249"/>
      <c r="BH169" s="249"/>
      <c r="BK169" s="249"/>
      <c r="BN169" s="249"/>
      <c r="BQ169" s="249"/>
      <c r="BT169" s="249"/>
      <c r="BW169" s="249"/>
      <c r="BZ169" s="249"/>
      <c r="CC169" s="249"/>
      <c r="CF169" s="249"/>
      <c r="CI169" s="249"/>
      <c r="CL169" s="249"/>
      <c r="CO169" s="249"/>
      <c r="CR169" s="249"/>
      <c r="CU169" s="249"/>
      <c r="CX169" s="249"/>
      <c r="DA169" s="249"/>
      <c r="DD169" s="249"/>
      <c r="DG169" s="249"/>
      <c r="DJ169" s="249"/>
      <c r="DM169" s="249"/>
      <c r="DP169" s="249"/>
      <c r="DS169" s="249"/>
      <c r="DV169" s="249"/>
      <c r="DY169" s="249"/>
      <c r="EB169" s="249"/>
      <c r="EE169" s="249"/>
      <c r="EH169" s="249"/>
      <c r="EK169" s="249"/>
      <c r="EN169" s="249"/>
      <c r="EQ169" s="249"/>
      <c r="ET169" s="249"/>
      <c r="EW169" s="249"/>
      <c r="EZ169" s="249"/>
      <c r="FC169" s="249"/>
      <c r="FF169" s="249"/>
      <c r="FI169" s="249"/>
      <c r="FL169" s="249"/>
      <c r="FO169" s="249"/>
      <c r="FR169" s="249"/>
      <c r="FU169" s="249"/>
      <c r="FX169" s="249"/>
      <c r="GA169" s="249"/>
      <c r="GD169" s="249"/>
      <c r="GG169" s="249"/>
      <c r="GJ169" s="249"/>
      <c r="GM169" s="249"/>
      <c r="GP169" s="249"/>
      <c r="GS169" s="249"/>
      <c r="GV169" s="249"/>
      <c r="GY169" s="249"/>
      <c r="HB169" s="249"/>
      <c r="HE169" s="249"/>
    </row>
    <row r="170" spans="1:213" x14ac:dyDescent="0.2">
      <c r="A170" s="262" t="s">
        <v>158</v>
      </c>
      <c r="B170" s="283">
        <v>0.4</v>
      </c>
      <c r="C170" s="247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W170" s="249"/>
      <c r="Z170" s="249"/>
      <c r="AC170" s="249"/>
      <c r="AD170" s="249"/>
      <c r="AE170" s="249"/>
      <c r="AF170" s="249"/>
      <c r="AG170" s="249"/>
      <c r="AJ170" s="249"/>
      <c r="AM170" s="249"/>
      <c r="AP170" s="249"/>
      <c r="AS170" s="249"/>
      <c r="AV170" s="249"/>
      <c r="AY170" s="249"/>
      <c r="BB170" s="249"/>
      <c r="BE170" s="249"/>
      <c r="BH170" s="249"/>
      <c r="BK170" s="249"/>
      <c r="BN170" s="249"/>
      <c r="BQ170" s="249"/>
      <c r="BT170" s="249"/>
      <c r="BW170" s="249"/>
      <c r="BZ170" s="249"/>
      <c r="CC170" s="249"/>
      <c r="CF170" s="249"/>
      <c r="CI170" s="249"/>
      <c r="CL170" s="249"/>
      <c r="CO170" s="249"/>
      <c r="CR170" s="249"/>
      <c r="CU170" s="249"/>
      <c r="CX170" s="249"/>
      <c r="DA170" s="249"/>
      <c r="DD170" s="249"/>
      <c r="DG170" s="249"/>
      <c r="DJ170" s="249"/>
      <c r="DM170" s="249"/>
      <c r="DP170" s="249"/>
      <c r="DS170" s="249"/>
      <c r="DV170" s="249"/>
      <c r="DY170" s="249"/>
      <c r="EB170" s="249"/>
      <c r="EE170" s="249"/>
      <c r="EH170" s="249"/>
      <c r="EK170" s="249"/>
      <c r="EN170" s="249"/>
      <c r="EQ170" s="249"/>
      <c r="ET170" s="249"/>
      <c r="EW170" s="249"/>
      <c r="EZ170" s="249"/>
      <c r="FC170" s="249"/>
      <c r="FF170" s="249"/>
      <c r="FI170" s="249"/>
      <c r="FL170" s="249"/>
      <c r="FO170" s="249"/>
      <c r="FR170" s="249"/>
      <c r="FU170" s="249"/>
      <c r="FX170" s="249"/>
      <c r="GA170" s="249"/>
      <c r="GD170" s="249"/>
      <c r="GG170" s="249"/>
      <c r="GJ170" s="249"/>
      <c r="GM170" s="249"/>
      <c r="GP170" s="249"/>
      <c r="GS170" s="249"/>
      <c r="GV170" s="249"/>
      <c r="GY170" s="249"/>
      <c r="HB170" s="249"/>
      <c r="HE170" s="249"/>
    </row>
    <row r="171" spans="1:213" x14ac:dyDescent="0.2">
      <c r="A171" s="262" t="s">
        <v>159</v>
      </c>
      <c r="B171" s="283">
        <v>1</v>
      </c>
      <c r="C171" s="247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W171" s="249"/>
      <c r="Z171" s="249"/>
      <c r="AC171" s="249"/>
      <c r="AD171" s="249"/>
      <c r="AE171" s="249"/>
      <c r="AF171" s="249"/>
      <c r="AG171" s="249"/>
      <c r="AJ171" s="249"/>
      <c r="AM171" s="249"/>
      <c r="AP171" s="249"/>
      <c r="AS171" s="249"/>
      <c r="AV171" s="249"/>
      <c r="AY171" s="249"/>
      <c r="BB171" s="249"/>
      <c r="BE171" s="249"/>
      <c r="BH171" s="249"/>
      <c r="BK171" s="249"/>
      <c r="BN171" s="249"/>
      <c r="BQ171" s="249"/>
      <c r="BT171" s="249"/>
      <c r="BW171" s="249"/>
      <c r="BZ171" s="249"/>
      <c r="CC171" s="249"/>
      <c r="CF171" s="249"/>
      <c r="CI171" s="249"/>
      <c r="CL171" s="249"/>
      <c r="CO171" s="249"/>
      <c r="CR171" s="249"/>
      <c r="CU171" s="249"/>
      <c r="CX171" s="249"/>
      <c r="DA171" s="249"/>
      <c r="DD171" s="249"/>
      <c r="DG171" s="249"/>
      <c r="DJ171" s="249"/>
      <c r="DM171" s="249"/>
      <c r="DP171" s="249"/>
      <c r="DS171" s="249"/>
      <c r="DV171" s="249"/>
      <c r="DY171" s="249"/>
      <c r="EB171" s="249"/>
      <c r="EE171" s="249"/>
      <c r="EH171" s="249"/>
      <c r="EK171" s="249"/>
      <c r="EN171" s="249"/>
      <c r="EQ171" s="249"/>
      <c r="ET171" s="249"/>
      <c r="EW171" s="249"/>
      <c r="EZ171" s="249"/>
      <c r="FC171" s="249"/>
      <c r="FF171" s="249"/>
      <c r="FI171" s="249"/>
      <c r="FL171" s="249"/>
      <c r="FO171" s="249"/>
      <c r="FR171" s="249"/>
      <c r="FU171" s="249"/>
      <c r="FX171" s="249"/>
      <c r="GA171" s="249"/>
      <c r="GD171" s="249"/>
      <c r="GG171" s="249"/>
      <c r="GJ171" s="249"/>
      <c r="GM171" s="249"/>
      <c r="GP171" s="249"/>
      <c r="GS171" s="249"/>
      <c r="GV171" s="249"/>
      <c r="GY171" s="249"/>
      <c r="HB171" s="249"/>
      <c r="HE171" s="249"/>
    </row>
    <row r="172" spans="1:213" x14ac:dyDescent="0.2">
      <c r="A172" s="262" t="s">
        <v>62</v>
      </c>
      <c r="B172" s="283">
        <v>1</v>
      </c>
      <c r="C172" s="247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W172" s="249"/>
      <c r="Z172" s="249"/>
      <c r="AC172" s="249"/>
      <c r="AD172" s="249"/>
      <c r="AE172" s="249"/>
      <c r="AF172" s="249"/>
      <c r="AG172" s="249"/>
      <c r="AJ172" s="249"/>
      <c r="AM172" s="249"/>
      <c r="AP172" s="249"/>
      <c r="AS172" s="249"/>
      <c r="AV172" s="249"/>
      <c r="AY172" s="249"/>
      <c r="BB172" s="249"/>
      <c r="BE172" s="249"/>
      <c r="BH172" s="249"/>
      <c r="BK172" s="249"/>
      <c r="BN172" s="249"/>
      <c r="BQ172" s="249"/>
      <c r="BT172" s="249"/>
      <c r="BW172" s="249"/>
      <c r="BZ172" s="249"/>
      <c r="CC172" s="249"/>
      <c r="CF172" s="249"/>
      <c r="CI172" s="249"/>
      <c r="CL172" s="249"/>
      <c r="CO172" s="249"/>
      <c r="CR172" s="249"/>
      <c r="CU172" s="249"/>
      <c r="CX172" s="249"/>
      <c r="DA172" s="249"/>
      <c r="DD172" s="249"/>
      <c r="DG172" s="249"/>
      <c r="DJ172" s="249"/>
      <c r="DM172" s="249"/>
      <c r="DP172" s="249"/>
      <c r="DS172" s="249"/>
      <c r="DV172" s="249"/>
      <c r="DY172" s="249"/>
      <c r="EB172" s="249"/>
      <c r="EE172" s="249"/>
      <c r="EH172" s="249"/>
      <c r="EK172" s="249"/>
      <c r="EN172" s="249"/>
      <c r="EQ172" s="249"/>
      <c r="ET172" s="249"/>
      <c r="EW172" s="249"/>
      <c r="EZ172" s="249"/>
      <c r="FC172" s="249"/>
      <c r="FF172" s="249"/>
      <c r="FI172" s="249"/>
      <c r="FL172" s="249"/>
      <c r="FO172" s="249"/>
      <c r="FR172" s="249"/>
      <c r="FU172" s="249"/>
      <c r="FX172" s="249"/>
      <c r="GA172" s="249"/>
      <c r="GD172" s="249"/>
      <c r="GG172" s="249"/>
      <c r="GJ172" s="249"/>
      <c r="GM172" s="249"/>
      <c r="GP172" s="249"/>
      <c r="GS172" s="249"/>
      <c r="GV172" s="249"/>
      <c r="GY172" s="249"/>
      <c r="HB172" s="249"/>
      <c r="HE172" s="249"/>
    </row>
    <row r="173" spans="1:213" x14ac:dyDescent="0.2">
      <c r="A173" s="262" t="s">
        <v>255</v>
      </c>
      <c r="B173" s="284">
        <v>1</v>
      </c>
      <c r="C173" s="247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W173" s="249"/>
      <c r="Z173" s="249"/>
      <c r="AC173" s="249"/>
      <c r="AD173" s="249"/>
      <c r="AE173" s="249"/>
      <c r="AF173" s="249"/>
      <c r="AG173" s="249"/>
      <c r="AJ173" s="249"/>
      <c r="AM173" s="249"/>
      <c r="AP173" s="249"/>
      <c r="AS173" s="249"/>
      <c r="AV173" s="249"/>
      <c r="AY173" s="249"/>
      <c r="BB173" s="249"/>
      <c r="BE173" s="249"/>
      <c r="BH173" s="249"/>
      <c r="BK173" s="249"/>
      <c r="BN173" s="249"/>
      <c r="BQ173" s="249"/>
      <c r="BT173" s="249"/>
      <c r="BW173" s="249"/>
      <c r="BZ173" s="249"/>
      <c r="CC173" s="249"/>
      <c r="CF173" s="249"/>
      <c r="CI173" s="249"/>
      <c r="CL173" s="249"/>
      <c r="CO173" s="249"/>
      <c r="CR173" s="249"/>
      <c r="CU173" s="249"/>
      <c r="CX173" s="249"/>
      <c r="DA173" s="249"/>
      <c r="DD173" s="249"/>
      <c r="DG173" s="249"/>
      <c r="DJ173" s="249"/>
      <c r="DM173" s="249"/>
      <c r="DP173" s="249"/>
      <c r="DS173" s="249"/>
      <c r="DV173" s="249"/>
      <c r="DY173" s="249"/>
      <c r="EB173" s="249"/>
      <c r="EE173" s="249"/>
      <c r="EH173" s="249"/>
      <c r="EK173" s="249"/>
      <c r="EN173" s="249"/>
      <c r="EQ173" s="249"/>
      <c r="ET173" s="249"/>
      <c r="EW173" s="249"/>
      <c r="EZ173" s="249"/>
      <c r="FC173" s="249"/>
      <c r="FF173" s="249"/>
      <c r="FI173" s="249"/>
      <c r="FL173" s="249"/>
      <c r="FO173" s="249"/>
      <c r="FR173" s="249"/>
      <c r="FU173" s="249"/>
      <c r="FX173" s="249"/>
      <c r="GA173" s="249"/>
      <c r="GD173" s="249"/>
      <c r="GG173" s="249"/>
      <c r="GJ173" s="249"/>
      <c r="GM173" s="249"/>
      <c r="GP173" s="249"/>
      <c r="GS173" s="249"/>
      <c r="GV173" s="249"/>
      <c r="GY173" s="249"/>
      <c r="HB173" s="249"/>
      <c r="HE173" s="249"/>
    </row>
    <row r="174" spans="1:213" x14ac:dyDescent="0.2">
      <c r="A174" s="267" t="s">
        <v>399</v>
      </c>
      <c r="B174" s="283">
        <v>1</v>
      </c>
      <c r="C174" s="247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W174" s="249"/>
      <c r="Z174" s="249"/>
      <c r="AC174" s="249"/>
      <c r="AD174" s="249"/>
      <c r="AE174" s="249"/>
      <c r="AF174" s="249"/>
      <c r="AG174" s="249"/>
      <c r="AJ174" s="249"/>
      <c r="AM174" s="249"/>
      <c r="AP174" s="249"/>
      <c r="AS174" s="249"/>
      <c r="AV174" s="249"/>
      <c r="AY174" s="249"/>
      <c r="BB174" s="249"/>
      <c r="BE174" s="249"/>
      <c r="BH174" s="249"/>
      <c r="BK174" s="249"/>
      <c r="BN174" s="249"/>
      <c r="BQ174" s="249"/>
      <c r="BT174" s="249"/>
      <c r="BW174" s="249"/>
      <c r="BZ174" s="249"/>
      <c r="CC174" s="249"/>
      <c r="CF174" s="249"/>
      <c r="CI174" s="249"/>
      <c r="CL174" s="249"/>
      <c r="CO174" s="249"/>
      <c r="CR174" s="249"/>
      <c r="CU174" s="249"/>
      <c r="CX174" s="249"/>
      <c r="DA174" s="249"/>
      <c r="DD174" s="249"/>
      <c r="DG174" s="249"/>
      <c r="DJ174" s="249"/>
      <c r="DM174" s="249"/>
      <c r="DP174" s="249"/>
      <c r="DS174" s="249"/>
      <c r="DV174" s="249"/>
      <c r="DY174" s="249"/>
      <c r="EB174" s="249"/>
      <c r="EE174" s="249"/>
      <c r="EH174" s="249"/>
      <c r="EK174" s="249"/>
      <c r="EN174" s="249"/>
      <c r="EQ174" s="249"/>
      <c r="ET174" s="249"/>
      <c r="EW174" s="249"/>
      <c r="EZ174" s="249"/>
      <c r="FC174" s="249"/>
      <c r="FF174" s="249"/>
      <c r="FI174" s="249"/>
      <c r="FL174" s="249"/>
      <c r="FO174" s="249"/>
      <c r="FR174" s="249"/>
      <c r="FU174" s="249"/>
      <c r="FX174" s="249"/>
      <c r="GA174" s="249"/>
      <c r="GD174" s="249"/>
      <c r="GG174" s="249"/>
      <c r="GJ174" s="249"/>
      <c r="GM174" s="249"/>
      <c r="GP174" s="249"/>
      <c r="GS174" s="249"/>
      <c r="GV174" s="249"/>
      <c r="GY174" s="249"/>
      <c r="HB174" s="249"/>
      <c r="HE174" s="249"/>
    </row>
    <row r="175" spans="1:213" x14ac:dyDescent="0.2">
      <c r="A175" s="267" t="s">
        <v>400</v>
      </c>
      <c r="B175" s="283">
        <v>1</v>
      </c>
      <c r="C175" s="247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W175" s="249"/>
      <c r="Z175" s="249"/>
      <c r="AC175" s="249"/>
      <c r="AD175" s="249"/>
      <c r="AE175" s="249"/>
      <c r="AF175" s="249"/>
      <c r="AG175" s="249"/>
      <c r="AJ175" s="249"/>
      <c r="AM175" s="249"/>
      <c r="AP175" s="249"/>
      <c r="AS175" s="249"/>
      <c r="AV175" s="249"/>
      <c r="AY175" s="249"/>
      <c r="BB175" s="249"/>
      <c r="BE175" s="249"/>
      <c r="BH175" s="249"/>
      <c r="BK175" s="249"/>
      <c r="BN175" s="249"/>
      <c r="BQ175" s="249"/>
      <c r="BT175" s="249"/>
      <c r="BW175" s="249"/>
      <c r="BZ175" s="249"/>
      <c r="CC175" s="249"/>
      <c r="CF175" s="249"/>
      <c r="CI175" s="249"/>
      <c r="CL175" s="249"/>
      <c r="CO175" s="249"/>
      <c r="CR175" s="249"/>
      <c r="CU175" s="249"/>
      <c r="CX175" s="249"/>
      <c r="DA175" s="249"/>
      <c r="DD175" s="249"/>
      <c r="DG175" s="249"/>
      <c r="DJ175" s="249"/>
      <c r="DM175" s="249"/>
      <c r="DP175" s="249"/>
      <c r="DS175" s="249"/>
      <c r="DV175" s="249"/>
      <c r="DY175" s="249"/>
      <c r="EB175" s="249"/>
      <c r="EE175" s="249"/>
      <c r="EH175" s="249"/>
      <c r="EK175" s="249"/>
      <c r="EN175" s="249"/>
      <c r="EQ175" s="249"/>
      <c r="ET175" s="249"/>
      <c r="EW175" s="249"/>
      <c r="EZ175" s="249"/>
      <c r="FC175" s="249"/>
      <c r="FF175" s="249"/>
      <c r="FI175" s="249"/>
      <c r="FL175" s="249"/>
      <c r="FO175" s="249"/>
      <c r="FR175" s="249"/>
      <c r="FU175" s="249"/>
      <c r="FX175" s="249"/>
      <c r="GA175" s="249"/>
      <c r="GD175" s="249"/>
      <c r="GG175" s="249"/>
      <c r="GJ175" s="249"/>
      <c r="GM175" s="249"/>
      <c r="GP175" s="249"/>
      <c r="GS175" s="249"/>
      <c r="GV175" s="249"/>
      <c r="GY175" s="249"/>
      <c r="HB175" s="249"/>
      <c r="HE175" s="249"/>
    </row>
    <row r="176" spans="1:213" x14ac:dyDescent="0.2">
      <c r="A176" s="267" t="s">
        <v>401</v>
      </c>
      <c r="B176" s="283">
        <v>1</v>
      </c>
      <c r="C176" s="247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W176" s="249"/>
      <c r="Z176" s="249"/>
      <c r="AC176" s="249"/>
      <c r="AD176" s="249"/>
      <c r="AE176" s="249"/>
      <c r="AF176" s="249"/>
      <c r="AG176" s="249"/>
      <c r="AJ176" s="249"/>
      <c r="AM176" s="249"/>
      <c r="AP176" s="249"/>
      <c r="AS176" s="249"/>
      <c r="AV176" s="249"/>
      <c r="AY176" s="249"/>
      <c r="BB176" s="249"/>
      <c r="BE176" s="249"/>
      <c r="BH176" s="249"/>
      <c r="BK176" s="249"/>
      <c r="BN176" s="249"/>
      <c r="BQ176" s="249"/>
      <c r="BT176" s="249"/>
      <c r="BW176" s="249"/>
      <c r="BZ176" s="249"/>
      <c r="CC176" s="249"/>
      <c r="CF176" s="249"/>
      <c r="CI176" s="249"/>
      <c r="CL176" s="249"/>
      <c r="CO176" s="249"/>
      <c r="CR176" s="249"/>
      <c r="CU176" s="249"/>
      <c r="CX176" s="249"/>
      <c r="DA176" s="249"/>
      <c r="DD176" s="249"/>
      <c r="DG176" s="249"/>
      <c r="DJ176" s="249"/>
      <c r="DM176" s="249"/>
      <c r="DP176" s="249"/>
      <c r="DS176" s="249"/>
      <c r="DV176" s="249"/>
      <c r="DY176" s="249"/>
      <c r="EB176" s="249"/>
      <c r="EE176" s="249"/>
      <c r="EH176" s="249"/>
      <c r="EK176" s="249"/>
      <c r="EN176" s="249"/>
      <c r="EQ176" s="249"/>
      <c r="ET176" s="249"/>
      <c r="EW176" s="249"/>
      <c r="EZ176" s="249"/>
      <c r="FC176" s="249"/>
      <c r="FF176" s="249"/>
      <c r="FI176" s="249"/>
      <c r="FL176" s="249"/>
      <c r="FO176" s="249"/>
      <c r="FR176" s="249"/>
      <c r="FU176" s="249"/>
      <c r="FX176" s="249"/>
      <c r="GA176" s="249"/>
      <c r="GD176" s="249"/>
      <c r="GG176" s="249"/>
      <c r="GJ176" s="249"/>
      <c r="GM176" s="249"/>
      <c r="GP176" s="249"/>
      <c r="GS176" s="249"/>
      <c r="GV176" s="249"/>
      <c r="GY176" s="249"/>
      <c r="HB176" s="249"/>
      <c r="HE176" s="249"/>
    </row>
    <row r="177" spans="1:213" x14ac:dyDescent="0.2">
      <c r="A177" s="267" t="s">
        <v>402</v>
      </c>
      <c r="B177" s="283">
        <v>1</v>
      </c>
      <c r="C177" s="247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W177" s="249"/>
      <c r="Z177" s="249"/>
      <c r="AC177" s="249"/>
      <c r="AD177" s="249"/>
      <c r="AE177" s="249"/>
      <c r="AF177" s="249"/>
      <c r="AG177" s="249"/>
      <c r="AJ177" s="249"/>
      <c r="AM177" s="249"/>
      <c r="AP177" s="249"/>
      <c r="AS177" s="249"/>
      <c r="AV177" s="249"/>
      <c r="AY177" s="249"/>
      <c r="BB177" s="249"/>
      <c r="BE177" s="249"/>
      <c r="BH177" s="249"/>
      <c r="BK177" s="249"/>
      <c r="BN177" s="249"/>
      <c r="BQ177" s="249"/>
      <c r="BT177" s="249"/>
      <c r="BW177" s="249"/>
      <c r="BZ177" s="249"/>
      <c r="CC177" s="249"/>
      <c r="CF177" s="249"/>
      <c r="CI177" s="249"/>
      <c r="CL177" s="249"/>
      <c r="CO177" s="249"/>
      <c r="CR177" s="249"/>
      <c r="CU177" s="249"/>
      <c r="CX177" s="249"/>
      <c r="DA177" s="249"/>
      <c r="DD177" s="249"/>
      <c r="DG177" s="249"/>
      <c r="DJ177" s="249"/>
      <c r="DM177" s="249"/>
      <c r="DP177" s="249"/>
      <c r="DS177" s="249"/>
      <c r="DV177" s="249"/>
      <c r="DY177" s="249"/>
      <c r="EB177" s="249"/>
      <c r="EE177" s="249"/>
      <c r="EH177" s="249"/>
      <c r="EK177" s="249"/>
      <c r="EN177" s="249"/>
      <c r="EQ177" s="249"/>
      <c r="ET177" s="249"/>
      <c r="EW177" s="249"/>
      <c r="EZ177" s="249"/>
      <c r="FC177" s="249"/>
      <c r="FF177" s="249"/>
      <c r="FI177" s="249"/>
      <c r="FL177" s="249"/>
      <c r="FO177" s="249"/>
      <c r="FR177" s="249"/>
      <c r="FU177" s="249"/>
      <c r="FX177" s="249"/>
      <c r="GA177" s="249"/>
      <c r="GD177" s="249"/>
      <c r="GG177" s="249"/>
      <c r="GJ177" s="249"/>
      <c r="GM177" s="249"/>
      <c r="GP177" s="249"/>
      <c r="GS177" s="249"/>
      <c r="GV177" s="249"/>
      <c r="GY177" s="249"/>
      <c r="HB177" s="249"/>
      <c r="HE177" s="249"/>
    </row>
    <row r="178" spans="1:213" x14ac:dyDescent="0.2">
      <c r="A178" s="267" t="s">
        <v>403</v>
      </c>
      <c r="B178" s="283">
        <v>1</v>
      </c>
      <c r="C178" s="247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W178" s="249"/>
      <c r="Z178" s="249"/>
      <c r="AC178" s="249"/>
      <c r="AD178" s="249"/>
      <c r="AE178" s="249"/>
      <c r="AF178" s="249"/>
      <c r="AG178" s="249"/>
      <c r="AJ178" s="249"/>
      <c r="AM178" s="249"/>
      <c r="AP178" s="249"/>
      <c r="AS178" s="249"/>
      <c r="AV178" s="249"/>
      <c r="AY178" s="249"/>
      <c r="BB178" s="249"/>
      <c r="BE178" s="249"/>
      <c r="BH178" s="249"/>
      <c r="BK178" s="249"/>
      <c r="BN178" s="249"/>
      <c r="BQ178" s="249"/>
      <c r="BT178" s="249"/>
      <c r="BW178" s="249"/>
      <c r="BZ178" s="249"/>
      <c r="CC178" s="249"/>
      <c r="CF178" s="249"/>
      <c r="CI178" s="249"/>
      <c r="CL178" s="249"/>
      <c r="CO178" s="249"/>
      <c r="CR178" s="249"/>
      <c r="CU178" s="249"/>
      <c r="CX178" s="249"/>
      <c r="DA178" s="249"/>
      <c r="DD178" s="249"/>
      <c r="DG178" s="249"/>
      <c r="DJ178" s="249"/>
      <c r="DM178" s="249"/>
      <c r="DP178" s="249"/>
      <c r="DS178" s="249"/>
      <c r="DV178" s="249"/>
      <c r="DY178" s="249"/>
      <c r="EB178" s="249"/>
      <c r="EE178" s="249"/>
      <c r="EH178" s="249"/>
      <c r="EK178" s="249"/>
      <c r="EN178" s="249"/>
      <c r="EQ178" s="249"/>
      <c r="ET178" s="249"/>
      <c r="EW178" s="249"/>
      <c r="EZ178" s="249"/>
      <c r="FC178" s="249"/>
      <c r="FF178" s="249"/>
      <c r="FI178" s="249"/>
      <c r="FL178" s="249"/>
      <c r="FO178" s="249"/>
      <c r="FR178" s="249"/>
      <c r="FU178" s="249"/>
      <c r="FX178" s="249"/>
      <c r="GA178" s="249"/>
      <c r="GD178" s="249"/>
      <c r="GG178" s="249"/>
      <c r="GJ178" s="249"/>
      <c r="GM178" s="249"/>
      <c r="GP178" s="249"/>
      <c r="GS178" s="249"/>
      <c r="GV178" s="249"/>
      <c r="GY178" s="249"/>
      <c r="HB178" s="249"/>
      <c r="HE178" s="249"/>
    </row>
    <row r="179" spans="1:213" x14ac:dyDescent="0.2">
      <c r="A179" s="267" t="s">
        <v>404</v>
      </c>
      <c r="B179" s="283">
        <v>1</v>
      </c>
      <c r="C179" s="247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W179" s="249"/>
      <c r="Z179" s="249"/>
      <c r="AC179" s="249"/>
      <c r="AD179" s="249"/>
      <c r="AE179" s="249"/>
      <c r="AF179" s="249"/>
      <c r="AG179" s="249"/>
      <c r="AJ179" s="249"/>
      <c r="AM179" s="249"/>
      <c r="AP179" s="249"/>
      <c r="AS179" s="249"/>
      <c r="AV179" s="249"/>
      <c r="AY179" s="249"/>
      <c r="BB179" s="249"/>
      <c r="BE179" s="249"/>
      <c r="BH179" s="249"/>
      <c r="BK179" s="249"/>
      <c r="BN179" s="249"/>
      <c r="BQ179" s="249"/>
      <c r="BT179" s="249"/>
      <c r="BW179" s="249"/>
      <c r="BZ179" s="249"/>
      <c r="CC179" s="249"/>
      <c r="CF179" s="249"/>
      <c r="CI179" s="249"/>
      <c r="CL179" s="249"/>
      <c r="CO179" s="249"/>
      <c r="CR179" s="249"/>
      <c r="CU179" s="249"/>
      <c r="CX179" s="249"/>
      <c r="DA179" s="249"/>
      <c r="DD179" s="249"/>
      <c r="DG179" s="249"/>
      <c r="DJ179" s="249"/>
      <c r="DM179" s="249"/>
      <c r="DP179" s="249"/>
      <c r="DS179" s="249"/>
      <c r="DV179" s="249"/>
      <c r="DY179" s="249"/>
      <c r="EB179" s="249"/>
      <c r="EE179" s="249"/>
      <c r="EH179" s="249"/>
      <c r="EK179" s="249"/>
      <c r="EN179" s="249"/>
      <c r="EQ179" s="249"/>
      <c r="ET179" s="249"/>
      <c r="EW179" s="249"/>
      <c r="EZ179" s="249"/>
      <c r="FC179" s="249"/>
      <c r="FF179" s="249"/>
      <c r="FI179" s="249"/>
      <c r="FL179" s="249"/>
      <c r="FO179" s="249"/>
      <c r="FR179" s="249"/>
      <c r="FU179" s="249"/>
      <c r="FX179" s="249"/>
      <c r="GA179" s="249"/>
      <c r="GD179" s="249"/>
      <c r="GG179" s="249"/>
      <c r="GJ179" s="249"/>
      <c r="GM179" s="249"/>
      <c r="GP179" s="249"/>
      <c r="GS179" s="249"/>
      <c r="GV179" s="249"/>
      <c r="GY179" s="249"/>
      <c r="HB179" s="249"/>
      <c r="HE179" s="249"/>
    </row>
    <row r="180" spans="1:213" x14ac:dyDescent="0.2">
      <c r="A180" s="267" t="s">
        <v>405</v>
      </c>
      <c r="B180" s="284">
        <v>1</v>
      </c>
      <c r="C180" s="247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W180" s="249"/>
      <c r="Z180" s="249"/>
      <c r="AC180" s="249"/>
      <c r="AD180" s="249"/>
      <c r="AE180" s="249"/>
      <c r="AF180" s="249"/>
      <c r="AG180" s="249"/>
      <c r="AJ180" s="249"/>
      <c r="AM180" s="249"/>
      <c r="AP180" s="249"/>
      <c r="AS180" s="249"/>
      <c r="AV180" s="249"/>
      <c r="AY180" s="249"/>
      <c r="BB180" s="249"/>
      <c r="BE180" s="249"/>
      <c r="BH180" s="249"/>
      <c r="BK180" s="249"/>
      <c r="BN180" s="249"/>
      <c r="BQ180" s="249"/>
      <c r="BT180" s="249"/>
      <c r="BW180" s="249"/>
      <c r="BZ180" s="249"/>
      <c r="CC180" s="249"/>
      <c r="CF180" s="249"/>
      <c r="CI180" s="249"/>
      <c r="CL180" s="249"/>
      <c r="CO180" s="249"/>
      <c r="CR180" s="249"/>
      <c r="CU180" s="249"/>
      <c r="CX180" s="249"/>
      <c r="DA180" s="249"/>
      <c r="DD180" s="249"/>
      <c r="DG180" s="249"/>
      <c r="DJ180" s="249"/>
      <c r="DM180" s="249"/>
      <c r="DP180" s="249"/>
      <c r="DS180" s="249"/>
      <c r="DV180" s="249"/>
      <c r="DY180" s="249"/>
      <c r="EB180" s="249"/>
      <c r="EE180" s="249"/>
      <c r="EH180" s="249"/>
      <c r="EK180" s="249"/>
      <c r="EN180" s="249"/>
      <c r="EQ180" s="249"/>
      <c r="ET180" s="249"/>
      <c r="EW180" s="249"/>
      <c r="EZ180" s="249"/>
      <c r="FC180" s="249"/>
      <c r="FF180" s="249"/>
      <c r="FI180" s="249"/>
      <c r="FL180" s="249"/>
      <c r="FO180" s="249"/>
      <c r="FR180" s="249"/>
      <c r="FU180" s="249"/>
      <c r="FX180" s="249"/>
      <c r="GA180" s="249"/>
      <c r="GD180" s="249"/>
      <c r="GG180" s="249"/>
      <c r="GJ180" s="249"/>
      <c r="GM180" s="249"/>
      <c r="GP180" s="249"/>
      <c r="GS180" s="249"/>
      <c r="GV180" s="249"/>
      <c r="GY180" s="249"/>
      <c r="HB180" s="249"/>
      <c r="HE180" s="249"/>
    </row>
    <row r="181" spans="1:213" x14ac:dyDescent="0.2">
      <c r="A181" s="262" t="s">
        <v>41</v>
      </c>
      <c r="B181" s="284">
        <v>3.62</v>
      </c>
      <c r="C181" s="249" t="s">
        <v>42</v>
      </c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W181" s="249"/>
      <c r="Z181" s="249"/>
      <c r="AC181" s="249"/>
      <c r="AD181" s="249"/>
      <c r="AE181" s="249"/>
      <c r="AF181" s="249"/>
      <c r="AG181" s="249"/>
      <c r="AJ181" s="249"/>
      <c r="AM181" s="249"/>
      <c r="AP181" s="249"/>
      <c r="AS181" s="249"/>
      <c r="AV181" s="249"/>
      <c r="AY181" s="249"/>
      <c r="BB181" s="249"/>
      <c r="BE181" s="249"/>
      <c r="BH181" s="249"/>
      <c r="BK181" s="249"/>
      <c r="BN181" s="249"/>
      <c r="BQ181" s="249"/>
      <c r="BT181" s="249"/>
      <c r="BW181" s="249"/>
      <c r="BZ181" s="249"/>
      <c r="CC181" s="249"/>
      <c r="CF181" s="249"/>
      <c r="CI181" s="249"/>
      <c r="CL181" s="249"/>
      <c r="CO181" s="249"/>
      <c r="CR181" s="249"/>
      <c r="CU181" s="249"/>
      <c r="CX181" s="249"/>
      <c r="DA181" s="249"/>
      <c r="DD181" s="249"/>
      <c r="DG181" s="249"/>
      <c r="DJ181" s="249"/>
      <c r="DM181" s="249"/>
      <c r="DP181" s="249"/>
      <c r="DS181" s="249"/>
      <c r="DV181" s="249"/>
      <c r="DY181" s="249"/>
      <c r="EB181" s="249"/>
      <c r="EE181" s="249"/>
      <c r="EH181" s="249"/>
      <c r="EK181" s="249"/>
      <c r="EN181" s="249"/>
      <c r="EQ181" s="249"/>
      <c r="ET181" s="249"/>
      <c r="EW181" s="249"/>
      <c r="EZ181" s="249"/>
      <c r="FC181" s="249"/>
      <c r="FF181" s="249"/>
      <c r="FI181" s="249"/>
      <c r="FL181" s="249"/>
      <c r="FO181" s="249"/>
      <c r="FR181" s="249"/>
      <c r="FU181" s="249"/>
      <c r="FX181" s="249"/>
      <c r="GA181" s="249"/>
      <c r="GD181" s="249"/>
      <c r="GG181" s="249"/>
      <c r="GJ181" s="249"/>
      <c r="GM181" s="249"/>
      <c r="GP181" s="249"/>
      <c r="GS181" s="249"/>
      <c r="GV181" s="249"/>
      <c r="GY181" s="249"/>
      <c r="HB181" s="249"/>
      <c r="HE181" s="249"/>
    </row>
    <row r="182" spans="1:213" x14ac:dyDescent="0.2">
      <c r="A182" s="262" t="s">
        <v>46</v>
      </c>
      <c r="B182" s="284">
        <v>0.25</v>
      </c>
      <c r="C182" s="249" t="s">
        <v>47</v>
      </c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W182" s="249"/>
      <c r="Z182" s="249"/>
      <c r="AC182" s="249"/>
      <c r="AD182" s="249"/>
      <c r="AE182" s="249"/>
      <c r="AF182" s="249"/>
      <c r="AG182" s="249"/>
      <c r="AJ182" s="249"/>
      <c r="AM182" s="249"/>
      <c r="AP182" s="249"/>
      <c r="AS182" s="249"/>
      <c r="AV182" s="249"/>
      <c r="AY182" s="249"/>
      <c r="BB182" s="249"/>
      <c r="BE182" s="249"/>
      <c r="BH182" s="249"/>
      <c r="BK182" s="249"/>
      <c r="BN182" s="249"/>
      <c r="BQ182" s="249"/>
      <c r="BT182" s="249"/>
      <c r="BW182" s="249"/>
      <c r="BZ182" s="249"/>
      <c r="CC182" s="249"/>
      <c r="CF182" s="249"/>
      <c r="CI182" s="249"/>
      <c r="CL182" s="249"/>
      <c r="CO182" s="249"/>
      <c r="CR182" s="249"/>
      <c r="CU182" s="249"/>
      <c r="CX182" s="249"/>
      <c r="DA182" s="249"/>
      <c r="DD182" s="249"/>
      <c r="DG182" s="249"/>
      <c r="DJ182" s="249"/>
      <c r="DM182" s="249"/>
      <c r="DP182" s="249"/>
      <c r="DS182" s="249"/>
      <c r="DV182" s="249"/>
      <c r="DY182" s="249"/>
      <c r="EB182" s="249"/>
      <c r="EE182" s="249"/>
      <c r="EH182" s="249"/>
      <c r="EK182" s="249"/>
      <c r="EN182" s="249"/>
      <c r="EQ182" s="249"/>
      <c r="ET182" s="249"/>
      <c r="EW182" s="249"/>
      <c r="EZ182" s="249"/>
      <c r="FC182" s="249"/>
      <c r="FF182" s="249"/>
      <c r="FI182" s="249"/>
      <c r="FL182" s="249"/>
      <c r="FO182" s="249"/>
      <c r="FR182" s="249"/>
      <c r="FU182" s="249"/>
      <c r="FX182" s="249"/>
      <c r="GA182" s="249"/>
      <c r="GD182" s="249"/>
      <c r="GG182" s="249"/>
      <c r="GJ182" s="249"/>
      <c r="GM182" s="249"/>
      <c r="GP182" s="249"/>
      <c r="GS182" s="249"/>
      <c r="GV182" s="249"/>
      <c r="GY182" s="249"/>
      <c r="HB182" s="249"/>
      <c r="HE182" s="249"/>
    </row>
    <row r="183" spans="1:213" x14ac:dyDescent="0.2">
      <c r="A183" s="267" t="s">
        <v>60</v>
      </c>
      <c r="B183" s="284">
        <v>10950</v>
      </c>
      <c r="C183" s="249" t="s">
        <v>61</v>
      </c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W183" s="249"/>
      <c r="Z183" s="249"/>
      <c r="AC183" s="249"/>
      <c r="AD183" s="249"/>
      <c r="AE183" s="249"/>
      <c r="AF183" s="249"/>
      <c r="AG183" s="249"/>
      <c r="AJ183" s="249"/>
      <c r="AM183" s="249"/>
      <c r="AP183" s="249"/>
      <c r="AS183" s="249"/>
      <c r="AV183" s="249"/>
      <c r="AY183" s="249"/>
      <c r="BB183" s="249"/>
      <c r="BE183" s="249"/>
      <c r="BH183" s="249"/>
      <c r="BK183" s="249"/>
      <c r="BN183" s="249"/>
      <c r="BQ183" s="249"/>
      <c r="BT183" s="249"/>
      <c r="BW183" s="249"/>
      <c r="BZ183" s="249"/>
      <c r="CC183" s="249"/>
      <c r="CF183" s="249"/>
      <c r="CI183" s="249"/>
      <c r="CL183" s="249"/>
      <c r="CO183" s="249"/>
      <c r="CR183" s="249"/>
      <c r="CU183" s="249"/>
      <c r="CX183" s="249"/>
      <c r="DA183" s="249"/>
      <c r="DD183" s="249"/>
      <c r="DG183" s="249"/>
      <c r="DJ183" s="249"/>
      <c r="DM183" s="249"/>
      <c r="DP183" s="249"/>
      <c r="DS183" s="249"/>
      <c r="DV183" s="249"/>
      <c r="DY183" s="249"/>
      <c r="EB183" s="249"/>
      <c r="EE183" s="249"/>
      <c r="EH183" s="249"/>
      <c r="EK183" s="249"/>
      <c r="EN183" s="249"/>
      <c r="EQ183" s="249"/>
      <c r="ET183" s="249"/>
      <c r="EW183" s="249"/>
      <c r="EZ183" s="249"/>
      <c r="FC183" s="249"/>
      <c r="FF183" s="249"/>
      <c r="FI183" s="249"/>
      <c r="FL183" s="249"/>
      <c r="FO183" s="249"/>
      <c r="FR183" s="249"/>
      <c r="FU183" s="249"/>
      <c r="FX183" s="249"/>
      <c r="GA183" s="249"/>
      <c r="GD183" s="249"/>
      <c r="GG183" s="249"/>
      <c r="GJ183" s="249"/>
      <c r="GM183" s="249"/>
      <c r="GP183" s="249"/>
      <c r="GS183" s="249"/>
      <c r="GV183" s="249"/>
      <c r="GY183" s="249"/>
      <c r="HB183" s="249"/>
      <c r="HE183" s="249"/>
    </row>
    <row r="184" spans="1:213" x14ac:dyDescent="0.2">
      <c r="A184" s="267" t="s">
        <v>65</v>
      </c>
      <c r="B184" s="284">
        <v>240</v>
      </c>
      <c r="C184" s="249" t="s">
        <v>66</v>
      </c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W184" s="249"/>
      <c r="Z184" s="249"/>
      <c r="AC184" s="249"/>
      <c r="AD184" s="249"/>
      <c r="AE184" s="249"/>
      <c r="AF184" s="249"/>
      <c r="AG184" s="249"/>
      <c r="AJ184" s="249"/>
      <c r="AM184" s="249"/>
      <c r="AP184" s="249"/>
      <c r="AS184" s="249"/>
      <c r="AV184" s="249"/>
      <c r="AY184" s="249"/>
      <c r="BB184" s="249"/>
      <c r="BE184" s="249"/>
      <c r="BH184" s="249"/>
      <c r="BK184" s="249"/>
      <c r="BN184" s="249"/>
      <c r="BQ184" s="249"/>
      <c r="BT184" s="249"/>
      <c r="BW184" s="249"/>
      <c r="BZ184" s="249"/>
      <c r="CC184" s="249"/>
      <c r="CF184" s="249"/>
      <c r="CI184" s="249"/>
      <c r="CL184" s="249"/>
      <c r="CO184" s="249"/>
      <c r="CR184" s="249"/>
      <c r="CU184" s="249"/>
      <c r="CX184" s="249"/>
      <c r="DA184" s="249"/>
      <c r="DD184" s="249"/>
      <c r="DG184" s="249"/>
      <c r="DJ184" s="249"/>
      <c r="DM184" s="249"/>
      <c r="DP184" s="249"/>
      <c r="DS184" s="249"/>
      <c r="DV184" s="249"/>
      <c r="DY184" s="249"/>
      <c r="EB184" s="249"/>
      <c r="EE184" s="249"/>
      <c r="EH184" s="249"/>
      <c r="EK184" s="249"/>
      <c r="EN184" s="249"/>
      <c r="EQ184" s="249"/>
      <c r="ET184" s="249"/>
      <c r="EW184" s="249"/>
      <c r="EZ184" s="249"/>
      <c r="FC184" s="249"/>
      <c r="FF184" s="249"/>
      <c r="FI184" s="249"/>
      <c r="FL184" s="249"/>
      <c r="FO184" s="249"/>
      <c r="FR184" s="249"/>
      <c r="FU184" s="249"/>
      <c r="FX184" s="249"/>
      <c r="GA184" s="249"/>
      <c r="GD184" s="249"/>
      <c r="GG184" s="249"/>
      <c r="GJ184" s="249"/>
      <c r="GM184" s="249"/>
      <c r="GP184" s="249"/>
      <c r="GS184" s="249"/>
      <c r="GV184" s="249"/>
      <c r="GY184" s="249"/>
      <c r="HB184" s="249"/>
      <c r="HE184" s="249"/>
    </row>
    <row r="185" spans="1:213" x14ac:dyDescent="0.2">
      <c r="A185" s="267" t="s">
        <v>76</v>
      </c>
      <c r="B185" s="284">
        <v>0.42</v>
      </c>
      <c r="C185" s="249" t="s">
        <v>47</v>
      </c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W185" s="249"/>
      <c r="Z185" s="249"/>
      <c r="AC185" s="249"/>
      <c r="AD185" s="249"/>
      <c r="AE185" s="249"/>
      <c r="AF185" s="249"/>
      <c r="AG185" s="249"/>
      <c r="AJ185" s="249"/>
      <c r="AM185" s="249"/>
      <c r="AP185" s="249"/>
      <c r="AS185" s="249"/>
      <c r="AV185" s="249"/>
      <c r="AY185" s="249"/>
      <c r="BB185" s="249"/>
      <c r="BE185" s="249"/>
      <c r="BH185" s="249"/>
      <c r="BK185" s="249"/>
      <c r="BN185" s="249"/>
      <c r="BQ185" s="249"/>
      <c r="BT185" s="249"/>
      <c r="BW185" s="249"/>
      <c r="BZ185" s="249"/>
      <c r="CC185" s="249"/>
      <c r="CF185" s="249"/>
      <c r="CI185" s="249"/>
      <c r="CL185" s="249"/>
      <c r="CO185" s="249"/>
      <c r="CR185" s="249"/>
      <c r="CU185" s="249"/>
      <c r="CX185" s="249"/>
      <c r="DA185" s="249"/>
      <c r="DD185" s="249"/>
      <c r="DG185" s="249"/>
      <c r="DJ185" s="249"/>
      <c r="DM185" s="249"/>
      <c r="DP185" s="249"/>
      <c r="DS185" s="249"/>
      <c r="DV185" s="249"/>
      <c r="DY185" s="249"/>
      <c r="EB185" s="249"/>
      <c r="EE185" s="249"/>
      <c r="EH185" s="249"/>
      <c r="EK185" s="249"/>
      <c r="EN185" s="249"/>
      <c r="EQ185" s="249"/>
      <c r="ET185" s="249"/>
      <c r="EW185" s="249"/>
      <c r="EZ185" s="249"/>
      <c r="FC185" s="249"/>
      <c r="FF185" s="249"/>
      <c r="FI185" s="249"/>
      <c r="FL185" s="249"/>
      <c r="FO185" s="249"/>
      <c r="FR185" s="249"/>
      <c r="FU185" s="249"/>
      <c r="FX185" s="249"/>
      <c r="GA185" s="249"/>
      <c r="GD185" s="249"/>
      <c r="GG185" s="249"/>
      <c r="GJ185" s="249"/>
      <c r="GM185" s="249"/>
      <c r="GP185" s="249"/>
      <c r="GS185" s="249"/>
      <c r="GV185" s="249"/>
      <c r="GY185" s="249"/>
      <c r="HB185" s="249"/>
      <c r="HE185" s="249"/>
    </row>
    <row r="186" spans="1:213" x14ac:dyDescent="0.2">
      <c r="A186" s="267" t="s">
        <v>85</v>
      </c>
      <c r="B186" s="284">
        <v>60</v>
      </c>
      <c r="C186" s="262" t="s">
        <v>61</v>
      </c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W186" s="249"/>
      <c r="Z186" s="249"/>
      <c r="AC186" s="249"/>
      <c r="AD186" s="249"/>
      <c r="AE186" s="249"/>
      <c r="AF186" s="249"/>
      <c r="AG186" s="249"/>
      <c r="AJ186" s="249"/>
      <c r="AM186" s="249"/>
      <c r="AP186" s="249"/>
      <c r="AS186" s="249"/>
      <c r="AV186" s="249"/>
      <c r="AY186" s="249"/>
      <c r="BB186" s="249"/>
      <c r="BE186" s="249"/>
      <c r="BH186" s="249"/>
      <c r="BK186" s="249"/>
      <c r="BN186" s="249"/>
      <c r="BQ186" s="249"/>
      <c r="BT186" s="249"/>
      <c r="BW186" s="249"/>
      <c r="BZ186" s="249"/>
      <c r="CC186" s="249"/>
      <c r="CF186" s="249"/>
      <c r="CI186" s="249"/>
      <c r="CL186" s="249"/>
      <c r="CO186" s="249"/>
      <c r="CR186" s="249"/>
      <c r="CU186" s="249"/>
      <c r="CX186" s="249"/>
      <c r="DA186" s="249"/>
      <c r="DD186" s="249"/>
      <c r="DG186" s="249"/>
      <c r="DJ186" s="249"/>
      <c r="DM186" s="249"/>
      <c r="DP186" s="249"/>
      <c r="DS186" s="249"/>
      <c r="DV186" s="249"/>
      <c r="DY186" s="249"/>
      <c r="EB186" s="249"/>
      <c r="EE186" s="249"/>
      <c r="EH186" s="249"/>
      <c r="EK186" s="249"/>
      <c r="EN186" s="249"/>
      <c r="EQ186" s="249"/>
      <c r="ET186" s="249"/>
      <c r="EW186" s="249"/>
      <c r="EZ186" s="249"/>
      <c r="FC186" s="249"/>
      <c r="FF186" s="249"/>
      <c r="FI186" s="249"/>
      <c r="FL186" s="249"/>
      <c r="FO186" s="249"/>
      <c r="FR186" s="249"/>
      <c r="FU186" s="249"/>
      <c r="FX186" s="249"/>
      <c r="GA186" s="249"/>
      <c r="GD186" s="249"/>
      <c r="GG186" s="249"/>
      <c r="GJ186" s="249"/>
      <c r="GM186" s="249"/>
      <c r="GP186" s="249"/>
      <c r="GS186" s="249"/>
      <c r="GV186" s="249"/>
      <c r="GY186" s="249"/>
      <c r="HB186" s="249"/>
      <c r="HE186" s="249"/>
    </row>
    <row r="187" spans="1:213" x14ac:dyDescent="0.2">
      <c r="A187" s="267" t="s">
        <v>87</v>
      </c>
      <c r="B187" s="284">
        <v>2</v>
      </c>
      <c r="C187" s="262" t="s">
        <v>66</v>
      </c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W187" s="249"/>
      <c r="Z187" s="249"/>
      <c r="AC187" s="249"/>
      <c r="AD187" s="249"/>
      <c r="AE187" s="249"/>
      <c r="AF187" s="249"/>
      <c r="AG187" s="249"/>
      <c r="AJ187" s="249"/>
      <c r="AM187" s="249"/>
      <c r="AP187" s="249"/>
      <c r="AS187" s="249"/>
      <c r="AV187" s="249"/>
      <c r="AY187" s="249"/>
      <c r="BB187" s="249"/>
      <c r="BE187" s="249"/>
      <c r="BH187" s="249"/>
      <c r="BK187" s="249"/>
      <c r="BN187" s="249"/>
      <c r="BQ187" s="249"/>
      <c r="BT187" s="249"/>
      <c r="BW187" s="249"/>
      <c r="BZ187" s="249"/>
      <c r="CC187" s="249"/>
      <c r="CF187" s="249"/>
      <c r="CI187" s="249"/>
      <c r="CL187" s="249"/>
      <c r="CO187" s="249"/>
      <c r="CR187" s="249"/>
      <c r="CU187" s="249"/>
      <c r="CX187" s="249"/>
      <c r="DA187" s="249"/>
      <c r="DD187" s="249"/>
      <c r="DG187" s="249"/>
      <c r="DJ187" s="249"/>
      <c r="DM187" s="249"/>
      <c r="DP187" s="249"/>
      <c r="DS187" s="249"/>
      <c r="DV187" s="249"/>
      <c r="DY187" s="249"/>
      <c r="EB187" s="249"/>
      <c r="EE187" s="249"/>
      <c r="EH187" s="249"/>
      <c r="EK187" s="249"/>
      <c r="EN187" s="249"/>
      <c r="EQ187" s="249"/>
      <c r="ET187" s="249"/>
      <c r="EW187" s="249"/>
      <c r="EZ187" s="249"/>
      <c r="FC187" s="249"/>
      <c r="FF187" s="249"/>
      <c r="FI187" s="249"/>
      <c r="FL187" s="249"/>
      <c r="FO187" s="249"/>
      <c r="FR187" s="249"/>
      <c r="FU187" s="249"/>
      <c r="FX187" s="249"/>
      <c r="GA187" s="249"/>
      <c r="GD187" s="249"/>
      <c r="GG187" s="249"/>
      <c r="GJ187" s="249"/>
      <c r="GM187" s="249"/>
      <c r="GP187" s="249"/>
      <c r="GS187" s="249"/>
      <c r="GV187" s="249"/>
      <c r="GY187" s="249"/>
      <c r="HB187" s="249"/>
      <c r="HE187" s="249"/>
    </row>
    <row r="188" spans="1:213" x14ac:dyDescent="0.2">
      <c r="A188" s="267" t="s">
        <v>89</v>
      </c>
      <c r="B188" s="284">
        <v>2.6999999999999999E-5</v>
      </c>
      <c r="C188" s="249" t="s">
        <v>82</v>
      </c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W188" s="249"/>
      <c r="Z188" s="249"/>
      <c r="AC188" s="249"/>
      <c r="AD188" s="249"/>
      <c r="AE188" s="249"/>
      <c r="AF188" s="249"/>
      <c r="AG188" s="249"/>
      <c r="AJ188" s="249"/>
      <c r="AM188" s="249"/>
      <c r="AP188" s="249"/>
      <c r="AS188" s="249"/>
      <c r="AV188" s="249"/>
      <c r="AY188" s="249"/>
      <c r="BB188" s="249"/>
      <c r="BE188" s="249"/>
      <c r="BH188" s="249"/>
      <c r="BK188" s="249"/>
      <c r="BN188" s="249"/>
      <c r="BQ188" s="249"/>
      <c r="BT188" s="249"/>
      <c r="BW188" s="249"/>
      <c r="BZ188" s="249"/>
      <c r="CC188" s="249"/>
      <c r="CF188" s="249"/>
      <c r="CI188" s="249"/>
      <c r="CL188" s="249"/>
      <c r="CO188" s="249"/>
      <c r="CR188" s="249"/>
      <c r="CU188" s="249"/>
      <c r="CX188" s="249"/>
      <c r="DA188" s="249"/>
      <c r="DD188" s="249"/>
      <c r="DG188" s="249"/>
      <c r="DJ188" s="249"/>
      <c r="DM188" s="249"/>
      <c r="DP188" s="249"/>
      <c r="DS188" s="249"/>
      <c r="DV188" s="249"/>
      <c r="DY188" s="249"/>
      <c r="EB188" s="249"/>
      <c r="EE188" s="249"/>
      <c r="EH188" s="249"/>
      <c r="EK188" s="249"/>
      <c r="EN188" s="249"/>
      <c r="EQ188" s="249"/>
      <c r="ET188" s="249"/>
      <c r="EW188" s="249"/>
      <c r="EZ188" s="249"/>
      <c r="FC188" s="249"/>
      <c r="FF188" s="249"/>
      <c r="FI188" s="249"/>
      <c r="FL188" s="249"/>
      <c r="FO188" s="249"/>
      <c r="FR188" s="249"/>
      <c r="FU188" s="249"/>
      <c r="FX188" s="249"/>
      <c r="GA188" s="249"/>
      <c r="GD188" s="249"/>
      <c r="GG188" s="249"/>
      <c r="GJ188" s="249"/>
      <c r="GM188" s="249"/>
      <c r="GP188" s="249"/>
      <c r="GS188" s="249"/>
      <c r="GV188" s="249"/>
      <c r="GY188" s="249"/>
      <c r="HB188" s="249"/>
      <c r="HE188" s="249"/>
    </row>
    <row r="189" spans="1:213" x14ac:dyDescent="0.2">
      <c r="A189" s="267" t="s">
        <v>91</v>
      </c>
      <c r="B189" s="284">
        <v>1</v>
      </c>
      <c r="C189" s="249" t="s">
        <v>47</v>
      </c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W189" s="249"/>
      <c r="Z189" s="249"/>
      <c r="AC189" s="249"/>
      <c r="AD189" s="249"/>
      <c r="AE189" s="249"/>
      <c r="AF189" s="249"/>
      <c r="AG189" s="249"/>
      <c r="AJ189" s="249"/>
      <c r="AM189" s="249"/>
      <c r="AP189" s="249"/>
      <c r="AS189" s="249"/>
      <c r="AV189" s="249"/>
      <c r="AY189" s="249"/>
      <c r="BB189" s="249"/>
      <c r="BE189" s="249"/>
      <c r="BH189" s="249"/>
      <c r="BK189" s="249"/>
      <c r="BN189" s="249"/>
      <c r="BQ189" s="249"/>
      <c r="BT189" s="249"/>
      <c r="BW189" s="249"/>
      <c r="BZ189" s="249"/>
      <c r="CC189" s="249"/>
      <c r="CF189" s="249"/>
      <c r="CI189" s="249"/>
      <c r="CL189" s="249"/>
      <c r="CO189" s="249"/>
      <c r="CR189" s="249"/>
      <c r="CU189" s="249"/>
      <c r="CX189" s="249"/>
      <c r="DA189" s="249"/>
      <c r="DD189" s="249"/>
      <c r="DG189" s="249"/>
      <c r="DJ189" s="249"/>
      <c r="DM189" s="249"/>
      <c r="DP189" s="249"/>
      <c r="DS189" s="249"/>
      <c r="DV189" s="249"/>
      <c r="DY189" s="249"/>
      <c r="EB189" s="249"/>
      <c r="EE189" s="249"/>
      <c r="EH189" s="249"/>
      <c r="EK189" s="249"/>
      <c r="EN189" s="249"/>
      <c r="EQ189" s="249"/>
      <c r="ET189" s="249"/>
      <c r="EW189" s="249"/>
      <c r="EZ189" s="249"/>
      <c r="FC189" s="249"/>
      <c r="FF189" s="249"/>
      <c r="FI189" s="249"/>
      <c r="FL189" s="249"/>
      <c r="FO189" s="249"/>
      <c r="FR189" s="249"/>
      <c r="FU189" s="249"/>
      <c r="FX189" s="249"/>
      <c r="GA189" s="249"/>
      <c r="GD189" s="249"/>
      <c r="GG189" s="249"/>
      <c r="GJ189" s="249"/>
      <c r="GM189" s="249"/>
      <c r="GP189" s="249"/>
      <c r="GS189" s="249"/>
      <c r="GV189" s="249"/>
      <c r="GY189" s="249"/>
      <c r="HB189" s="249"/>
      <c r="HE189" s="249"/>
    </row>
    <row r="190" spans="1:213" x14ac:dyDescent="0.2">
      <c r="A190" s="267" t="s">
        <v>92</v>
      </c>
      <c r="B190" s="284">
        <v>14</v>
      </c>
      <c r="C190" s="249" t="s">
        <v>93</v>
      </c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W190" s="249"/>
      <c r="Z190" s="249"/>
      <c r="AC190" s="249"/>
      <c r="AD190" s="249"/>
      <c r="AE190" s="249"/>
      <c r="AF190" s="249"/>
      <c r="AG190" s="249"/>
      <c r="AJ190" s="249"/>
      <c r="AM190" s="249"/>
      <c r="AP190" s="249"/>
      <c r="AS190" s="249"/>
      <c r="AV190" s="249"/>
      <c r="AY190" s="249"/>
      <c r="BB190" s="249"/>
      <c r="BE190" s="249"/>
      <c r="BH190" s="249"/>
      <c r="BK190" s="249"/>
      <c r="BN190" s="249"/>
      <c r="BQ190" s="249"/>
      <c r="BT190" s="249"/>
      <c r="BW190" s="249"/>
      <c r="BZ190" s="249"/>
      <c r="CC190" s="249"/>
      <c r="CF190" s="249"/>
      <c r="CI190" s="249"/>
      <c r="CL190" s="249"/>
      <c r="CO190" s="249"/>
      <c r="CR190" s="249"/>
      <c r="CU190" s="249"/>
      <c r="CX190" s="249"/>
      <c r="DA190" s="249"/>
      <c r="DD190" s="249"/>
      <c r="DG190" s="249"/>
      <c r="DJ190" s="249"/>
      <c r="DM190" s="249"/>
      <c r="DP190" s="249"/>
      <c r="DS190" s="249"/>
      <c r="DV190" s="249"/>
      <c r="DY190" s="249"/>
      <c r="EB190" s="249"/>
      <c r="EE190" s="249"/>
      <c r="EH190" s="249"/>
      <c r="EK190" s="249"/>
      <c r="EN190" s="249"/>
      <c r="EQ190" s="249"/>
      <c r="ET190" s="249"/>
      <c r="EW190" s="249"/>
      <c r="EZ190" s="249"/>
      <c r="FC190" s="249"/>
      <c r="FF190" s="249"/>
      <c r="FI190" s="249"/>
      <c r="FL190" s="249"/>
      <c r="FO190" s="249"/>
      <c r="FR190" s="249"/>
      <c r="FU190" s="249"/>
      <c r="FX190" s="249"/>
      <c r="GA190" s="249"/>
      <c r="GD190" s="249"/>
      <c r="GG190" s="249"/>
      <c r="GJ190" s="249"/>
      <c r="GM190" s="249"/>
      <c r="GP190" s="249"/>
      <c r="GS190" s="249"/>
      <c r="GV190" s="249"/>
      <c r="GY190" s="249"/>
      <c r="HB190" s="249"/>
      <c r="HE190" s="249"/>
    </row>
    <row r="191" spans="1:213" x14ac:dyDescent="0.2">
      <c r="A191" s="262" t="s">
        <v>29</v>
      </c>
      <c r="B191" s="284">
        <v>92</v>
      </c>
      <c r="C191" s="262" t="s">
        <v>30</v>
      </c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W191" s="249"/>
      <c r="Z191" s="249"/>
      <c r="AC191" s="249"/>
      <c r="AD191" s="249"/>
      <c r="AE191" s="249"/>
      <c r="AF191" s="249"/>
      <c r="AG191" s="249"/>
      <c r="AJ191" s="249"/>
      <c r="AM191" s="249"/>
      <c r="AP191" s="249"/>
      <c r="AS191" s="249"/>
      <c r="AV191" s="249"/>
      <c r="AY191" s="249"/>
      <c r="BB191" s="249"/>
      <c r="BE191" s="249"/>
      <c r="BH191" s="249"/>
      <c r="BK191" s="249"/>
      <c r="BN191" s="249"/>
      <c r="BQ191" s="249"/>
      <c r="BT191" s="249"/>
      <c r="BW191" s="249"/>
      <c r="BZ191" s="249"/>
      <c r="CC191" s="249"/>
      <c r="CF191" s="249"/>
      <c r="CI191" s="249"/>
      <c r="CL191" s="249"/>
      <c r="CO191" s="249"/>
      <c r="CR191" s="249"/>
      <c r="CU191" s="249"/>
      <c r="CX191" s="249"/>
      <c r="DA191" s="249"/>
      <c r="DD191" s="249"/>
      <c r="DG191" s="249"/>
      <c r="DJ191" s="249"/>
      <c r="DM191" s="249"/>
      <c r="DP191" s="249"/>
      <c r="DS191" s="249"/>
      <c r="DV191" s="249"/>
      <c r="DY191" s="249"/>
      <c r="EB191" s="249"/>
      <c r="EE191" s="249"/>
      <c r="EH191" s="249"/>
      <c r="EK191" s="249"/>
      <c r="EN191" s="249"/>
      <c r="EQ191" s="249"/>
      <c r="ET191" s="249"/>
      <c r="EW191" s="249"/>
      <c r="EZ191" s="249"/>
      <c r="FC191" s="249"/>
      <c r="FF191" s="249"/>
      <c r="FI191" s="249"/>
      <c r="FL191" s="249"/>
      <c r="FO191" s="249"/>
      <c r="FR191" s="249"/>
      <c r="FU191" s="249"/>
      <c r="FX191" s="249"/>
      <c r="GA191" s="249"/>
      <c r="GD191" s="249"/>
      <c r="GG191" s="249"/>
      <c r="GJ191" s="249"/>
      <c r="GM191" s="249"/>
      <c r="GP191" s="249"/>
      <c r="GS191" s="249"/>
      <c r="GV191" s="249"/>
      <c r="GY191" s="249"/>
      <c r="HB191" s="249"/>
      <c r="HE191" s="249"/>
    </row>
    <row r="192" spans="1:213" x14ac:dyDescent="0.2">
      <c r="A192" s="249" t="s">
        <v>287</v>
      </c>
      <c r="B192" s="283">
        <v>1.03</v>
      </c>
      <c r="C192" s="249" t="s">
        <v>288</v>
      </c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W192" s="249"/>
      <c r="Z192" s="249"/>
      <c r="AC192" s="249"/>
      <c r="AD192" s="249"/>
      <c r="AE192" s="249"/>
      <c r="AF192" s="249"/>
      <c r="AG192" s="249"/>
      <c r="AJ192" s="249"/>
      <c r="AM192" s="249"/>
      <c r="AP192" s="249"/>
      <c r="AS192" s="249"/>
      <c r="AV192" s="249"/>
      <c r="AY192" s="249"/>
      <c r="BB192" s="249"/>
      <c r="BE192" s="249"/>
      <c r="BH192" s="249"/>
      <c r="BK192" s="249"/>
      <c r="BN192" s="249"/>
      <c r="BQ192" s="249"/>
      <c r="BT192" s="249"/>
      <c r="BW192" s="249"/>
      <c r="BZ192" s="249"/>
      <c r="CC192" s="249"/>
      <c r="CF192" s="249"/>
      <c r="CI192" s="249"/>
      <c r="CL192" s="249"/>
      <c r="CO192" s="249"/>
      <c r="CR192" s="249"/>
      <c r="CU192" s="249"/>
      <c r="CX192" s="249"/>
      <c r="DA192" s="249"/>
      <c r="DD192" s="249"/>
      <c r="DG192" s="249"/>
      <c r="DJ192" s="249"/>
      <c r="DM192" s="249"/>
      <c r="DP192" s="249"/>
      <c r="DS192" s="249"/>
      <c r="DV192" s="249"/>
      <c r="DY192" s="249"/>
      <c r="EB192" s="249"/>
      <c r="EE192" s="249"/>
      <c r="EH192" s="249"/>
      <c r="EK192" s="249"/>
      <c r="EN192" s="249"/>
      <c r="EQ192" s="249"/>
      <c r="ET192" s="249"/>
      <c r="EW192" s="249"/>
      <c r="EZ192" s="249"/>
      <c r="FC192" s="249"/>
      <c r="FF192" s="249"/>
      <c r="FI192" s="249"/>
      <c r="FL192" s="249"/>
      <c r="FO192" s="249"/>
      <c r="FR192" s="249"/>
      <c r="FU192" s="249"/>
      <c r="FX192" s="249"/>
      <c r="GA192" s="249"/>
      <c r="GD192" s="249"/>
      <c r="GG192" s="249"/>
      <c r="GJ192" s="249"/>
      <c r="GM192" s="249"/>
      <c r="GP192" s="249"/>
      <c r="GS192" s="249"/>
      <c r="GV192" s="249"/>
      <c r="GY192" s="249"/>
      <c r="HB192" s="249"/>
      <c r="HE192" s="249"/>
    </row>
    <row r="193" spans="1:213" x14ac:dyDescent="0.2">
      <c r="A193" s="262" t="s">
        <v>406</v>
      </c>
      <c r="B193" s="284">
        <v>20.3</v>
      </c>
      <c r="C193" s="249" t="s">
        <v>283</v>
      </c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W193" s="249"/>
      <c r="Z193" s="249"/>
      <c r="AC193" s="249"/>
      <c r="AD193" s="249"/>
      <c r="AE193" s="249"/>
      <c r="AF193" s="249"/>
      <c r="AG193" s="249"/>
      <c r="AJ193" s="249"/>
      <c r="AM193" s="249"/>
      <c r="AP193" s="249"/>
      <c r="AS193" s="249"/>
      <c r="AV193" s="249"/>
      <c r="AY193" s="249"/>
      <c r="BB193" s="249"/>
      <c r="BE193" s="249"/>
      <c r="BH193" s="249"/>
      <c r="BK193" s="249"/>
      <c r="BN193" s="249"/>
      <c r="BQ193" s="249"/>
      <c r="BT193" s="249"/>
      <c r="BW193" s="249"/>
      <c r="BZ193" s="249"/>
      <c r="CC193" s="249"/>
      <c r="CF193" s="249"/>
      <c r="CI193" s="249"/>
      <c r="CL193" s="249"/>
      <c r="CO193" s="249"/>
      <c r="CR193" s="249"/>
      <c r="CU193" s="249"/>
      <c r="CX193" s="249"/>
      <c r="DA193" s="249"/>
      <c r="DD193" s="249"/>
      <c r="DG193" s="249"/>
      <c r="DJ193" s="249"/>
      <c r="DM193" s="249"/>
      <c r="DP193" s="249"/>
      <c r="DS193" s="249"/>
      <c r="DV193" s="249"/>
      <c r="DY193" s="249"/>
      <c r="EB193" s="249"/>
      <c r="EE193" s="249"/>
      <c r="EH193" s="249"/>
      <c r="EK193" s="249"/>
      <c r="EN193" s="249"/>
      <c r="EQ193" s="249"/>
      <c r="ET193" s="249"/>
      <c r="EW193" s="249"/>
      <c r="EZ193" s="249"/>
      <c r="FC193" s="249"/>
      <c r="FF193" s="249"/>
      <c r="FI193" s="249"/>
      <c r="FL193" s="249"/>
      <c r="FO193" s="249"/>
      <c r="FR193" s="249"/>
      <c r="FU193" s="249"/>
      <c r="FX193" s="249"/>
      <c r="GA193" s="249"/>
      <c r="GD193" s="249"/>
      <c r="GG193" s="249"/>
      <c r="GJ193" s="249"/>
      <c r="GM193" s="249"/>
      <c r="GP193" s="249"/>
      <c r="GS193" s="249"/>
      <c r="GV193" s="249"/>
      <c r="GY193" s="249"/>
      <c r="HB193" s="249"/>
      <c r="HE193" s="249"/>
    </row>
    <row r="194" spans="1:213" x14ac:dyDescent="0.2">
      <c r="A194" s="262" t="s">
        <v>407</v>
      </c>
      <c r="B194" s="284">
        <v>0.4</v>
      </c>
      <c r="C194" s="249" t="s">
        <v>283</v>
      </c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W194" s="249"/>
      <c r="Z194" s="249"/>
      <c r="AC194" s="249"/>
      <c r="AD194" s="249"/>
      <c r="AE194" s="249"/>
      <c r="AF194" s="249"/>
      <c r="AG194" s="249"/>
      <c r="AJ194" s="249"/>
      <c r="AM194" s="249"/>
      <c r="AP194" s="249"/>
      <c r="AS194" s="249"/>
      <c r="AV194" s="249"/>
      <c r="AY194" s="249"/>
      <c r="BB194" s="249"/>
      <c r="BE194" s="249"/>
      <c r="BH194" s="249"/>
      <c r="BK194" s="249"/>
      <c r="BN194" s="249"/>
      <c r="BQ194" s="249"/>
      <c r="BT194" s="249"/>
      <c r="BW194" s="249"/>
      <c r="BZ194" s="249"/>
      <c r="CC194" s="249"/>
      <c r="CF194" s="249"/>
      <c r="CI194" s="249"/>
      <c r="CL194" s="249"/>
      <c r="CO194" s="249"/>
      <c r="CR194" s="249"/>
      <c r="CU194" s="249"/>
      <c r="CX194" s="249"/>
      <c r="DA194" s="249"/>
      <c r="DD194" s="249"/>
      <c r="DG194" s="249"/>
      <c r="DJ194" s="249"/>
      <c r="DM194" s="249"/>
      <c r="DP194" s="249"/>
      <c r="DS194" s="249"/>
      <c r="DV194" s="249"/>
      <c r="DY194" s="249"/>
      <c r="EB194" s="249"/>
      <c r="EE194" s="249"/>
      <c r="EH194" s="249"/>
      <c r="EK194" s="249"/>
      <c r="EN194" s="249"/>
      <c r="EQ194" s="249"/>
      <c r="ET194" s="249"/>
      <c r="EW194" s="249"/>
      <c r="EZ194" s="249"/>
      <c r="FC194" s="249"/>
      <c r="FF194" s="249"/>
      <c r="FI194" s="249"/>
      <c r="FL194" s="249"/>
      <c r="FO194" s="249"/>
      <c r="FR194" s="249"/>
      <c r="FU194" s="249"/>
      <c r="FX194" s="249"/>
      <c r="GA194" s="249"/>
      <c r="GD194" s="249"/>
      <c r="GG194" s="249"/>
      <c r="GJ194" s="249"/>
      <c r="GM194" s="249"/>
      <c r="GP194" s="249"/>
      <c r="GS194" s="249"/>
      <c r="GV194" s="249"/>
      <c r="GY194" s="249"/>
      <c r="HB194" s="249"/>
      <c r="HE194" s="249"/>
    </row>
    <row r="195" spans="1:213" x14ac:dyDescent="0.2">
      <c r="A195" s="262" t="s">
        <v>408</v>
      </c>
      <c r="B195" s="284">
        <v>1</v>
      </c>
      <c r="C195" s="247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W195" s="249"/>
      <c r="Z195" s="249"/>
      <c r="AC195" s="249"/>
      <c r="AD195" s="249"/>
      <c r="AE195" s="249"/>
      <c r="AF195" s="249"/>
      <c r="AG195" s="249"/>
      <c r="AJ195" s="249"/>
      <c r="AM195" s="249"/>
      <c r="AP195" s="249"/>
      <c r="AS195" s="249"/>
      <c r="AV195" s="249"/>
      <c r="AY195" s="249"/>
      <c r="BB195" s="249"/>
      <c r="BE195" s="249"/>
      <c r="BH195" s="249"/>
      <c r="BK195" s="249"/>
      <c r="BN195" s="249"/>
      <c r="BQ195" s="249"/>
      <c r="BT195" s="249"/>
      <c r="BW195" s="249"/>
      <c r="BZ195" s="249"/>
      <c r="CC195" s="249"/>
      <c r="CF195" s="249"/>
      <c r="CI195" s="249"/>
      <c r="CL195" s="249"/>
      <c r="CO195" s="249"/>
      <c r="CR195" s="249"/>
      <c r="CU195" s="249"/>
      <c r="CX195" s="249"/>
      <c r="DA195" s="249"/>
      <c r="DD195" s="249"/>
      <c r="DG195" s="249"/>
      <c r="DJ195" s="249"/>
      <c r="DM195" s="249"/>
      <c r="DP195" s="249"/>
      <c r="DS195" s="249"/>
      <c r="DV195" s="249"/>
      <c r="DY195" s="249"/>
      <c r="EB195" s="249"/>
      <c r="EE195" s="249"/>
      <c r="EH195" s="249"/>
      <c r="EK195" s="249"/>
      <c r="EN195" s="249"/>
      <c r="EQ195" s="249"/>
      <c r="ET195" s="249"/>
      <c r="EW195" s="249"/>
      <c r="EZ195" s="249"/>
      <c r="FC195" s="249"/>
      <c r="FF195" s="249"/>
      <c r="FI195" s="249"/>
      <c r="FL195" s="249"/>
      <c r="FO195" s="249"/>
      <c r="FR195" s="249"/>
      <c r="FU195" s="249"/>
      <c r="FX195" s="249"/>
      <c r="GA195" s="249"/>
      <c r="GD195" s="249"/>
      <c r="GG195" s="249"/>
      <c r="GJ195" s="249"/>
      <c r="GM195" s="249"/>
      <c r="GP195" s="249"/>
      <c r="GS195" s="249"/>
      <c r="GV195" s="249"/>
      <c r="GY195" s="249"/>
      <c r="HB195" s="249"/>
      <c r="HE195" s="249"/>
    </row>
    <row r="196" spans="1:213" x14ac:dyDescent="0.2">
      <c r="A196" s="262" t="s">
        <v>409</v>
      </c>
      <c r="B196" s="284">
        <v>1</v>
      </c>
      <c r="C196" s="247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W196" s="249"/>
      <c r="Z196" s="249"/>
      <c r="AC196" s="249"/>
      <c r="AD196" s="249"/>
      <c r="AE196" s="249"/>
      <c r="AF196" s="249"/>
      <c r="AG196" s="249"/>
      <c r="AJ196" s="249"/>
      <c r="AM196" s="249"/>
      <c r="AP196" s="249"/>
      <c r="AS196" s="249"/>
      <c r="AV196" s="249"/>
      <c r="AY196" s="249"/>
      <c r="BB196" s="249"/>
      <c r="BE196" s="249"/>
      <c r="BH196" s="249"/>
      <c r="BK196" s="249"/>
      <c r="BN196" s="249"/>
      <c r="BQ196" s="249"/>
      <c r="BT196" s="249"/>
      <c r="BW196" s="249"/>
      <c r="BZ196" s="249"/>
      <c r="CC196" s="249"/>
      <c r="CF196" s="249"/>
      <c r="CI196" s="249"/>
      <c r="CL196" s="249"/>
      <c r="CO196" s="249"/>
      <c r="CR196" s="249"/>
      <c r="CU196" s="249"/>
      <c r="CX196" s="249"/>
      <c r="DA196" s="249"/>
      <c r="DD196" s="249"/>
      <c r="DG196" s="249"/>
      <c r="DJ196" s="249"/>
      <c r="DM196" s="249"/>
      <c r="DP196" s="249"/>
      <c r="DS196" s="249"/>
      <c r="DV196" s="249"/>
      <c r="DY196" s="249"/>
      <c r="EB196" s="249"/>
      <c r="EE196" s="249"/>
      <c r="EH196" s="249"/>
      <c r="EK196" s="249"/>
      <c r="EN196" s="249"/>
      <c r="EQ196" s="249"/>
      <c r="ET196" s="249"/>
      <c r="EW196" s="249"/>
      <c r="EZ196" s="249"/>
      <c r="FC196" s="249"/>
      <c r="FF196" s="249"/>
      <c r="FI196" s="249"/>
      <c r="FL196" s="249"/>
      <c r="FO196" s="249"/>
      <c r="FR196" s="249"/>
      <c r="FU196" s="249"/>
      <c r="FX196" s="249"/>
      <c r="GA196" s="249"/>
      <c r="GD196" s="249"/>
      <c r="GG196" s="249"/>
      <c r="GJ196" s="249"/>
      <c r="GM196" s="249"/>
      <c r="GP196" s="249"/>
      <c r="GS196" s="249"/>
      <c r="GV196" s="249"/>
      <c r="GY196" s="249"/>
      <c r="HB196" s="249"/>
      <c r="HE196" s="249"/>
    </row>
    <row r="197" spans="1:213" x14ac:dyDescent="0.2">
      <c r="A197" s="262" t="s">
        <v>31</v>
      </c>
      <c r="B197" s="284">
        <v>53</v>
      </c>
      <c r="C197" s="262" t="s">
        <v>30</v>
      </c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W197" s="249"/>
      <c r="Z197" s="249"/>
      <c r="AC197" s="249"/>
      <c r="AD197" s="249"/>
      <c r="AE197" s="249"/>
      <c r="AF197" s="249"/>
      <c r="AG197" s="249"/>
      <c r="AJ197" s="249"/>
      <c r="AM197" s="249"/>
      <c r="AP197" s="249"/>
      <c r="AS197" s="249"/>
      <c r="AV197" s="249"/>
      <c r="AY197" s="249"/>
      <c r="BB197" s="249"/>
      <c r="BE197" s="249"/>
      <c r="BH197" s="249"/>
      <c r="BK197" s="249"/>
      <c r="BN197" s="249"/>
      <c r="BQ197" s="249"/>
      <c r="BT197" s="249"/>
      <c r="BW197" s="249"/>
      <c r="BZ197" s="249"/>
      <c r="CC197" s="249"/>
      <c r="CF197" s="249"/>
      <c r="CI197" s="249"/>
      <c r="CL197" s="249"/>
      <c r="CO197" s="249"/>
      <c r="CR197" s="249"/>
      <c r="CU197" s="249"/>
      <c r="CX197" s="249"/>
      <c r="DA197" s="249"/>
      <c r="DD197" s="249"/>
      <c r="DG197" s="249"/>
      <c r="DJ197" s="249"/>
      <c r="DM197" s="249"/>
      <c r="DP197" s="249"/>
      <c r="DS197" s="249"/>
      <c r="DV197" s="249"/>
      <c r="DY197" s="249"/>
      <c r="EB197" s="249"/>
      <c r="EE197" s="249"/>
      <c r="EH197" s="249"/>
      <c r="EK197" s="249"/>
      <c r="EN197" s="249"/>
      <c r="EQ197" s="249"/>
      <c r="ET197" s="249"/>
      <c r="EW197" s="249"/>
      <c r="EZ197" s="249"/>
      <c r="FC197" s="249"/>
      <c r="FF197" s="249"/>
      <c r="FI197" s="249"/>
      <c r="FL197" s="249"/>
      <c r="FO197" s="249"/>
      <c r="FR197" s="249"/>
      <c r="FU197" s="249"/>
      <c r="FX197" s="249"/>
      <c r="GA197" s="249"/>
      <c r="GD197" s="249"/>
      <c r="GG197" s="249"/>
      <c r="GJ197" s="249"/>
      <c r="GM197" s="249"/>
      <c r="GP197" s="249"/>
      <c r="GS197" s="249"/>
      <c r="GV197" s="249"/>
      <c r="GY197" s="249"/>
      <c r="HB197" s="249"/>
      <c r="HE197" s="249"/>
    </row>
    <row r="198" spans="1:213" x14ac:dyDescent="0.2">
      <c r="A198" s="262" t="s">
        <v>410</v>
      </c>
      <c r="B198" s="284">
        <v>11.77</v>
      </c>
      <c r="C198" s="249" t="s">
        <v>283</v>
      </c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W198" s="249"/>
      <c r="Z198" s="249"/>
      <c r="AC198" s="249"/>
      <c r="AD198" s="249"/>
      <c r="AE198" s="249"/>
      <c r="AF198" s="249"/>
      <c r="AG198" s="249"/>
      <c r="AJ198" s="249"/>
      <c r="AM198" s="249"/>
      <c r="AP198" s="249"/>
      <c r="AS198" s="249"/>
      <c r="AV198" s="249"/>
      <c r="AY198" s="249"/>
      <c r="BB198" s="249"/>
      <c r="BE198" s="249"/>
      <c r="BH198" s="249"/>
      <c r="BK198" s="249"/>
      <c r="BN198" s="249"/>
      <c r="BQ198" s="249"/>
      <c r="BT198" s="249"/>
      <c r="BW198" s="249"/>
      <c r="BZ198" s="249"/>
      <c r="CC198" s="249"/>
      <c r="CF198" s="249"/>
      <c r="CI198" s="249"/>
      <c r="CL198" s="249"/>
      <c r="CO198" s="249"/>
      <c r="CR198" s="249"/>
      <c r="CU198" s="249"/>
      <c r="CX198" s="249"/>
      <c r="DA198" s="249"/>
      <c r="DD198" s="249"/>
      <c r="DG198" s="249"/>
      <c r="DJ198" s="249"/>
      <c r="DM198" s="249"/>
      <c r="DP198" s="249"/>
      <c r="DS198" s="249"/>
      <c r="DV198" s="249"/>
      <c r="DY198" s="249"/>
      <c r="EB198" s="249"/>
      <c r="EE198" s="249"/>
      <c r="EH198" s="249"/>
      <c r="EK198" s="249"/>
      <c r="EN198" s="249"/>
      <c r="EQ198" s="249"/>
      <c r="ET198" s="249"/>
      <c r="EW198" s="249"/>
      <c r="EZ198" s="249"/>
      <c r="FC198" s="249"/>
      <c r="FF198" s="249"/>
      <c r="FI198" s="249"/>
      <c r="FL198" s="249"/>
      <c r="FO198" s="249"/>
      <c r="FR198" s="249"/>
      <c r="FU198" s="249"/>
      <c r="FX198" s="249"/>
      <c r="GA198" s="249"/>
      <c r="GD198" s="249"/>
      <c r="GG198" s="249"/>
      <c r="GJ198" s="249"/>
      <c r="GM198" s="249"/>
      <c r="GP198" s="249"/>
      <c r="GS198" s="249"/>
      <c r="GV198" s="249"/>
      <c r="GY198" s="249"/>
      <c r="HB198" s="249"/>
      <c r="HE198" s="249"/>
    </row>
    <row r="199" spans="1:213" x14ac:dyDescent="0.2">
      <c r="A199" s="262" t="s">
        <v>411</v>
      </c>
      <c r="B199" s="284">
        <v>0.5</v>
      </c>
      <c r="C199" s="249" t="s">
        <v>283</v>
      </c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W199" s="249"/>
      <c r="Z199" s="249"/>
      <c r="AC199" s="249"/>
      <c r="AD199" s="249"/>
      <c r="AE199" s="249"/>
      <c r="AF199" s="249"/>
      <c r="AG199" s="249"/>
      <c r="AJ199" s="249"/>
      <c r="AM199" s="249"/>
      <c r="AP199" s="249"/>
      <c r="AS199" s="249"/>
      <c r="AV199" s="249"/>
      <c r="AY199" s="249"/>
      <c r="BB199" s="249"/>
      <c r="BE199" s="249"/>
      <c r="BH199" s="249"/>
      <c r="BK199" s="249"/>
      <c r="BN199" s="249"/>
      <c r="BQ199" s="249"/>
      <c r="BT199" s="249"/>
      <c r="BW199" s="249"/>
      <c r="BZ199" s="249"/>
      <c r="CC199" s="249"/>
      <c r="CF199" s="249"/>
      <c r="CI199" s="249"/>
      <c r="CL199" s="249"/>
      <c r="CO199" s="249"/>
      <c r="CR199" s="249"/>
      <c r="CU199" s="249"/>
      <c r="CX199" s="249"/>
      <c r="DA199" s="249"/>
      <c r="DD199" s="249"/>
      <c r="DG199" s="249"/>
      <c r="DJ199" s="249"/>
      <c r="DM199" s="249"/>
      <c r="DP199" s="249"/>
      <c r="DS199" s="249"/>
      <c r="DV199" s="249"/>
      <c r="DY199" s="249"/>
      <c r="EB199" s="249"/>
      <c r="EE199" s="249"/>
      <c r="EH199" s="249"/>
      <c r="EK199" s="249"/>
      <c r="EN199" s="249"/>
      <c r="EQ199" s="249"/>
      <c r="ET199" s="249"/>
      <c r="EW199" s="249"/>
      <c r="EZ199" s="249"/>
      <c r="FC199" s="249"/>
      <c r="FF199" s="249"/>
      <c r="FI199" s="249"/>
      <c r="FL199" s="249"/>
      <c r="FO199" s="249"/>
      <c r="FR199" s="249"/>
      <c r="FU199" s="249"/>
      <c r="FX199" s="249"/>
      <c r="GA199" s="249"/>
      <c r="GD199" s="249"/>
      <c r="GG199" s="249"/>
      <c r="GJ199" s="249"/>
      <c r="GM199" s="249"/>
      <c r="GP199" s="249"/>
      <c r="GS199" s="249"/>
      <c r="GV199" s="249"/>
      <c r="GY199" s="249"/>
      <c r="HB199" s="249"/>
      <c r="HE199" s="249"/>
    </row>
    <row r="200" spans="1:213" x14ac:dyDescent="0.2">
      <c r="A200" s="262" t="s">
        <v>412</v>
      </c>
      <c r="B200" s="284">
        <v>1</v>
      </c>
      <c r="C200" s="247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W200" s="249"/>
      <c r="Z200" s="249"/>
      <c r="AC200" s="249"/>
      <c r="AD200" s="249"/>
      <c r="AE200" s="249"/>
      <c r="AF200" s="249"/>
      <c r="AG200" s="249"/>
      <c r="AJ200" s="249"/>
      <c r="AM200" s="249"/>
      <c r="AP200" s="249"/>
      <c r="AS200" s="249"/>
      <c r="AV200" s="249"/>
      <c r="AY200" s="249"/>
      <c r="BB200" s="249"/>
      <c r="BE200" s="249"/>
      <c r="BH200" s="249"/>
      <c r="BK200" s="249"/>
      <c r="BN200" s="249"/>
      <c r="BQ200" s="249"/>
      <c r="BT200" s="249"/>
      <c r="BW200" s="249"/>
      <c r="BZ200" s="249"/>
      <c r="CC200" s="249"/>
      <c r="CF200" s="249"/>
      <c r="CI200" s="249"/>
      <c r="CL200" s="249"/>
      <c r="CO200" s="249"/>
      <c r="CR200" s="249"/>
      <c r="CU200" s="249"/>
      <c r="CX200" s="249"/>
      <c r="DA200" s="249"/>
      <c r="DD200" s="249"/>
      <c r="DG200" s="249"/>
      <c r="DJ200" s="249"/>
      <c r="DM200" s="249"/>
      <c r="DP200" s="249"/>
      <c r="DS200" s="249"/>
      <c r="DV200" s="249"/>
      <c r="DY200" s="249"/>
      <c r="EB200" s="249"/>
      <c r="EE200" s="249"/>
      <c r="EH200" s="249"/>
      <c r="EK200" s="249"/>
      <c r="EN200" s="249"/>
      <c r="EQ200" s="249"/>
      <c r="ET200" s="249"/>
      <c r="EW200" s="249"/>
      <c r="EZ200" s="249"/>
      <c r="FC200" s="249"/>
      <c r="FF200" s="249"/>
      <c r="FI200" s="249"/>
      <c r="FL200" s="249"/>
      <c r="FO200" s="249"/>
      <c r="FR200" s="249"/>
      <c r="FU200" s="249"/>
      <c r="FX200" s="249"/>
      <c r="GA200" s="249"/>
      <c r="GD200" s="249"/>
      <c r="GG200" s="249"/>
      <c r="GJ200" s="249"/>
      <c r="GM200" s="249"/>
      <c r="GP200" s="249"/>
      <c r="GS200" s="249"/>
      <c r="GV200" s="249"/>
      <c r="GY200" s="249"/>
      <c r="HB200" s="249"/>
      <c r="HE200" s="249"/>
    </row>
    <row r="201" spans="1:213" x14ac:dyDescent="0.2">
      <c r="A201" s="262" t="s">
        <v>413</v>
      </c>
      <c r="B201" s="284">
        <v>1</v>
      </c>
      <c r="C201" s="247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W201" s="249"/>
      <c r="Z201" s="249"/>
      <c r="AC201" s="249"/>
      <c r="AD201" s="249"/>
      <c r="AE201" s="249"/>
      <c r="AF201" s="249"/>
      <c r="AG201" s="249"/>
      <c r="AJ201" s="249"/>
      <c r="AM201" s="249"/>
      <c r="AP201" s="249"/>
      <c r="AS201" s="249"/>
      <c r="AV201" s="249"/>
      <c r="AY201" s="249"/>
      <c r="BB201" s="249"/>
      <c r="BE201" s="249"/>
      <c r="BH201" s="249"/>
      <c r="BK201" s="249"/>
      <c r="BN201" s="249"/>
      <c r="BQ201" s="249"/>
      <c r="BT201" s="249"/>
      <c r="BW201" s="249"/>
      <c r="BZ201" s="249"/>
      <c r="CC201" s="249"/>
      <c r="CF201" s="249"/>
      <c r="CI201" s="249"/>
      <c r="CL201" s="249"/>
      <c r="CO201" s="249"/>
      <c r="CR201" s="249"/>
      <c r="CU201" s="249"/>
      <c r="CX201" s="249"/>
      <c r="DA201" s="249"/>
      <c r="DD201" s="249"/>
      <c r="DG201" s="249"/>
      <c r="DJ201" s="249"/>
      <c r="DM201" s="249"/>
      <c r="DP201" s="249"/>
      <c r="DS201" s="249"/>
      <c r="DV201" s="249"/>
      <c r="DY201" s="249"/>
      <c r="EB201" s="249"/>
      <c r="EE201" s="249"/>
      <c r="EH201" s="249"/>
      <c r="EK201" s="249"/>
      <c r="EN201" s="249"/>
      <c r="EQ201" s="249"/>
      <c r="ET201" s="249"/>
      <c r="EW201" s="249"/>
      <c r="EZ201" s="249"/>
      <c r="FC201" s="249"/>
      <c r="FF201" s="249"/>
      <c r="FI201" s="249"/>
      <c r="FL201" s="249"/>
      <c r="FO201" s="249"/>
      <c r="FR201" s="249"/>
      <c r="FU201" s="249"/>
      <c r="FX201" s="249"/>
      <c r="GA201" s="249"/>
      <c r="GD201" s="249"/>
      <c r="GG201" s="249"/>
      <c r="GJ201" s="249"/>
      <c r="GM201" s="249"/>
      <c r="GP201" s="249"/>
      <c r="GS201" s="249"/>
      <c r="GV201" s="249"/>
      <c r="GY201" s="249"/>
      <c r="HB201" s="249"/>
      <c r="HE201" s="249"/>
    </row>
    <row r="202" spans="1:213" x14ac:dyDescent="0.2">
      <c r="A202" s="262" t="s">
        <v>173</v>
      </c>
      <c r="B202" s="283">
        <v>0.4</v>
      </c>
      <c r="C202" s="262" t="s">
        <v>30</v>
      </c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W202" s="249"/>
      <c r="Z202" s="249"/>
      <c r="AC202" s="249"/>
      <c r="AD202" s="249"/>
      <c r="AE202" s="249"/>
      <c r="AF202" s="249"/>
      <c r="AG202" s="249"/>
      <c r="AJ202" s="249"/>
      <c r="AM202" s="249"/>
      <c r="AP202" s="249"/>
      <c r="AS202" s="249"/>
      <c r="AV202" s="249"/>
      <c r="AY202" s="249"/>
      <c r="BB202" s="249"/>
      <c r="BE202" s="249"/>
      <c r="BH202" s="249"/>
      <c r="BK202" s="249"/>
      <c r="BN202" s="249"/>
      <c r="BQ202" s="249"/>
      <c r="BT202" s="249"/>
      <c r="BW202" s="249"/>
      <c r="BZ202" s="249"/>
      <c r="CC202" s="249"/>
      <c r="CF202" s="249"/>
      <c r="CI202" s="249"/>
      <c r="CL202" s="249"/>
      <c r="CO202" s="249"/>
      <c r="CR202" s="249"/>
      <c r="CU202" s="249"/>
      <c r="CX202" s="249"/>
      <c r="DA202" s="249"/>
      <c r="DD202" s="249"/>
      <c r="DG202" s="249"/>
      <c r="DJ202" s="249"/>
      <c r="DM202" s="249"/>
      <c r="DP202" s="249"/>
      <c r="DS202" s="249"/>
      <c r="DV202" s="249"/>
      <c r="DY202" s="249"/>
      <c r="EB202" s="249"/>
      <c r="EE202" s="249"/>
      <c r="EH202" s="249"/>
      <c r="EK202" s="249"/>
      <c r="EN202" s="249"/>
      <c r="EQ202" s="249"/>
      <c r="ET202" s="249"/>
      <c r="EW202" s="249"/>
      <c r="EZ202" s="249"/>
      <c r="FC202" s="249"/>
      <c r="FF202" s="249"/>
      <c r="FI202" s="249"/>
      <c r="FL202" s="249"/>
      <c r="FO202" s="249"/>
      <c r="FR202" s="249"/>
      <c r="FU202" s="249"/>
      <c r="FX202" s="249"/>
      <c r="GA202" s="249"/>
      <c r="GD202" s="249"/>
      <c r="GG202" s="249"/>
      <c r="GJ202" s="249"/>
      <c r="GM202" s="249"/>
      <c r="GP202" s="249"/>
      <c r="GS202" s="249"/>
      <c r="GV202" s="249"/>
      <c r="GY202" s="249"/>
      <c r="HB202" s="249"/>
      <c r="HE202" s="249"/>
    </row>
    <row r="203" spans="1:213" x14ac:dyDescent="0.2">
      <c r="A203" s="262" t="s">
        <v>177</v>
      </c>
      <c r="B203" s="284">
        <v>0.2</v>
      </c>
      <c r="C203" s="249" t="s">
        <v>283</v>
      </c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W203" s="249"/>
      <c r="Z203" s="249"/>
      <c r="AC203" s="249"/>
      <c r="AD203" s="249"/>
      <c r="AE203" s="249"/>
      <c r="AF203" s="249"/>
      <c r="AG203" s="249"/>
      <c r="AJ203" s="249"/>
      <c r="AM203" s="249"/>
      <c r="AP203" s="249"/>
      <c r="AS203" s="249"/>
      <c r="AV203" s="249"/>
      <c r="AY203" s="249"/>
      <c r="BB203" s="249"/>
      <c r="BE203" s="249"/>
      <c r="BH203" s="249"/>
      <c r="BK203" s="249"/>
      <c r="BN203" s="249"/>
      <c r="BQ203" s="249"/>
      <c r="BT203" s="249"/>
      <c r="BW203" s="249"/>
      <c r="BZ203" s="249"/>
      <c r="CC203" s="249"/>
      <c r="CF203" s="249"/>
      <c r="CI203" s="249"/>
      <c r="CL203" s="249"/>
      <c r="CO203" s="249"/>
      <c r="CR203" s="249"/>
      <c r="CU203" s="249"/>
      <c r="CX203" s="249"/>
      <c r="DA203" s="249"/>
      <c r="DD203" s="249"/>
      <c r="DG203" s="249"/>
      <c r="DJ203" s="249"/>
      <c r="DM203" s="249"/>
      <c r="DP203" s="249"/>
      <c r="DS203" s="249"/>
      <c r="DV203" s="249"/>
      <c r="DY203" s="249"/>
      <c r="EB203" s="249"/>
      <c r="EE203" s="249"/>
      <c r="EH203" s="249"/>
      <c r="EK203" s="249"/>
      <c r="EN203" s="249"/>
      <c r="EQ203" s="249"/>
      <c r="ET203" s="249"/>
      <c r="EW203" s="249"/>
      <c r="EZ203" s="249"/>
      <c r="FC203" s="249"/>
      <c r="FF203" s="249"/>
      <c r="FI203" s="249"/>
      <c r="FL203" s="249"/>
      <c r="FO203" s="249"/>
      <c r="FR203" s="249"/>
      <c r="FU203" s="249"/>
      <c r="FX203" s="249"/>
      <c r="GA203" s="249"/>
      <c r="GD203" s="249"/>
      <c r="GG203" s="249"/>
      <c r="GJ203" s="249"/>
      <c r="GM203" s="249"/>
      <c r="GP203" s="249"/>
      <c r="GS203" s="249"/>
      <c r="GV203" s="249"/>
      <c r="GY203" s="249"/>
      <c r="HB203" s="249"/>
      <c r="HE203" s="249"/>
    </row>
    <row r="204" spans="1:213" x14ac:dyDescent="0.2">
      <c r="A204" s="262" t="s">
        <v>176</v>
      </c>
      <c r="B204" s="284">
        <v>2.1999999999999999E-2</v>
      </c>
      <c r="C204" s="249" t="s">
        <v>283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W204" s="249"/>
      <c r="Z204" s="249"/>
      <c r="AC204" s="249"/>
      <c r="AD204" s="249"/>
      <c r="AE204" s="249"/>
      <c r="AF204" s="249"/>
      <c r="AG204" s="249"/>
      <c r="AJ204" s="249"/>
      <c r="AM204" s="249"/>
      <c r="AP204" s="249"/>
      <c r="AS204" s="249"/>
      <c r="AV204" s="249"/>
      <c r="AY204" s="249"/>
      <c r="BB204" s="249"/>
      <c r="BE204" s="249"/>
      <c r="BH204" s="249"/>
      <c r="BK204" s="249"/>
      <c r="BN204" s="249"/>
      <c r="BQ204" s="249"/>
      <c r="BT204" s="249"/>
      <c r="BW204" s="249"/>
      <c r="BZ204" s="249"/>
      <c r="CC204" s="249"/>
      <c r="CF204" s="249"/>
      <c r="CI204" s="249"/>
      <c r="CL204" s="249"/>
      <c r="CO204" s="249"/>
      <c r="CR204" s="249"/>
      <c r="CU204" s="249"/>
      <c r="CX204" s="249"/>
      <c r="DA204" s="249"/>
      <c r="DD204" s="249"/>
      <c r="DG204" s="249"/>
      <c r="DJ204" s="249"/>
      <c r="DM204" s="249"/>
      <c r="DP204" s="249"/>
      <c r="DS204" s="249"/>
      <c r="DV204" s="249"/>
      <c r="DY204" s="249"/>
      <c r="EB204" s="249"/>
      <c r="EE204" s="249"/>
      <c r="EH204" s="249"/>
      <c r="EK204" s="249"/>
      <c r="EN204" s="249"/>
      <c r="EQ204" s="249"/>
      <c r="ET204" s="249"/>
      <c r="EW204" s="249"/>
      <c r="EZ204" s="249"/>
      <c r="FC204" s="249"/>
      <c r="FF204" s="249"/>
      <c r="FI204" s="249"/>
      <c r="FL204" s="249"/>
      <c r="FO204" s="249"/>
      <c r="FR204" s="249"/>
      <c r="FU204" s="249"/>
      <c r="FX204" s="249"/>
      <c r="GA204" s="249"/>
      <c r="GD204" s="249"/>
      <c r="GG204" s="249"/>
      <c r="GJ204" s="249"/>
      <c r="GM204" s="249"/>
      <c r="GP204" s="249"/>
      <c r="GS204" s="249"/>
      <c r="GV204" s="249"/>
      <c r="GY204" s="249"/>
      <c r="HB204" s="249"/>
      <c r="HE204" s="249"/>
    </row>
    <row r="205" spans="1:213" x14ac:dyDescent="0.2">
      <c r="A205" s="262" t="s">
        <v>178</v>
      </c>
      <c r="B205" s="283">
        <v>1</v>
      </c>
      <c r="C205" s="247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W205" s="249"/>
      <c r="Z205" s="249"/>
      <c r="AC205" s="249"/>
      <c r="AD205" s="249"/>
      <c r="AE205" s="249"/>
      <c r="AF205" s="249"/>
      <c r="AG205" s="249"/>
      <c r="AJ205" s="249"/>
      <c r="AM205" s="249"/>
      <c r="AP205" s="249"/>
      <c r="AS205" s="249"/>
      <c r="AV205" s="249"/>
      <c r="AY205" s="249"/>
      <c r="BB205" s="249"/>
      <c r="BE205" s="249"/>
      <c r="BH205" s="249"/>
      <c r="BK205" s="249"/>
      <c r="BN205" s="249"/>
      <c r="BQ205" s="249"/>
      <c r="BT205" s="249"/>
      <c r="BW205" s="249"/>
      <c r="BZ205" s="249"/>
      <c r="CC205" s="249"/>
      <c r="CF205" s="249"/>
      <c r="CI205" s="249"/>
      <c r="CL205" s="249"/>
      <c r="CO205" s="249"/>
      <c r="CR205" s="249"/>
      <c r="CU205" s="249"/>
      <c r="CX205" s="249"/>
      <c r="DA205" s="249"/>
      <c r="DD205" s="249"/>
      <c r="DG205" s="249"/>
      <c r="DJ205" s="249"/>
      <c r="DM205" s="249"/>
      <c r="DP205" s="249"/>
      <c r="DS205" s="249"/>
      <c r="DV205" s="249"/>
      <c r="DY205" s="249"/>
      <c r="EB205" s="249"/>
      <c r="EE205" s="249"/>
      <c r="EH205" s="249"/>
      <c r="EK205" s="249"/>
      <c r="EN205" s="249"/>
      <c r="EQ205" s="249"/>
      <c r="ET205" s="249"/>
      <c r="EW205" s="249"/>
      <c r="EZ205" s="249"/>
      <c r="FC205" s="249"/>
      <c r="FF205" s="249"/>
      <c r="FI205" s="249"/>
      <c r="FL205" s="249"/>
      <c r="FO205" s="249"/>
      <c r="FR205" s="249"/>
      <c r="FU205" s="249"/>
      <c r="FX205" s="249"/>
      <c r="GA205" s="249"/>
      <c r="GD205" s="249"/>
      <c r="GG205" s="249"/>
      <c r="GJ205" s="249"/>
      <c r="GM205" s="249"/>
      <c r="GP205" s="249"/>
      <c r="GS205" s="249"/>
      <c r="GV205" s="249"/>
      <c r="GY205" s="249"/>
      <c r="HB205" s="249"/>
      <c r="HE205" s="249"/>
    </row>
    <row r="206" spans="1:213" x14ac:dyDescent="0.2">
      <c r="A206" s="262" t="s">
        <v>179</v>
      </c>
      <c r="B206" s="283">
        <v>1</v>
      </c>
      <c r="C206" s="247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W206" s="249"/>
      <c r="Z206" s="249"/>
      <c r="AC206" s="249"/>
      <c r="AD206" s="249"/>
      <c r="AE206" s="249"/>
      <c r="AF206" s="249"/>
      <c r="AG206" s="249"/>
      <c r="AJ206" s="249"/>
      <c r="AM206" s="249"/>
      <c r="AP206" s="249"/>
      <c r="AS206" s="249"/>
      <c r="AV206" s="249"/>
      <c r="AY206" s="249"/>
      <c r="BB206" s="249"/>
      <c r="BE206" s="249"/>
      <c r="BH206" s="249"/>
      <c r="BK206" s="249"/>
      <c r="BN206" s="249"/>
      <c r="BQ206" s="249"/>
      <c r="BT206" s="249"/>
      <c r="BW206" s="249"/>
      <c r="BZ206" s="249"/>
      <c r="CC206" s="249"/>
      <c r="CF206" s="249"/>
      <c r="CI206" s="249"/>
      <c r="CL206" s="249"/>
      <c r="CO206" s="249"/>
      <c r="CR206" s="249"/>
      <c r="CU206" s="249"/>
      <c r="CX206" s="249"/>
      <c r="DA206" s="249"/>
      <c r="DD206" s="249"/>
      <c r="DG206" s="249"/>
      <c r="DJ206" s="249"/>
      <c r="DM206" s="249"/>
      <c r="DP206" s="249"/>
      <c r="DS206" s="249"/>
      <c r="DV206" s="249"/>
      <c r="DY206" s="249"/>
      <c r="EB206" s="249"/>
      <c r="EE206" s="249"/>
      <c r="EH206" s="249"/>
      <c r="EK206" s="249"/>
      <c r="EN206" s="249"/>
      <c r="EQ206" s="249"/>
      <c r="ET206" s="249"/>
      <c r="EW206" s="249"/>
      <c r="EZ206" s="249"/>
      <c r="FC206" s="249"/>
      <c r="FF206" s="249"/>
      <c r="FI206" s="249"/>
      <c r="FL206" s="249"/>
      <c r="FO206" s="249"/>
      <c r="FR206" s="249"/>
      <c r="FU206" s="249"/>
      <c r="FX206" s="249"/>
      <c r="GA206" s="249"/>
      <c r="GD206" s="249"/>
      <c r="GG206" s="249"/>
      <c r="GJ206" s="249"/>
      <c r="GM206" s="249"/>
      <c r="GP206" s="249"/>
      <c r="GS206" s="249"/>
      <c r="GV206" s="249"/>
      <c r="GY206" s="249"/>
      <c r="HB206" s="249"/>
      <c r="HE206" s="249"/>
    </row>
    <row r="207" spans="1:213" x14ac:dyDescent="0.2">
      <c r="A207" s="262" t="s">
        <v>414</v>
      </c>
      <c r="B207" s="283">
        <v>0.4</v>
      </c>
      <c r="C207" s="262" t="s">
        <v>30</v>
      </c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W207" s="249"/>
      <c r="Z207" s="249"/>
      <c r="AC207" s="249"/>
      <c r="AD207" s="249"/>
      <c r="AE207" s="249"/>
      <c r="AF207" s="249"/>
      <c r="AG207" s="249"/>
      <c r="AJ207" s="249"/>
      <c r="AM207" s="249"/>
      <c r="AP207" s="249"/>
      <c r="AS207" s="249"/>
      <c r="AV207" s="249"/>
      <c r="AY207" s="249"/>
      <c r="BB207" s="249"/>
      <c r="BE207" s="249"/>
      <c r="BH207" s="249"/>
      <c r="BK207" s="249"/>
      <c r="BN207" s="249"/>
      <c r="BQ207" s="249"/>
      <c r="BT207" s="249"/>
      <c r="BW207" s="249"/>
      <c r="BZ207" s="249"/>
      <c r="CC207" s="249"/>
      <c r="CF207" s="249"/>
      <c r="CI207" s="249"/>
      <c r="CL207" s="249"/>
      <c r="CO207" s="249"/>
      <c r="CR207" s="249"/>
      <c r="CU207" s="249"/>
      <c r="CX207" s="249"/>
      <c r="DA207" s="249"/>
      <c r="DD207" s="249"/>
      <c r="DG207" s="249"/>
      <c r="DJ207" s="249"/>
      <c r="DM207" s="249"/>
      <c r="DP207" s="249"/>
      <c r="DS207" s="249"/>
      <c r="DV207" s="249"/>
      <c r="DY207" s="249"/>
      <c r="EB207" s="249"/>
      <c r="EE207" s="249"/>
      <c r="EH207" s="249"/>
      <c r="EK207" s="249"/>
      <c r="EN207" s="249"/>
      <c r="EQ207" s="249"/>
      <c r="ET207" s="249"/>
      <c r="EW207" s="249"/>
      <c r="EZ207" s="249"/>
      <c r="FC207" s="249"/>
      <c r="FF207" s="249"/>
      <c r="FI207" s="249"/>
      <c r="FL207" s="249"/>
      <c r="FO207" s="249"/>
      <c r="FR207" s="249"/>
      <c r="FU207" s="249"/>
      <c r="FX207" s="249"/>
      <c r="GA207" s="249"/>
      <c r="GD207" s="249"/>
      <c r="GG207" s="249"/>
      <c r="GJ207" s="249"/>
      <c r="GM207" s="249"/>
      <c r="GP207" s="249"/>
      <c r="GS207" s="249"/>
      <c r="GV207" s="249"/>
      <c r="GY207" s="249"/>
      <c r="HB207" s="249"/>
      <c r="HE207" s="249"/>
    </row>
    <row r="208" spans="1:213" x14ac:dyDescent="0.2">
      <c r="A208" s="262" t="s">
        <v>415</v>
      </c>
      <c r="B208" s="284">
        <v>0.2</v>
      </c>
      <c r="C208" s="249" t="s">
        <v>283</v>
      </c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W208" s="249"/>
      <c r="Z208" s="249"/>
      <c r="AC208" s="249"/>
      <c r="AD208" s="249"/>
      <c r="AE208" s="249"/>
      <c r="AF208" s="249"/>
      <c r="AG208" s="249"/>
      <c r="AJ208" s="249"/>
      <c r="AM208" s="249"/>
      <c r="AP208" s="249"/>
      <c r="AS208" s="249"/>
      <c r="AV208" s="249"/>
      <c r="AY208" s="249"/>
      <c r="BB208" s="249"/>
      <c r="BE208" s="249"/>
      <c r="BH208" s="249"/>
      <c r="BK208" s="249"/>
      <c r="BN208" s="249"/>
      <c r="BQ208" s="249"/>
      <c r="BT208" s="249"/>
      <c r="BW208" s="249"/>
      <c r="BZ208" s="249"/>
      <c r="CC208" s="249"/>
      <c r="CF208" s="249"/>
      <c r="CI208" s="249"/>
      <c r="CL208" s="249"/>
      <c r="CO208" s="249"/>
      <c r="CR208" s="249"/>
      <c r="CU208" s="249"/>
      <c r="CX208" s="249"/>
      <c r="DA208" s="249"/>
      <c r="DD208" s="249"/>
      <c r="DG208" s="249"/>
      <c r="DJ208" s="249"/>
      <c r="DM208" s="249"/>
      <c r="DP208" s="249"/>
      <c r="DS208" s="249"/>
      <c r="DV208" s="249"/>
      <c r="DY208" s="249"/>
      <c r="EB208" s="249"/>
      <c r="EE208" s="249"/>
      <c r="EH208" s="249"/>
      <c r="EK208" s="249"/>
      <c r="EN208" s="249"/>
      <c r="EQ208" s="249"/>
      <c r="ET208" s="249"/>
      <c r="EW208" s="249"/>
      <c r="EZ208" s="249"/>
      <c r="FC208" s="249"/>
      <c r="FF208" s="249"/>
      <c r="FI208" s="249"/>
      <c r="FL208" s="249"/>
      <c r="FO208" s="249"/>
      <c r="FR208" s="249"/>
      <c r="FU208" s="249"/>
      <c r="FX208" s="249"/>
      <c r="GA208" s="249"/>
      <c r="GD208" s="249"/>
      <c r="GG208" s="249"/>
      <c r="GJ208" s="249"/>
      <c r="GM208" s="249"/>
      <c r="GP208" s="249"/>
      <c r="GS208" s="249"/>
      <c r="GV208" s="249"/>
      <c r="GY208" s="249"/>
      <c r="HB208" s="249"/>
      <c r="HE208" s="249"/>
    </row>
    <row r="209" spans="1:213" x14ac:dyDescent="0.2">
      <c r="A209" s="262" t="s">
        <v>416</v>
      </c>
      <c r="B209" s="284">
        <v>2.1999999999999999E-2</v>
      </c>
      <c r="C209" s="249" t="s">
        <v>283</v>
      </c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W209" s="249"/>
      <c r="Z209" s="249"/>
      <c r="AC209" s="249"/>
      <c r="AD209" s="249"/>
      <c r="AE209" s="249"/>
      <c r="AF209" s="249"/>
      <c r="AG209" s="249"/>
      <c r="AJ209" s="249"/>
      <c r="AM209" s="249"/>
      <c r="AP209" s="249"/>
      <c r="AS209" s="249"/>
      <c r="AV209" s="249"/>
      <c r="AY209" s="249"/>
      <c r="BB209" s="249"/>
      <c r="BE209" s="249"/>
      <c r="BH209" s="249"/>
      <c r="BK209" s="249"/>
      <c r="BN209" s="249"/>
      <c r="BQ209" s="249"/>
      <c r="BT209" s="249"/>
      <c r="BW209" s="249"/>
      <c r="BZ209" s="249"/>
      <c r="CC209" s="249"/>
      <c r="CF209" s="249"/>
      <c r="CI209" s="249"/>
      <c r="CL209" s="249"/>
      <c r="CO209" s="249"/>
      <c r="CR209" s="249"/>
      <c r="CU209" s="249"/>
      <c r="CX209" s="249"/>
      <c r="DA209" s="249"/>
      <c r="DD209" s="249"/>
      <c r="DG209" s="249"/>
      <c r="DJ209" s="249"/>
      <c r="DM209" s="249"/>
      <c r="DP209" s="249"/>
      <c r="DS209" s="249"/>
      <c r="DV209" s="249"/>
      <c r="DY209" s="249"/>
      <c r="EB209" s="249"/>
      <c r="EE209" s="249"/>
      <c r="EH209" s="249"/>
      <c r="EK209" s="249"/>
      <c r="EN209" s="249"/>
      <c r="EQ209" s="249"/>
      <c r="ET209" s="249"/>
      <c r="EW209" s="249"/>
      <c r="EZ209" s="249"/>
      <c r="FC209" s="249"/>
      <c r="FF209" s="249"/>
      <c r="FI209" s="249"/>
      <c r="FL209" s="249"/>
      <c r="FO209" s="249"/>
      <c r="FR209" s="249"/>
      <c r="FU209" s="249"/>
      <c r="FX209" s="249"/>
      <c r="GA209" s="249"/>
      <c r="GD209" s="249"/>
      <c r="GG209" s="249"/>
      <c r="GJ209" s="249"/>
      <c r="GM209" s="249"/>
      <c r="GP209" s="249"/>
      <c r="GS209" s="249"/>
      <c r="GV209" s="249"/>
      <c r="GY209" s="249"/>
      <c r="HB209" s="249"/>
      <c r="HE209" s="249"/>
    </row>
    <row r="210" spans="1:213" x14ac:dyDescent="0.2">
      <c r="A210" s="262" t="s">
        <v>417</v>
      </c>
      <c r="B210" s="284">
        <v>1</v>
      </c>
      <c r="C210" s="247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W210" s="249"/>
      <c r="Z210" s="249"/>
      <c r="AC210" s="249"/>
      <c r="AD210" s="249"/>
      <c r="AE210" s="249"/>
      <c r="AF210" s="249"/>
      <c r="AG210" s="249"/>
      <c r="AJ210" s="249"/>
      <c r="AM210" s="249"/>
      <c r="AP210" s="249"/>
      <c r="AS210" s="249"/>
      <c r="AV210" s="249"/>
      <c r="AY210" s="249"/>
      <c r="BB210" s="249"/>
      <c r="BE210" s="249"/>
      <c r="BH210" s="249"/>
      <c r="BK210" s="249"/>
      <c r="BN210" s="249"/>
      <c r="BQ210" s="249"/>
      <c r="BT210" s="249"/>
      <c r="BW210" s="249"/>
      <c r="BZ210" s="249"/>
      <c r="CC210" s="249"/>
      <c r="CF210" s="249"/>
      <c r="CI210" s="249"/>
      <c r="CL210" s="249"/>
      <c r="CO210" s="249"/>
      <c r="CR210" s="249"/>
      <c r="CU210" s="249"/>
      <c r="CX210" s="249"/>
      <c r="DA210" s="249"/>
      <c r="DD210" s="249"/>
      <c r="DG210" s="249"/>
      <c r="DJ210" s="249"/>
      <c r="DM210" s="249"/>
      <c r="DP210" s="249"/>
      <c r="DS210" s="249"/>
      <c r="DV210" s="249"/>
      <c r="DY210" s="249"/>
      <c r="EB210" s="249"/>
      <c r="EE210" s="249"/>
      <c r="EH210" s="249"/>
      <c r="EK210" s="249"/>
      <c r="EN210" s="249"/>
      <c r="EQ210" s="249"/>
      <c r="ET210" s="249"/>
      <c r="EW210" s="249"/>
      <c r="EZ210" s="249"/>
      <c r="FC210" s="249"/>
      <c r="FF210" s="249"/>
      <c r="FI210" s="249"/>
      <c r="FL210" s="249"/>
      <c r="FO210" s="249"/>
      <c r="FR210" s="249"/>
      <c r="FU210" s="249"/>
      <c r="FX210" s="249"/>
      <c r="GA210" s="249"/>
      <c r="GD210" s="249"/>
      <c r="GG210" s="249"/>
      <c r="GJ210" s="249"/>
      <c r="GM210" s="249"/>
      <c r="GP210" s="249"/>
      <c r="GS210" s="249"/>
      <c r="GV210" s="249"/>
      <c r="GY210" s="249"/>
      <c r="HB210" s="249"/>
      <c r="HE210" s="249"/>
    </row>
    <row r="211" spans="1:213" x14ac:dyDescent="0.2">
      <c r="A211" s="262" t="s">
        <v>418</v>
      </c>
      <c r="B211" s="284">
        <v>1</v>
      </c>
      <c r="C211" s="247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W211" s="249"/>
      <c r="Z211" s="249"/>
      <c r="AC211" s="249"/>
      <c r="AD211" s="249"/>
      <c r="AE211" s="249"/>
      <c r="AF211" s="249"/>
      <c r="AG211" s="249"/>
      <c r="AJ211" s="249"/>
      <c r="AM211" s="249"/>
      <c r="AP211" s="249"/>
      <c r="AS211" s="249"/>
      <c r="AV211" s="249"/>
      <c r="AY211" s="249"/>
      <c r="BB211" s="249"/>
      <c r="BE211" s="249"/>
      <c r="BH211" s="249"/>
      <c r="BK211" s="249"/>
      <c r="BN211" s="249"/>
      <c r="BQ211" s="249"/>
      <c r="BT211" s="249"/>
      <c r="BW211" s="249"/>
      <c r="BZ211" s="249"/>
      <c r="CC211" s="249"/>
      <c r="CF211" s="249"/>
      <c r="CI211" s="249"/>
      <c r="CL211" s="249"/>
      <c r="CO211" s="249"/>
      <c r="CR211" s="249"/>
      <c r="CU211" s="249"/>
      <c r="CX211" s="249"/>
      <c r="DA211" s="249"/>
      <c r="DD211" s="249"/>
      <c r="DG211" s="249"/>
      <c r="DJ211" s="249"/>
      <c r="DM211" s="249"/>
      <c r="DP211" s="249"/>
      <c r="DS211" s="249"/>
      <c r="DV211" s="249"/>
      <c r="DY211" s="249"/>
      <c r="EB211" s="249"/>
      <c r="EE211" s="249"/>
      <c r="EH211" s="249"/>
      <c r="EK211" s="249"/>
      <c r="EN211" s="249"/>
      <c r="EQ211" s="249"/>
      <c r="ET211" s="249"/>
      <c r="EW211" s="249"/>
      <c r="EZ211" s="249"/>
      <c r="FC211" s="249"/>
      <c r="FF211" s="249"/>
      <c r="FI211" s="249"/>
      <c r="FL211" s="249"/>
      <c r="FO211" s="249"/>
      <c r="FR211" s="249"/>
      <c r="FU211" s="249"/>
      <c r="FX211" s="249"/>
      <c r="GA211" s="249"/>
      <c r="GD211" s="249"/>
      <c r="GG211" s="249"/>
      <c r="GJ211" s="249"/>
      <c r="GM211" s="249"/>
      <c r="GP211" s="249"/>
      <c r="GS211" s="249"/>
      <c r="GV211" s="249"/>
      <c r="GY211" s="249"/>
      <c r="HB211" s="249"/>
      <c r="HE211" s="249"/>
    </row>
    <row r="212" spans="1:213" x14ac:dyDescent="0.2">
      <c r="A212" s="262" t="s">
        <v>174</v>
      </c>
      <c r="B212" s="284">
        <v>11.4</v>
      </c>
      <c r="C212" s="262" t="s">
        <v>30</v>
      </c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W212" s="249"/>
      <c r="Z212" s="249"/>
      <c r="AC212" s="249"/>
      <c r="AD212" s="249"/>
      <c r="AE212" s="249"/>
      <c r="AF212" s="249"/>
      <c r="AG212" s="249"/>
      <c r="AJ212" s="249"/>
      <c r="AM212" s="249"/>
      <c r="AP212" s="249"/>
      <c r="AS212" s="249"/>
      <c r="AV212" s="249"/>
      <c r="AY212" s="249"/>
      <c r="BB212" s="249"/>
      <c r="BE212" s="249"/>
      <c r="BH212" s="249"/>
      <c r="BK212" s="249"/>
      <c r="BN212" s="249"/>
      <c r="BQ212" s="249"/>
      <c r="BT212" s="249"/>
      <c r="BW212" s="249"/>
      <c r="BZ212" s="249"/>
      <c r="CC212" s="249"/>
      <c r="CF212" s="249"/>
      <c r="CI212" s="249"/>
      <c r="CL212" s="249"/>
      <c r="CO212" s="249"/>
      <c r="CR212" s="249"/>
      <c r="CU212" s="249"/>
      <c r="CX212" s="249"/>
      <c r="DA212" s="249"/>
      <c r="DD212" s="249"/>
      <c r="DG212" s="249"/>
      <c r="DJ212" s="249"/>
      <c r="DM212" s="249"/>
      <c r="DP212" s="249"/>
      <c r="DS212" s="249"/>
      <c r="DV212" s="249"/>
      <c r="DY212" s="249"/>
      <c r="EB212" s="249"/>
      <c r="EE212" s="249"/>
      <c r="EH212" s="249"/>
      <c r="EK212" s="249"/>
      <c r="EN212" s="249"/>
      <c r="EQ212" s="249"/>
      <c r="ET212" s="249"/>
      <c r="EW212" s="249"/>
      <c r="EZ212" s="249"/>
      <c r="FC212" s="249"/>
      <c r="FF212" s="249"/>
      <c r="FI212" s="249"/>
      <c r="FL212" s="249"/>
      <c r="FO212" s="249"/>
      <c r="FR212" s="249"/>
      <c r="FU212" s="249"/>
      <c r="FX212" s="249"/>
      <c r="GA212" s="249"/>
      <c r="GD212" s="249"/>
      <c r="GG212" s="249"/>
      <c r="GJ212" s="249"/>
      <c r="GM212" s="249"/>
      <c r="GP212" s="249"/>
      <c r="GS212" s="249"/>
      <c r="GV212" s="249"/>
      <c r="GY212" s="249"/>
      <c r="HB212" s="249"/>
      <c r="HE212" s="249"/>
    </row>
    <row r="213" spans="1:213" x14ac:dyDescent="0.2">
      <c r="A213" s="262" t="s">
        <v>419</v>
      </c>
      <c r="B213" s="284">
        <v>4.7</v>
      </c>
      <c r="C213" s="249" t="s">
        <v>283</v>
      </c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W213" s="249"/>
      <c r="Z213" s="249"/>
      <c r="AC213" s="249"/>
      <c r="AD213" s="249"/>
      <c r="AE213" s="249"/>
      <c r="AF213" s="249"/>
      <c r="AG213" s="249"/>
      <c r="AJ213" s="249"/>
      <c r="AM213" s="249"/>
      <c r="AP213" s="249"/>
      <c r="AS213" s="249"/>
      <c r="AV213" s="249"/>
      <c r="AY213" s="249"/>
      <c r="BB213" s="249"/>
      <c r="BE213" s="249"/>
      <c r="BH213" s="249"/>
      <c r="BK213" s="249"/>
      <c r="BN213" s="249"/>
      <c r="BQ213" s="249"/>
      <c r="BT213" s="249"/>
      <c r="BW213" s="249"/>
      <c r="BZ213" s="249"/>
      <c r="CC213" s="249"/>
      <c r="CF213" s="249"/>
      <c r="CI213" s="249"/>
      <c r="CL213" s="249"/>
      <c r="CO213" s="249"/>
      <c r="CR213" s="249"/>
      <c r="CU213" s="249"/>
      <c r="CX213" s="249"/>
      <c r="DA213" s="249"/>
      <c r="DD213" s="249"/>
      <c r="DG213" s="249"/>
      <c r="DJ213" s="249"/>
      <c r="DM213" s="249"/>
      <c r="DP213" s="249"/>
      <c r="DS213" s="249"/>
      <c r="DV213" s="249"/>
      <c r="DY213" s="249"/>
      <c r="EB213" s="249"/>
      <c r="EE213" s="249"/>
      <c r="EH213" s="249"/>
      <c r="EK213" s="249"/>
      <c r="EN213" s="249"/>
      <c r="EQ213" s="249"/>
      <c r="ET213" s="249"/>
      <c r="EW213" s="249"/>
      <c r="EZ213" s="249"/>
      <c r="FC213" s="249"/>
      <c r="FF213" s="249"/>
      <c r="FI213" s="249"/>
      <c r="FL213" s="249"/>
      <c r="FO213" s="249"/>
      <c r="FR213" s="249"/>
      <c r="FU213" s="249"/>
      <c r="FX213" s="249"/>
      <c r="GA213" s="249"/>
      <c r="GD213" s="249"/>
      <c r="GG213" s="249"/>
      <c r="GJ213" s="249"/>
      <c r="GM213" s="249"/>
      <c r="GP213" s="249"/>
      <c r="GS213" s="249"/>
      <c r="GV213" s="249"/>
      <c r="GY213" s="249"/>
      <c r="HB213" s="249"/>
      <c r="HE213" s="249"/>
    </row>
    <row r="214" spans="1:213" x14ac:dyDescent="0.2">
      <c r="A214" s="262" t="s">
        <v>420</v>
      </c>
      <c r="B214" s="284">
        <v>0.37</v>
      </c>
      <c r="C214" s="249" t="s">
        <v>283</v>
      </c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W214" s="249"/>
      <c r="Z214" s="249"/>
      <c r="AC214" s="249"/>
      <c r="AD214" s="249"/>
      <c r="AE214" s="249"/>
      <c r="AF214" s="249"/>
      <c r="AG214" s="249"/>
      <c r="AJ214" s="249"/>
      <c r="AM214" s="249"/>
      <c r="AP214" s="249"/>
      <c r="AS214" s="249"/>
      <c r="AV214" s="249"/>
      <c r="AY214" s="249"/>
      <c r="BB214" s="249"/>
      <c r="BE214" s="249"/>
      <c r="BH214" s="249"/>
      <c r="BK214" s="249"/>
      <c r="BN214" s="249"/>
      <c r="BQ214" s="249"/>
      <c r="BT214" s="249"/>
      <c r="BW214" s="249"/>
      <c r="BZ214" s="249"/>
      <c r="CC214" s="249"/>
      <c r="CF214" s="249"/>
      <c r="CI214" s="249"/>
      <c r="CL214" s="249"/>
      <c r="CO214" s="249"/>
      <c r="CR214" s="249"/>
      <c r="CU214" s="249"/>
      <c r="CX214" s="249"/>
      <c r="DA214" s="249"/>
      <c r="DD214" s="249"/>
      <c r="DG214" s="249"/>
      <c r="DJ214" s="249"/>
      <c r="DM214" s="249"/>
      <c r="DP214" s="249"/>
      <c r="DS214" s="249"/>
      <c r="DV214" s="249"/>
      <c r="DY214" s="249"/>
      <c r="EB214" s="249"/>
      <c r="EE214" s="249"/>
      <c r="EH214" s="249"/>
      <c r="EK214" s="249"/>
      <c r="EN214" s="249"/>
      <c r="EQ214" s="249"/>
      <c r="ET214" s="249"/>
      <c r="EW214" s="249"/>
      <c r="EZ214" s="249"/>
      <c r="FC214" s="249"/>
      <c r="FF214" s="249"/>
      <c r="FI214" s="249"/>
      <c r="FL214" s="249"/>
      <c r="FO214" s="249"/>
      <c r="FR214" s="249"/>
      <c r="FU214" s="249"/>
      <c r="FX214" s="249"/>
      <c r="GA214" s="249"/>
      <c r="GD214" s="249"/>
      <c r="GG214" s="249"/>
      <c r="GJ214" s="249"/>
      <c r="GM214" s="249"/>
      <c r="GP214" s="249"/>
      <c r="GS214" s="249"/>
      <c r="GV214" s="249"/>
      <c r="GY214" s="249"/>
      <c r="HB214" s="249"/>
      <c r="HE214" s="249"/>
    </row>
    <row r="215" spans="1:213" x14ac:dyDescent="0.2">
      <c r="A215" s="262" t="s">
        <v>421</v>
      </c>
      <c r="B215" s="284">
        <v>1</v>
      </c>
      <c r="C215" s="247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W215" s="249"/>
      <c r="Z215" s="249"/>
      <c r="AC215" s="249"/>
      <c r="AD215" s="249"/>
      <c r="AE215" s="249"/>
      <c r="AF215" s="249"/>
      <c r="AG215" s="249"/>
      <c r="AJ215" s="249"/>
      <c r="AM215" s="249"/>
      <c r="AP215" s="249"/>
      <c r="AS215" s="249"/>
      <c r="AV215" s="249"/>
      <c r="AY215" s="249"/>
      <c r="BB215" s="249"/>
      <c r="BE215" s="249"/>
      <c r="BH215" s="249"/>
      <c r="BK215" s="249"/>
      <c r="BN215" s="249"/>
      <c r="BQ215" s="249"/>
      <c r="BT215" s="249"/>
      <c r="BW215" s="249"/>
      <c r="BZ215" s="249"/>
      <c r="CC215" s="249"/>
      <c r="CF215" s="249"/>
      <c r="CI215" s="249"/>
      <c r="CL215" s="249"/>
      <c r="CO215" s="249"/>
      <c r="CR215" s="249"/>
      <c r="CU215" s="249"/>
      <c r="CX215" s="249"/>
      <c r="DA215" s="249"/>
      <c r="DD215" s="249"/>
      <c r="DG215" s="249"/>
      <c r="DJ215" s="249"/>
      <c r="DM215" s="249"/>
      <c r="DP215" s="249"/>
      <c r="DS215" s="249"/>
      <c r="DV215" s="249"/>
      <c r="DY215" s="249"/>
      <c r="EB215" s="249"/>
      <c r="EE215" s="249"/>
      <c r="EH215" s="249"/>
      <c r="EK215" s="249"/>
      <c r="EN215" s="249"/>
      <c r="EQ215" s="249"/>
      <c r="ET215" s="249"/>
      <c r="EW215" s="249"/>
      <c r="EZ215" s="249"/>
      <c r="FC215" s="249"/>
      <c r="FF215" s="249"/>
      <c r="FI215" s="249"/>
      <c r="FL215" s="249"/>
      <c r="FO215" s="249"/>
      <c r="FR215" s="249"/>
      <c r="FU215" s="249"/>
      <c r="FX215" s="249"/>
      <c r="GA215" s="249"/>
      <c r="GD215" s="249"/>
      <c r="GG215" s="249"/>
      <c r="GJ215" s="249"/>
      <c r="GM215" s="249"/>
      <c r="GP215" s="249"/>
      <c r="GS215" s="249"/>
      <c r="GV215" s="249"/>
      <c r="GY215" s="249"/>
      <c r="HB215" s="249"/>
      <c r="HE215" s="249"/>
    </row>
    <row r="216" spans="1:213" x14ac:dyDescent="0.2">
      <c r="A216" s="262" t="s">
        <v>422</v>
      </c>
      <c r="B216" s="284">
        <v>1</v>
      </c>
      <c r="C216" s="24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W216" s="249"/>
      <c r="Z216" s="249"/>
      <c r="AC216" s="249"/>
      <c r="AD216" s="249"/>
      <c r="AE216" s="249"/>
      <c r="AF216" s="249"/>
      <c r="AG216" s="249"/>
      <c r="AJ216" s="249"/>
      <c r="AM216" s="249"/>
      <c r="AP216" s="249"/>
      <c r="AS216" s="249"/>
      <c r="AV216" s="249"/>
      <c r="AY216" s="249"/>
      <c r="BB216" s="249"/>
      <c r="BE216" s="249"/>
      <c r="BH216" s="249"/>
      <c r="BK216" s="249"/>
      <c r="BN216" s="249"/>
      <c r="BQ216" s="249"/>
      <c r="BT216" s="249"/>
      <c r="BW216" s="249"/>
      <c r="BZ216" s="249"/>
      <c r="CC216" s="249"/>
      <c r="CF216" s="249"/>
      <c r="CI216" s="249"/>
      <c r="CL216" s="249"/>
      <c r="CO216" s="249"/>
      <c r="CR216" s="249"/>
      <c r="CU216" s="249"/>
      <c r="CX216" s="249"/>
      <c r="DA216" s="249"/>
      <c r="DD216" s="249"/>
      <c r="DG216" s="249"/>
      <c r="DJ216" s="249"/>
      <c r="DM216" s="249"/>
      <c r="DP216" s="249"/>
      <c r="DS216" s="249"/>
      <c r="DV216" s="249"/>
      <c r="DY216" s="249"/>
      <c r="EB216" s="249"/>
      <c r="EE216" s="249"/>
      <c r="EH216" s="249"/>
      <c r="EK216" s="249"/>
      <c r="EN216" s="249"/>
      <c r="EQ216" s="249"/>
      <c r="ET216" s="249"/>
      <c r="EW216" s="249"/>
      <c r="EZ216" s="249"/>
      <c r="FC216" s="249"/>
      <c r="FF216" s="249"/>
      <c r="FI216" s="249"/>
      <c r="FL216" s="249"/>
      <c r="FO216" s="249"/>
      <c r="FR216" s="249"/>
      <c r="FU216" s="249"/>
      <c r="FX216" s="249"/>
      <c r="GA216" s="249"/>
      <c r="GD216" s="249"/>
      <c r="GG216" s="249"/>
      <c r="GJ216" s="249"/>
      <c r="GM216" s="249"/>
      <c r="GP216" s="249"/>
      <c r="GS216" s="249"/>
      <c r="GV216" s="249"/>
      <c r="GY216" s="249"/>
      <c r="HB216" s="249"/>
      <c r="HE216" s="249"/>
    </row>
    <row r="217" spans="1:213" x14ac:dyDescent="0.2">
      <c r="A217" s="249" t="s">
        <v>83</v>
      </c>
      <c r="B217" s="284">
        <v>0.5</v>
      </c>
      <c r="C217" s="249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W217" s="249"/>
      <c r="Z217" s="249"/>
      <c r="AC217" s="249"/>
      <c r="AD217" s="249"/>
      <c r="AE217" s="249"/>
      <c r="AF217" s="249"/>
      <c r="AG217" s="249"/>
      <c r="AJ217" s="249"/>
      <c r="AM217" s="249"/>
      <c r="AP217" s="249"/>
      <c r="AS217" s="249"/>
      <c r="AV217" s="249"/>
      <c r="AY217" s="249"/>
      <c r="BB217" s="249"/>
      <c r="BE217" s="249"/>
      <c r="BH217" s="249"/>
      <c r="BK217" s="249"/>
      <c r="BN217" s="249"/>
      <c r="BQ217" s="249"/>
      <c r="BT217" s="249"/>
      <c r="BW217" s="249"/>
      <c r="BZ217" s="249"/>
      <c r="CC217" s="249"/>
      <c r="CF217" s="249"/>
      <c r="CI217" s="249"/>
      <c r="CL217" s="249"/>
      <c r="CO217" s="249"/>
      <c r="CR217" s="249"/>
      <c r="CU217" s="249"/>
      <c r="CX217" s="249"/>
      <c r="DA217" s="249"/>
      <c r="DD217" s="249"/>
      <c r="DG217" s="249"/>
      <c r="DJ217" s="249"/>
      <c r="DM217" s="249"/>
      <c r="DP217" s="249"/>
      <c r="DS217" s="249"/>
      <c r="DV217" s="249"/>
      <c r="DY217" s="249"/>
      <c r="EB217" s="249"/>
      <c r="EE217" s="249"/>
      <c r="EH217" s="249"/>
      <c r="EK217" s="249"/>
      <c r="EN217" s="249"/>
      <c r="EQ217" s="249"/>
      <c r="ET217" s="249"/>
      <c r="EW217" s="249"/>
      <c r="EZ217" s="249"/>
      <c r="FC217" s="249"/>
      <c r="FF217" s="249"/>
      <c r="FI217" s="249"/>
      <c r="FL217" s="249"/>
      <c r="FO217" s="249"/>
      <c r="FR217" s="249"/>
      <c r="FU217" s="249"/>
      <c r="FX217" s="249"/>
      <c r="GA217" s="249"/>
      <c r="GD217" s="249"/>
      <c r="GG217" s="249"/>
      <c r="GJ217" s="249"/>
      <c r="GM217" s="249"/>
      <c r="GP217" s="249"/>
      <c r="GS217" s="249"/>
      <c r="GV217" s="249"/>
      <c r="GY217" s="249"/>
      <c r="HB217" s="249"/>
      <c r="HE217" s="249"/>
    </row>
    <row r="218" spans="1:213" x14ac:dyDescent="0.2">
      <c r="A218" s="558" t="s">
        <v>423</v>
      </c>
      <c r="B218" s="558"/>
      <c r="C218" s="558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W218" s="249"/>
      <c r="Z218" s="249"/>
      <c r="AC218" s="249"/>
      <c r="AD218" s="249"/>
      <c r="AE218" s="249"/>
      <c r="AF218" s="249"/>
      <c r="AG218" s="249"/>
      <c r="AJ218" s="249"/>
      <c r="AM218" s="249"/>
      <c r="AP218" s="249"/>
      <c r="AS218" s="249"/>
      <c r="AV218" s="249"/>
      <c r="AY218" s="249"/>
      <c r="BB218" s="249"/>
      <c r="BE218" s="249"/>
      <c r="BH218" s="249"/>
      <c r="BK218" s="249"/>
      <c r="BN218" s="249"/>
      <c r="BQ218" s="249"/>
      <c r="BT218" s="249"/>
      <c r="BW218" s="249"/>
      <c r="BZ218" s="249"/>
      <c r="CC218" s="249"/>
      <c r="CF218" s="249"/>
      <c r="CI218" s="249"/>
      <c r="CL218" s="249"/>
      <c r="CO218" s="249"/>
      <c r="CR218" s="249"/>
      <c r="CU218" s="249"/>
      <c r="CX218" s="249"/>
      <c r="DA218" s="249"/>
      <c r="DD218" s="249"/>
      <c r="DG218" s="249"/>
      <c r="DJ218" s="249"/>
      <c r="DM218" s="249"/>
      <c r="DP218" s="249"/>
      <c r="DS218" s="249"/>
      <c r="DV218" s="249"/>
      <c r="DY218" s="249"/>
      <c r="EB218" s="249"/>
      <c r="EE218" s="249"/>
      <c r="EH218" s="249"/>
      <c r="EK218" s="249"/>
      <c r="EN218" s="249"/>
      <c r="EQ218" s="249"/>
      <c r="ET218" s="249"/>
      <c r="EW218" s="249"/>
      <c r="EZ218" s="249"/>
      <c r="FC218" s="249"/>
      <c r="FF218" s="249"/>
      <c r="FI218" s="249"/>
      <c r="FL218" s="249"/>
      <c r="FO218" s="249"/>
      <c r="FR218" s="249"/>
      <c r="FU218" s="249"/>
      <c r="FX218" s="249"/>
      <c r="GA218" s="249"/>
      <c r="GD218" s="249"/>
      <c r="GG218" s="249"/>
      <c r="GJ218" s="249"/>
      <c r="GM218" s="249"/>
      <c r="GP218" s="249"/>
      <c r="GS218" s="249"/>
      <c r="GV218" s="249"/>
      <c r="GY218" s="249"/>
      <c r="HB218" s="249"/>
      <c r="HE218" s="249"/>
    </row>
    <row r="219" spans="1:213" x14ac:dyDescent="0.2">
      <c r="A219" s="249" t="s">
        <v>424</v>
      </c>
      <c r="B219" s="283">
        <v>60</v>
      </c>
      <c r="C219" s="263" t="s">
        <v>359</v>
      </c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W219" s="249"/>
      <c r="Z219" s="249"/>
      <c r="AC219" s="249"/>
      <c r="AD219" s="249"/>
      <c r="AE219" s="249"/>
      <c r="AF219" s="249"/>
      <c r="AG219" s="249"/>
      <c r="AJ219" s="249"/>
      <c r="AM219" s="249"/>
      <c r="AP219" s="249"/>
      <c r="AS219" s="249"/>
      <c r="AV219" s="249"/>
      <c r="AY219" s="249"/>
      <c r="BB219" s="249"/>
      <c r="BE219" s="249"/>
      <c r="BH219" s="249"/>
      <c r="BK219" s="249"/>
      <c r="BN219" s="249"/>
      <c r="BQ219" s="249"/>
      <c r="BT219" s="249"/>
      <c r="BW219" s="249"/>
      <c r="BZ219" s="249"/>
      <c r="CC219" s="249"/>
      <c r="CF219" s="249"/>
      <c r="CI219" s="249"/>
      <c r="CL219" s="249"/>
      <c r="CO219" s="249"/>
      <c r="CR219" s="249"/>
      <c r="CU219" s="249"/>
      <c r="CX219" s="249"/>
      <c r="DA219" s="249"/>
      <c r="DD219" s="249"/>
      <c r="DG219" s="249"/>
      <c r="DJ219" s="249"/>
      <c r="DM219" s="249"/>
      <c r="DP219" s="249"/>
      <c r="DS219" s="249"/>
      <c r="DV219" s="249"/>
      <c r="DY219" s="249"/>
      <c r="EB219" s="249"/>
      <c r="EE219" s="249"/>
      <c r="EH219" s="249"/>
      <c r="EK219" s="249"/>
      <c r="EN219" s="249"/>
      <c r="EQ219" s="249"/>
      <c r="ET219" s="249"/>
      <c r="EW219" s="249"/>
      <c r="EZ219" s="249"/>
      <c r="FC219" s="249"/>
      <c r="FF219" s="249"/>
      <c r="FI219" s="249"/>
      <c r="FL219" s="249"/>
      <c r="FO219" s="249"/>
      <c r="FR219" s="249"/>
      <c r="FU219" s="249"/>
      <c r="FX219" s="249"/>
      <c r="GA219" s="249"/>
      <c r="GD219" s="249"/>
      <c r="GG219" s="249"/>
      <c r="GJ219" s="249"/>
      <c r="GM219" s="249"/>
      <c r="GP219" s="249"/>
      <c r="GS219" s="249"/>
      <c r="GV219" s="249"/>
      <c r="GY219" s="249"/>
      <c r="HB219" s="249"/>
      <c r="HE219" s="249"/>
    </row>
    <row r="220" spans="1:213" x14ac:dyDescent="0.2">
      <c r="A220" s="262" t="s">
        <v>425</v>
      </c>
      <c r="B220" s="283">
        <v>250</v>
      </c>
      <c r="C220" s="249" t="s">
        <v>26</v>
      </c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W220" s="249"/>
      <c r="Z220" s="249"/>
      <c r="AC220" s="249"/>
      <c r="AD220" s="249"/>
      <c r="AE220" s="249"/>
      <c r="AF220" s="249"/>
      <c r="AG220" s="249"/>
      <c r="AJ220" s="249"/>
      <c r="AM220" s="249"/>
      <c r="AP220" s="249"/>
      <c r="AS220" s="249"/>
      <c r="AV220" s="249"/>
      <c r="AY220" s="249"/>
      <c r="BB220" s="249"/>
      <c r="BE220" s="249"/>
      <c r="BH220" s="249"/>
      <c r="BK220" s="249"/>
      <c r="BN220" s="249"/>
      <c r="BQ220" s="249"/>
      <c r="BT220" s="249"/>
      <c r="BW220" s="249"/>
      <c r="BZ220" s="249"/>
      <c r="CC220" s="249"/>
      <c r="CF220" s="249"/>
      <c r="CI220" s="249"/>
      <c r="CL220" s="249"/>
      <c r="CO220" s="249"/>
      <c r="CR220" s="249"/>
      <c r="CU220" s="249"/>
      <c r="CX220" s="249"/>
      <c r="DA220" s="249"/>
      <c r="DD220" s="249"/>
      <c r="DG220" s="249"/>
      <c r="DJ220" s="249"/>
      <c r="DM220" s="249"/>
      <c r="DP220" s="249"/>
      <c r="DS220" s="249"/>
      <c r="DV220" s="249"/>
      <c r="DY220" s="249"/>
      <c r="EB220" s="249"/>
      <c r="EE220" s="249"/>
      <c r="EH220" s="249"/>
      <c r="EK220" s="249"/>
      <c r="EN220" s="249"/>
      <c r="EQ220" s="249"/>
      <c r="ET220" s="249"/>
      <c r="EW220" s="249"/>
      <c r="EZ220" s="249"/>
      <c r="FC220" s="249"/>
      <c r="FF220" s="249"/>
      <c r="FI220" s="249"/>
      <c r="FL220" s="249"/>
      <c r="FO220" s="249"/>
      <c r="FR220" s="249"/>
      <c r="FU220" s="249"/>
      <c r="FX220" s="249"/>
      <c r="GA220" s="249"/>
      <c r="GD220" s="249"/>
      <c r="GG220" s="249"/>
      <c r="GJ220" s="249"/>
      <c r="GM220" s="249"/>
      <c r="GP220" s="249"/>
      <c r="GS220" s="249"/>
      <c r="GV220" s="249"/>
      <c r="GY220" s="249"/>
      <c r="HB220" s="249"/>
      <c r="HE220" s="249"/>
    </row>
    <row r="221" spans="1:213" x14ac:dyDescent="0.2">
      <c r="A221" s="262" t="s">
        <v>75</v>
      </c>
      <c r="B221" s="284">
        <v>25</v>
      </c>
      <c r="C221" s="249" t="s">
        <v>69</v>
      </c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W221" s="249"/>
      <c r="Z221" s="249"/>
      <c r="AC221" s="249"/>
      <c r="AD221" s="249"/>
      <c r="AE221" s="249"/>
      <c r="AF221" s="249"/>
      <c r="AG221" s="249"/>
      <c r="AJ221" s="249"/>
      <c r="AM221" s="249"/>
      <c r="AP221" s="249"/>
      <c r="AS221" s="249"/>
      <c r="AV221" s="249"/>
      <c r="AY221" s="249"/>
      <c r="BB221" s="249"/>
      <c r="BE221" s="249"/>
      <c r="BH221" s="249"/>
      <c r="BK221" s="249"/>
      <c r="BN221" s="249"/>
      <c r="BQ221" s="249"/>
      <c r="BT221" s="249"/>
      <c r="BW221" s="249"/>
      <c r="BZ221" s="249"/>
      <c r="CC221" s="249"/>
      <c r="CF221" s="249"/>
      <c r="CI221" s="249"/>
      <c r="CL221" s="249"/>
      <c r="CO221" s="249"/>
      <c r="CR221" s="249"/>
      <c r="CU221" s="249"/>
      <c r="CX221" s="249"/>
      <c r="DA221" s="249"/>
      <c r="DD221" s="249"/>
      <c r="DG221" s="249"/>
      <c r="DJ221" s="249"/>
      <c r="DM221" s="249"/>
      <c r="DP221" s="249"/>
      <c r="DS221" s="249"/>
      <c r="DV221" s="249"/>
      <c r="DY221" s="249"/>
      <c r="EB221" s="249"/>
      <c r="EE221" s="249"/>
      <c r="EH221" s="249"/>
      <c r="EK221" s="249"/>
      <c r="EN221" s="249"/>
      <c r="EQ221" s="249"/>
      <c r="ET221" s="249"/>
      <c r="EW221" s="249"/>
      <c r="EZ221" s="249"/>
      <c r="FC221" s="249"/>
      <c r="FF221" s="249"/>
      <c r="FI221" s="249"/>
      <c r="FL221" s="249"/>
      <c r="FO221" s="249"/>
      <c r="FR221" s="249"/>
      <c r="FU221" s="249"/>
      <c r="FX221" s="249"/>
      <c r="GA221" s="249"/>
      <c r="GD221" s="249"/>
      <c r="GG221" s="249"/>
      <c r="GJ221" s="249"/>
      <c r="GM221" s="249"/>
      <c r="GP221" s="249"/>
      <c r="GS221" s="249"/>
      <c r="GV221" s="249"/>
      <c r="GY221" s="249"/>
      <c r="HB221" s="249"/>
      <c r="HE221" s="249"/>
    </row>
    <row r="222" spans="1:213" x14ac:dyDescent="0.2">
      <c r="A222" s="262" t="s">
        <v>426</v>
      </c>
      <c r="B222" s="283">
        <v>100</v>
      </c>
      <c r="C222" s="263" t="s">
        <v>54</v>
      </c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W222" s="249"/>
      <c r="Z222" s="249"/>
      <c r="AC222" s="249"/>
      <c r="AD222" s="249"/>
      <c r="AE222" s="249"/>
      <c r="AF222" s="249"/>
      <c r="AG222" s="249"/>
      <c r="AJ222" s="249"/>
      <c r="AM222" s="249"/>
      <c r="AP222" s="249"/>
      <c r="AS222" s="249"/>
      <c r="AV222" s="249"/>
      <c r="AY222" s="249"/>
      <c r="BB222" s="249"/>
      <c r="BE222" s="249"/>
      <c r="BH222" s="249"/>
      <c r="BK222" s="249"/>
      <c r="BN222" s="249"/>
      <c r="BQ222" s="249"/>
      <c r="BT222" s="249"/>
      <c r="BW222" s="249"/>
      <c r="BZ222" s="249"/>
      <c r="CC222" s="249"/>
      <c r="CF222" s="249"/>
      <c r="CI222" s="249"/>
      <c r="CL222" s="249"/>
      <c r="CO222" s="249"/>
      <c r="CR222" s="249"/>
      <c r="CU222" s="249"/>
      <c r="CX222" s="249"/>
      <c r="DA222" s="249"/>
      <c r="DD222" s="249"/>
      <c r="DG222" s="249"/>
      <c r="DJ222" s="249"/>
      <c r="DM222" s="249"/>
      <c r="DP222" s="249"/>
      <c r="DS222" s="249"/>
      <c r="DV222" s="249"/>
      <c r="DY222" s="249"/>
      <c r="EB222" s="249"/>
      <c r="EE222" s="249"/>
      <c r="EH222" s="249"/>
      <c r="EK222" s="249"/>
      <c r="EN222" s="249"/>
      <c r="EQ222" s="249"/>
      <c r="ET222" s="249"/>
      <c r="EW222" s="249"/>
      <c r="EZ222" s="249"/>
      <c r="FC222" s="249"/>
      <c r="FF222" s="249"/>
      <c r="FI222" s="249"/>
      <c r="FL222" s="249"/>
      <c r="FO222" s="249"/>
      <c r="FR222" s="249"/>
      <c r="FU222" s="249"/>
      <c r="FX222" s="249"/>
      <c r="GA222" s="249"/>
      <c r="GD222" s="249"/>
      <c r="GG222" s="249"/>
      <c r="GJ222" s="249"/>
      <c r="GM222" s="249"/>
      <c r="GP222" s="249"/>
      <c r="GS222" s="249"/>
      <c r="GV222" s="249"/>
      <c r="GY222" s="249"/>
      <c r="HB222" s="249"/>
      <c r="HE222" s="249"/>
    </row>
    <row r="223" spans="1:213" x14ac:dyDescent="0.2">
      <c r="A223" s="249" t="s">
        <v>353</v>
      </c>
      <c r="B223" s="284">
        <v>1</v>
      </c>
      <c r="C223" s="247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W223" s="249"/>
      <c r="Z223" s="249"/>
      <c r="AC223" s="249"/>
      <c r="AD223" s="249"/>
      <c r="AE223" s="249"/>
      <c r="AF223" s="249"/>
      <c r="AG223" s="249"/>
      <c r="AJ223" s="249"/>
      <c r="AM223" s="249"/>
      <c r="AP223" s="249"/>
      <c r="AS223" s="249"/>
      <c r="AV223" s="249"/>
      <c r="AY223" s="249"/>
      <c r="BB223" s="249"/>
      <c r="BE223" s="249"/>
      <c r="BH223" s="249"/>
      <c r="BK223" s="249"/>
      <c r="BN223" s="249"/>
      <c r="BQ223" s="249"/>
      <c r="BT223" s="249"/>
      <c r="BW223" s="249"/>
      <c r="BZ223" s="249"/>
      <c r="CC223" s="249"/>
      <c r="CF223" s="249"/>
      <c r="CI223" s="249"/>
      <c r="CL223" s="249"/>
      <c r="CO223" s="249"/>
      <c r="CR223" s="249"/>
      <c r="CU223" s="249"/>
      <c r="CX223" s="249"/>
      <c r="DA223" s="249"/>
      <c r="DD223" s="249"/>
      <c r="DG223" s="249"/>
      <c r="DJ223" s="249"/>
      <c r="DM223" s="249"/>
      <c r="DP223" s="249"/>
      <c r="DS223" s="249"/>
      <c r="DV223" s="249"/>
      <c r="DY223" s="249"/>
      <c r="EB223" s="249"/>
      <c r="EE223" s="249"/>
      <c r="EH223" s="249"/>
      <c r="EK223" s="249"/>
      <c r="EN223" s="249"/>
      <c r="EQ223" s="249"/>
      <c r="ET223" s="249"/>
      <c r="EW223" s="249"/>
      <c r="EZ223" s="249"/>
      <c r="FC223" s="249"/>
      <c r="FF223" s="249"/>
      <c r="FI223" s="249"/>
      <c r="FL223" s="249"/>
      <c r="FO223" s="249"/>
      <c r="FR223" s="249"/>
      <c r="FU223" s="249"/>
      <c r="FX223" s="249"/>
      <c r="GA223" s="249"/>
      <c r="GD223" s="249"/>
      <c r="GG223" s="249"/>
      <c r="GJ223" s="249"/>
      <c r="GM223" s="249"/>
      <c r="GP223" s="249"/>
      <c r="GS223" s="249"/>
      <c r="GV223" s="249"/>
      <c r="GY223" s="249"/>
      <c r="HB223" s="249"/>
      <c r="HE223" s="249"/>
    </row>
    <row r="224" spans="1:213" x14ac:dyDescent="0.2">
      <c r="A224" s="262" t="s">
        <v>56</v>
      </c>
      <c r="B224" s="284">
        <v>1</v>
      </c>
      <c r="C224" s="247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W224" s="249"/>
      <c r="Z224" s="249"/>
      <c r="AC224" s="249"/>
      <c r="AD224" s="249"/>
      <c r="AE224" s="249"/>
      <c r="AF224" s="249"/>
      <c r="AG224" s="249"/>
      <c r="AJ224" s="249"/>
      <c r="AM224" s="249"/>
      <c r="AP224" s="249"/>
      <c r="AS224" s="249"/>
      <c r="AV224" s="249"/>
      <c r="AY224" s="249"/>
      <c r="BB224" s="249"/>
      <c r="BE224" s="249"/>
      <c r="BH224" s="249"/>
      <c r="BK224" s="249"/>
      <c r="BN224" s="249"/>
      <c r="BQ224" s="249"/>
      <c r="BT224" s="249"/>
      <c r="BW224" s="249"/>
      <c r="BZ224" s="249"/>
      <c r="CC224" s="249"/>
      <c r="CF224" s="249"/>
      <c r="CI224" s="249"/>
      <c r="CL224" s="249"/>
      <c r="CO224" s="249"/>
      <c r="CR224" s="249"/>
      <c r="CU224" s="249"/>
      <c r="CX224" s="249"/>
      <c r="DA224" s="249"/>
      <c r="DD224" s="249"/>
      <c r="DG224" s="249"/>
      <c r="DJ224" s="249"/>
      <c r="DM224" s="249"/>
      <c r="DP224" s="249"/>
      <c r="DS224" s="249"/>
      <c r="DV224" s="249"/>
      <c r="DY224" s="249"/>
      <c r="EB224" s="249"/>
      <c r="EE224" s="249"/>
      <c r="EH224" s="249"/>
      <c r="EK224" s="249"/>
      <c r="EN224" s="249"/>
      <c r="EQ224" s="249"/>
      <c r="ET224" s="249"/>
      <c r="EW224" s="249"/>
      <c r="EZ224" s="249"/>
      <c r="FC224" s="249"/>
      <c r="FF224" s="249"/>
      <c r="FI224" s="249"/>
      <c r="FL224" s="249"/>
      <c r="FO224" s="249"/>
      <c r="FR224" s="249"/>
      <c r="FU224" s="249"/>
      <c r="FX224" s="249"/>
      <c r="GA224" s="249"/>
      <c r="GD224" s="249"/>
      <c r="GG224" s="249"/>
      <c r="GJ224" s="249"/>
      <c r="GM224" s="249"/>
      <c r="GP224" s="249"/>
      <c r="GS224" s="249"/>
      <c r="GV224" s="249"/>
      <c r="GY224" s="249"/>
      <c r="HB224" s="249"/>
      <c r="HE224" s="249"/>
    </row>
    <row r="225" spans="1:213" x14ac:dyDescent="0.2">
      <c r="A225" s="262" t="s">
        <v>52</v>
      </c>
      <c r="B225" s="284">
        <v>0.4</v>
      </c>
      <c r="C225" s="247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W225" s="249"/>
      <c r="Z225" s="249"/>
      <c r="AC225" s="249"/>
      <c r="AD225" s="249"/>
      <c r="AE225" s="249"/>
      <c r="AF225" s="249"/>
      <c r="AG225" s="249"/>
      <c r="AJ225" s="249"/>
      <c r="AM225" s="249"/>
      <c r="AP225" s="249"/>
      <c r="AS225" s="249"/>
      <c r="AV225" s="249"/>
      <c r="AY225" s="249"/>
      <c r="BB225" s="249"/>
      <c r="BE225" s="249"/>
      <c r="BH225" s="249"/>
      <c r="BK225" s="249"/>
      <c r="BN225" s="249"/>
      <c r="BQ225" s="249"/>
      <c r="BT225" s="249"/>
      <c r="BW225" s="249"/>
      <c r="BZ225" s="249"/>
      <c r="CC225" s="249"/>
      <c r="CF225" s="249"/>
      <c r="CI225" s="249"/>
      <c r="CL225" s="249"/>
      <c r="CO225" s="249"/>
      <c r="CR225" s="249"/>
      <c r="CU225" s="249"/>
      <c r="CX225" s="249"/>
      <c r="DA225" s="249"/>
      <c r="DD225" s="249"/>
      <c r="DG225" s="249"/>
      <c r="DJ225" s="249"/>
      <c r="DM225" s="249"/>
      <c r="DP225" s="249"/>
      <c r="DS225" s="249"/>
      <c r="DV225" s="249"/>
      <c r="DY225" s="249"/>
      <c r="EB225" s="249"/>
      <c r="EE225" s="249"/>
      <c r="EH225" s="249"/>
      <c r="EK225" s="249"/>
      <c r="EN225" s="249"/>
      <c r="EQ225" s="249"/>
      <c r="ET225" s="249"/>
      <c r="EW225" s="249"/>
      <c r="EZ225" s="249"/>
      <c r="FC225" s="249"/>
      <c r="FF225" s="249"/>
      <c r="FI225" s="249"/>
      <c r="FL225" s="249"/>
      <c r="FO225" s="249"/>
      <c r="FR225" s="249"/>
      <c r="FU225" s="249"/>
      <c r="FX225" s="249"/>
      <c r="GA225" s="249"/>
      <c r="GD225" s="249"/>
      <c r="GG225" s="249"/>
      <c r="GJ225" s="249"/>
      <c r="GM225" s="249"/>
      <c r="GP225" s="249"/>
      <c r="GS225" s="249"/>
      <c r="GV225" s="249"/>
      <c r="GY225" s="249"/>
      <c r="HB225" s="249"/>
      <c r="HE225" s="249"/>
    </row>
    <row r="226" spans="1:213" x14ac:dyDescent="0.2">
      <c r="A226" s="262" t="s">
        <v>62</v>
      </c>
      <c r="B226" s="284">
        <v>1</v>
      </c>
      <c r="C226" s="247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W226" s="249"/>
      <c r="Z226" s="249"/>
      <c r="AC226" s="249"/>
      <c r="AD226" s="249"/>
      <c r="AE226" s="249"/>
      <c r="AF226" s="249"/>
      <c r="AG226" s="249"/>
      <c r="AJ226" s="249"/>
      <c r="AM226" s="249"/>
      <c r="AP226" s="249"/>
      <c r="AS226" s="249"/>
      <c r="AV226" s="249"/>
      <c r="AY226" s="249"/>
      <c r="BB226" s="249"/>
      <c r="BE226" s="249"/>
      <c r="BH226" s="249"/>
      <c r="BK226" s="249"/>
      <c r="BN226" s="249"/>
      <c r="BQ226" s="249"/>
      <c r="BT226" s="249"/>
      <c r="BW226" s="249"/>
      <c r="BZ226" s="249"/>
      <c r="CC226" s="249"/>
      <c r="CF226" s="249"/>
      <c r="CI226" s="249"/>
      <c r="CL226" s="249"/>
      <c r="CO226" s="249"/>
      <c r="CR226" s="249"/>
      <c r="CU226" s="249"/>
      <c r="CX226" s="249"/>
      <c r="DA226" s="249"/>
      <c r="DD226" s="249"/>
      <c r="DG226" s="249"/>
      <c r="DJ226" s="249"/>
      <c r="DM226" s="249"/>
      <c r="DP226" s="249"/>
      <c r="DS226" s="249"/>
      <c r="DV226" s="249"/>
      <c r="DY226" s="249"/>
      <c r="EB226" s="249"/>
      <c r="EE226" s="249"/>
      <c r="EH226" s="249"/>
      <c r="EK226" s="249"/>
      <c r="EN226" s="249"/>
      <c r="EQ226" s="249"/>
      <c r="ET226" s="249"/>
      <c r="EW226" s="249"/>
      <c r="EZ226" s="249"/>
      <c r="FC226" s="249"/>
      <c r="FF226" s="249"/>
      <c r="FI226" s="249"/>
      <c r="FL226" s="249"/>
      <c r="FO226" s="249"/>
      <c r="FR226" s="249"/>
      <c r="FU226" s="249"/>
      <c r="FX226" s="249"/>
      <c r="GA226" s="249"/>
      <c r="GD226" s="249"/>
      <c r="GG226" s="249"/>
      <c r="GJ226" s="249"/>
      <c r="GM226" s="249"/>
      <c r="GP226" s="249"/>
      <c r="GS226" s="249"/>
      <c r="GV226" s="249"/>
      <c r="GY226" s="249"/>
      <c r="HB226" s="249"/>
      <c r="HE226" s="249"/>
    </row>
    <row r="227" spans="1:213" x14ac:dyDescent="0.2">
      <c r="A227" s="262" t="s">
        <v>467</v>
      </c>
      <c r="B227" s="283">
        <v>4</v>
      </c>
      <c r="C227" s="249" t="s">
        <v>224</v>
      </c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W227" s="249"/>
      <c r="Z227" s="249"/>
      <c r="AC227" s="249"/>
      <c r="AD227" s="249"/>
      <c r="AE227" s="249"/>
      <c r="AF227" s="249"/>
      <c r="AG227" s="249"/>
      <c r="AJ227" s="249"/>
      <c r="AM227" s="249"/>
      <c r="AP227" s="249"/>
      <c r="AS227" s="249"/>
      <c r="AV227" s="249"/>
      <c r="AY227" s="249"/>
      <c r="BB227" s="249"/>
      <c r="BE227" s="249"/>
      <c r="BH227" s="249"/>
      <c r="BK227" s="249"/>
      <c r="BN227" s="249"/>
      <c r="BQ227" s="249"/>
      <c r="BT227" s="249"/>
      <c r="BW227" s="249"/>
      <c r="BZ227" s="249"/>
      <c r="CC227" s="249"/>
      <c r="CF227" s="249"/>
      <c r="CI227" s="249"/>
      <c r="CL227" s="249"/>
      <c r="CO227" s="249"/>
      <c r="CR227" s="249"/>
      <c r="CU227" s="249"/>
      <c r="CX227" s="249"/>
      <c r="DA227" s="249"/>
      <c r="DD227" s="249"/>
      <c r="DG227" s="249"/>
      <c r="DJ227" s="249"/>
      <c r="DM227" s="249"/>
      <c r="DP227" s="249"/>
      <c r="DS227" s="249"/>
      <c r="DV227" s="249"/>
      <c r="DY227" s="249"/>
      <c r="EB227" s="249"/>
      <c r="EE227" s="249"/>
      <c r="EH227" s="249"/>
      <c r="EK227" s="249"/>
      <c r="EN227" s="249"/>
      <c r="EQ227" s="249"/>
      <c r="ET227" s="249"/>
      <c r="EW227" s="249"/>
      <c r="EZ227" s="249"/>
      <c r="FC227" s="249"/>
      <c r="FF227" s="249"/>
      <c r="FI227" s="249"/>
      <c r="FL227" s="249"/>
      <c r="FO227" s="249"/>
      <c r="FR227" s="249"/>
      <c r="FU227" s="249"/>
      <c r="FX227" s="249"/>
      <c r="GA227" s="249"/>
      <c r="GD227" s="249"/>
      <c r="GG227" s="249"/>
      <c r="GJ227" s="249"/>
      <c r="GM227" s="249"/>
      <c r="GP227" s="249"/>
      <c r="GS227" s="249"/>
      <c r="GV227" s="249"/>
      <c r="GY227" s="249"/>
      <c r="HB227" s="249"/>
      <c r="HE227" s="249"/>
    </row>
    <row r="228" spans="1:213" x14ac:dyDescent="0.2">
      <c r="A228" s="262" t="s">
        <v>468</v>
      </c>
      <c r="B228" s="283">
        <v>4</v>
      </c>
      <c r="C228" s="249" t="s">
        <v>224</v>
      </c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W228" s="249"/>
      <c r="Z228" s="249"/>
      <c r="AC228" s="249"/>
      <c r="AD228" s="249"/>
      <c r="AE228" s="249"/>
      <c r="AF228" s="249"/>
      <c r="AG228" s="249"/>
      <c r="AJ228" s="249"/>
      <c r="AM228" s="249"/>
      <c r="AP228" s="249"/>
      <c r="AS228" s="249"/>
      <c r="AV228" s="249"/>
      <c r="AY228" s="249"/>
      <c r="BB228" s="249"/>
      <c r="BE228" s="249"/>
      <c r="BH228" s="249"/>
      <c r="BK228" s="249"/>
      <c r="BN228" s="249"/>
      <c r="BQ228" s="249"/>
      <c r="BT228" s="249"/>
      <c r="BW228" s="249"/>
      <c r="BZ228" s="249"/>
      <c r="CC228" s="249"/>
      <c r="CF228" s="249"/>
      <c r="CI228" s="249"/>
      <c r="CL228" s="249"/>
      <c r="CO228" s="249"/>
      <c r="CR228" s="249"/>
      <c r="CU228" s="249"/>
      <c r="CX228" s="249"/>
      <c r="DA228" s="249"/>
      <c r="DD228" s="249"/>
      <c r="DG228" s="249"/>
      <c r="DJ228" s="249"/>
      <c r="DM228" s="249"/>
      <c r="DP228" s="249"/>
      <c r="DS228" s="249"/>
      <c r="DV228" s="249"/>
      <c r="DY228" s="249"/>
      <c r="EB228" s="249"/>
      <c r="EE228" s="249"/>
      <c r="EH228" s="249"/>
      <c r="EK228" s="249"/>
      <c r="EN228" s="249"/>
      <c r="EQ228" s="249"/>
      <c r="ET228" s="249"/>
      <c r="EW228" s="249"/>
      <c r="EZ228" s="249"/>
      <c r="FC228" s="249"/>
      <c r="FF228" s="249"/>
      <c r="FI228" s="249"/>
      <c r="FL228" s="249"/>
      <c r="FO228" s="249"/>
      <c r="FR228" s="249"/>
      <c r="FU228" s="249"/>
      <c r="FX228" s="249"/>
      <c r="GA228" s="249"/>
      <c r="GD228" s="249"/>
      <c r="GG228" s="249"/>
      <c r="GJ228" s="249"/>
      <c r="GM228" s="249"/>
      <c r="GP228" s="249"/>
      <c r="GS228" s="249"/>
      <c r="GV228" s="249"/>
      <c r="GY228" s="249"/>
      <c r="HB228" s="249"/>
      <c r="HE228" s="249"/>
    </row>
    <row r="229" spans="1:213" x14ac:dyDescent="0.2">
      <c r="A229" s="262" t="s">
        <v>103</v>
      </c>
      <c r="B229" s="283">
        <v>0.4</v>
      </c>
      <c r="C229" s="247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W229" s="249"/>
      <c r="Z229" s="249"/>
      <c r="AC229" s="249"/>
      <c r="AD229" s="249"/>
      <c r="AE229" s="249"/>
      <c r="AF229" s="249"/>
      <c r="AG229" s="249"/>
      <c r="AJ229" s="249"/>
      <c r="AM229" s="249"/>
      <c r="AP229" s="249"/>
      <c r="AS229" s="249"/>
      <c r="AV229" s="249"/>
      <c r="AY229" s="249"/>
      <c r="BB229" s="249"/>
      <c r="BE229" s="249"/>
      <c r="BH229" s="249"/>
      <c r="BK229" s="249"/>
      <c r="BN229" s="249"/>
      <c r="BQ229" s="249"/>
      <c r="BT229" s="249"/>
      <c r="BW229" s="249"/>
      <c r="BZ229" s="249"/>
      <c r="CC229" s="249"/>
      <c r="CF229" s="249"/>
      <c r="CI229" s="249"/>
      <c r="CL229" s="249"/>
      <c r="CO229" s="249"/>
      <c r="CR229" s="249"/>
      <c r="CU229" s="249"/>
      <c r="CX229" s="249"/>
      <c r="DA229" s="249"/>
      <c r="DD229" s="249"/>
      <c r="DG229" s="249"/>
      <c r="DJ229" s="249"/>
      <c r="DM229" s="249"/>
      <c r="DP229" s="249"/>
      <c r="DS229" s="249"/>
      <c r="DV229" s="249"/>
      <c r="DY229" s="249"/>
      <c r="EB229" s="249"/>
      <c r="EE229" s="249"/>
      <c r="EH229" s="249"/>
      <c r="EK229" s="249"/>
      <c r="EN229" s="249"/>
      <c r="EQ229" s="249"/>
      <c r="ET229" s="249"/>
      <c r="EW229" s="249"/>
      <c r="EZ229" s="249"/>
      <c r="FC229" s="249"/>
      <c r="FF229" s="249"/>
      <c r="FI229" s="249"/>
      <c r="FL229" s="249"/>
      <c r="FO229" s="249"/>
      <c r="FR229" s="249"/>
      <c r="FU229" s="249"/>
      <c r="FX229" s="249"/>
      <c r="GA229" s="249"/>
      <c r="GD229" s="249"/>
      <c r="GG229" s="249"/>
      <c r="GJ229" s="249"/>
      <c r="GM229" s="249"/>
      <c r="GP229" s="249"/>
      <c r="GS229" s="249"/>
      <c r="GV229" s="249"/>
      <c r="GY229" s="249"/>
      <c r="HB229" s="249"/>
      <c r="HE229" s="249"/>
    </row>
    <row r="230" spans="1:213" x14ac:dyDescent="0.2">
      <c r="A230" s="558" t="s">
        <v>427</v>
      </c>
      <c r="B230" s="558"/>
      <c r="C230" s="558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W230" s="249"/>
      <c r="Z230" s="249"/>
      <c r="AC230" s="249"/>
      <c r="AD230" s="249"/>
      <c r="AE230" s="249"/>
      <c r="AF230" s="249"/>
      <c r="AG230" s="249"/>
      <c r="AJ230" s="249"/>
      <c r="AM230" s="249"/>
      <c r="AP230" s="249"/>
      <c r="AS230" s="249"/>
      <c r="AV230" s="249"/>
      <c r="AY230" s="249"/>
      <c r="BB230" s="249"/>
      <c r="BE230" s="249"/>
      <c r="BH230" s="249"/>
      <c r="BK230" s="249"/>
      <c r="BN230" s="249"/>
      <c r="BQ230" s="249"/>
      <c r="BT230" s="249"/>
      <c r="BW230" s="249"/>
      <c r="BZ230" s="249"/>
      <c r="CC230" s="249"/>
      <c r="CF230" s="249"/>
      <c r="CI230" s="249"/>
      <c r="CL230" s="249"/>
      <c r="CO230" s="249"/>
      <c r="CR230" s="249"/>
      <c r="CU230" s="249"/>
      <c r="CX230" s="249"/>
      <c r="DA230" s="249"/>
      <c r="DD230" s="249"/>
      <c r="DG230" s="249"/>
      <c r="DJ230" s="249"/>
      <c r="DM230" s="249"/>
      <c r="DP230" s="249"/>
      <c r="DS230" s="249"/>
      <c r="DV230" s="249"/>
      <c r="DY230" s="249"/>
      <c r="EB230" s="249"/>
      <c r="EE230" s="249"/>
      <c r="EH230" s="249"/>
      <c r="EK230" s="249"/>
      <c r="EN230" s="249"/>
      <c r="EQ230" s="249"/>
      <c r="ET230" s="249"/>
      <c r="EW230" s="249"/>
      <c r="EZ230" s="249"/>
      <c r="FC230" s="249"/>
      <c r="FF230" s="249"/>
      <c r="FI230" s="249"/>
      <c r="FL230" s="249"/>
      <c r="FO230" s="249"/>
      <c r="FR230" s="249"/>
      <c r="FU230" s="249"/>
      <c r="FX230" s="249"/>
      <c r="GA230" s="249"/>
      <c r="GD230" s="249"/>
      <c r="GG230" s="249"/>
      <c r="GJ230" s="249"/>
      <c r="GM230" s="249"/>
      <c r="GP230" s="249"/>
      <c r="GS230" s="249"/>
      <c r="GV230" s="249"/>
      <c r="GY230" s="249"/>
      <c r="HB230" s="249"/>
      <c r="HE230" s="249"/>
    </row>
    <row r="231" spans="1:213" x14ac:dyDescent="0.2">
      <c r="A231" s="249" t="s">
        <v>428</v>
      </c>
      <c r="B231" s="283">
        <v>60</v>
      </c>
      <c r="C231" s="263" t="s">
        <v>359</v>
      </c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W231" s="249"/>
      <c r="Z231" s="249"/>
      <c r="AC231" s="249"/>
      <c r="AD231" s="249"/>
      <c r="AE231" s="249"/>
      <c r="AF231" s="249"/>
      <c r="AG231" s="249"/>
      <c r="AJ231" s="249"/>
      <c r="AM231" s="249"/>
      <c r="AP231" s="249"/>
      <c r="AS231" s="249"/>
      <c r="AV231" s="249"/>
      <c r="AY231" s="249"/>
      <c r="BB231" s="249"/>
      <c r="BE231" s="249"/>
      <c r="BH231" s="249"/>
      <c r="BK231" s="249"/>
      <c r="BN231" s="249"/>
      <c r="BQ231" s="249"/>
      <c r="BT231" s="249"/>
      <c r="BW231" s="249"/>
      <c r="BZ231" s="249"/>
      <c r="CC231" s="249"/>
      <c r="CF231" s="249"/>
      <c r="CI231" s="249"/>
      <c r="CL231" s="249"/>
      <c r="CO231" s="249"/>
      <c r="CR231" s="249"/>
      <c r="CU231" s="249"/>
      <c r="CX231" s="249"/>
      <c r="DA231" s="249"/>
      <c r="DD231" s="249"/>
      <c r="DG231" s="249"/>
      <c r="DJ231" s="249"/>
      <c r="DM231" s="249"/>
      <c r="DP231" s="249"/>
      <c r="DS231" s="249"/>
      <c r="DV231" s="249"/>
      <c r="DY231" s="249"/>
      <c r="EB231" s="249"/>
      <c r="EE231" s="249"/>
      <c r="EH231" s="249"/>
      <c r="EK231" s="249"/>
      <c r="EN231" s="249"/>
      <c r="EQ231" s="249"/>
      <c r="ET231" s="249"/>
      <c r="EW231" s="249"/>
      <c r="EZ231" s="249"/>
      <c r="FC231" s="249"/>
      <c r="FF231" s="249"/>
      <c r="FI231" s="249"/>
      <c r="FL231" s="249"/>
      <c r="FO231" s="249"/>
      <c r="FR231" s="249"/>
      <c r="FU231" s="249"/>
      <c r="FX231" s="249"/>
      <c r="GA231" s="249"/>
      <c r="GD231" s="249"/>
      <c r="GG231" s="249"/>
      <c r="GJ231" s="249"/>
      <c r="GM231" s="249"/>
      <c r="GP231" s="249"/>
      <c r="GS231" s="249"/>
      <c r="GV231" s="249"/>
      <c r="GY231" s="249"/>
      <c r="HB231" s="249"/>
      <c r="HE231" s="249"/>
    </row>
    <row r="232" spans="1:213" x14ac:dyDescent="0.2">
      <c r="A232" s="262" t="s">
        <v>40</v>
      </c>
      <c r="B232" s="283">
        <v>250</v>
      </c>
      <c r="C232" s="249" t="s">
        <v>26</v>
      </c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W232" s="249"/>
      <c r="Z232" s="249"/>
      <c r="AC232" s="249"/>
      <c r="AD232" s="249"/>
      <c r="AE232" s="249"/>
      <c r="AF232" s="249"/>
      <c r="AG232" s="249"/>
      <c r="AJ232" s="249"/>
      <c r="AM232" s="249"/>
      <c r="AP232" s="249"/>
      <c r="AS232" s="249"/>
      <c r="AV232" s="249"/>
      <c r="AY232" s="249"/>
      <c r="BB232" s="249"/>
      <c r="BE232" s="249"/>
      <c r="BH232" s="249"/>
      <c r="BK232" s="249"/>
      <c r="BN232" s="249"/>
      <c r="BQ232" s="249"/>
      <c r="BT232" s="249"/>
      <c r="BW232" s="249"/>
      <c r="BZ232" s="249"/>
      <c r="CC232" s="249"/>
      <c r="CF232" s="249"/>
      <c r="CI232" s="249"/>
      <c r="CL232" s="249"/>
      <c r="CO232" s="249"/>
      <c r="CR232" s="249"/>
      <c r="CU232" s="249"/>
      <c r="CX232" s="249"/>
      <c r="DA232" s="249"/>
      <c r="DD232" s="249"/>
      <c r="DG232" s="249"/>
      <c r="DJ232" s="249"/>
      <c r="DM232" s="249"/>
      <c r="DP232" s="249"/>
      <c r="DS232" s="249"/>
      <c r="DV232" s="249"/>
      <c r="DY232" s="249"/>
      <c r="EB232" s="249"/>
      <c r="EE232" s="249"/>
      <c r="EH232" s="249"/>
      <c r="EK232" s="249"/>
      <c r="EN232" s="249"/>
      <c r="EQ232" s="249"/>
      <c r="ET232" s="249"/>
      <c r="EW232" s="249"/>
      <c r="EZ232" s="249"/>
      <c r="FC232" s="249"/>
      <c r="FF232" s="249"/>
      <c r="FI232" s="249"/>
      <c r="FL232" s="249"/>
      <c r="FO232" s="249"/>
      <c r="FR232" s="249"/>
      <c r="FU232" s="249"/>
      <c r="FX232" s="249"/>
      <c r="GA232" s="249"/>
      <c r="GD232" s="249"/>
      <c r="GG232" s="249"/>
      <c r="GJ232" s="249"/>
      <c r="GM232" s="249"/>
      <c r="GP232" s="249"/>
      <c r="GS232" s="249"/>
      <c r="GV232" s="249"/>
      <c r="GY232" s="249"/>
      <c r="HB232" s="249"/>
      <c r="HE232" s="249"/>
    </row>
    <row r="233" spans="1:213" x14ac:dyDescent="0.2">
      <c r="A233" s="262" t="s">
        <v>429</v>
      </c>
      <c r="B233" s="284">
        <v>25</v>
      </c>
      <c r="C233" s="249" t="s">
        <v>69</v>
      </c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W233" s="249"/>
      <c r="Z233" s="249"/>
      <c r="AC233" s="249"/>
      <c r="AD233" s="249"/>
      <c r="AE233" s="249"/>
      <c r="AF233" s="249"/>
      <c r="AG233" s="249"/>
      <c r="AJ233" s="249"/>
      <c r="AM233" s="249"/>
      <c r="AP233" s="249"/>
      <c r="AS233" s="249"/>
      <c r="AV233" s="249"/>
      <c r="AY233" s="249"/>
      <c r="BB233" s="249"/>
      <c r="BE233" s="249"/>
      <c r="BH233" s="249"/>
      <c r="BK233" s="249"/>
      <c r="BN233" s="249"/>
      <c r="BQ233" s="249"/>
      <c r="BT233" s="249"/>
      <c r="BW233" s="249"/>
      <c r="BZ233" s="249"/>
      <c r="CC233" s="249"/>
      <c r="CF233" s="249"/>
      <c r="CI233" s="249"/>
      <c r="CL233" s="249"/>
      <c r="CO233" s="249"/>
      <c r="CR233" s="249"/>
      <c r="CU233" s="249"/>
      <c r="CX233" s="249"/>
      <c r="DA233" s="249"/>
      <c r="DD233" s="249"/>
      <c r="DG233" s="249"/>
      <c r="DJ233" s="249"/>
      <c r="DM233" s="249"/>
      <c r="DP233" s="249"/>
      <c r="DS233" s="249"/>
      <c r="DV233" s="249"/>
      <c r="DY233" s="249"/>
      <c r="EB233" s="249"/>
      <c r="EE233" s="249"/>
      <c r="EH233" s="249"/>
      <c r="EK233" s="249"/>
      <c r="EN233" s="249"/>
      <c r="EQ233" s="249"/>
      <c r="ET233" s="249"/>
      <c r="EW233" s="249"/>
      <c r="EZ233" s="249"/>
      <c r="FC233" s="249"/>
      <c r="FF233" s="249"/>
      <c r="FI233" s="249"/>
      <c r="FL233" s="249"/>
      <c r="FO233" s="249"/>
      <c r="FR233" s="249"/>
      <c r="FU233" s="249"/>
      <c r="FX233" s="249"/>
      <c r="GA233" s="249"/>
      <c r="GD233" s="249"/>
      <c r="GG233" s="249"/>
      <c r="GJ233" s="249"/>
      <c r="GM233" s="249"/>
      <c r="GP233" s="249"/>
      <c r="GS233" s="249"/>
      <c r="GV233" s="249"/>
      <c r="GY233" s="249"/>
      <c r="HB233" s="249"/>
      <c r="HE233" s="249"/>
    </row>
    <row r="234" spans="1:213" x14ac:dyDescent="0.2">
      <c r="A234" s="262" t="s">
        <v>79</v>
      </c>
      <c r="B234" s="283">
        <v>50</v>
      </c>
      <c r="C234" s="263" t="s">
        <v>54</v>
      </c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W234" s="249"/>
      <c r="Z234" s="249"/>
      <c r="AC234" s="249"/>
      <c r="AD234" s="249"/>
      <c r="AE234" s="249"/>
      <c r="AF234" s="249"/>
      <c r="AG234" s="249"/>
      <c r="AJ234" s="249"/>
      <c r="AM234" s="249"/>
      <c r="AP234" s="249"/>
      <c r="AS234" s="249"/>
      <c r="AV234" s="249"/>
      <c r="AY234" s="249"/>
      <c r="BB234" s="249"/>
      <c r="BE234" s="249"/>
      <c r="BH234" s="249"/>
      <c r="BK234" s="249"/>
      <c r="BN234" s="249"/>
      <c r="BQ234" s="249"/>
      <c r="BT234" s="249"/>
      <c r="BW234" s="249"/>
      <c r="BZ234" s="249"/>
      <c r="CC234" s="249"/>
      <c r="CF234" s="249"/>
      <c r="CI234" s="249"/>
      <c r="CL234" s="249"/>
      <c r="CO234" s="249"/>
      <c r="CR234" s="249"/>
      <c r="CU234" s="249"/>
      <c r="CX234" s="249"/>
      <c r="DA234" s="249"/>
      <c r="DD234" s="249"/>
      <c r="DG234" s="249"/>
      <c r="DJ234" s="249"/>
      <c r="DM234" s="249"/>
      <c r="DP234" s="249"/>
      <c r="DS234" s="249"/>
      <c r="DV234" s="249"/>
      <c r="DY234" s="249"/>
      <c r="EB234" s="249"/>
      <c r="EE234" s="249"/>
      <c r="EH234" s="249"/>
      <c r="EK234" s="249"/>
      <c r="EN234" s="249"/>
      <c r="EQ234" s="249"/>
      <c r="ET234" s="249"/>
      <c r="EW234" s="249"/>
      <c r="EZ234" s="249"/>
      <c r="FC234" s="249"/>
      <c r="FF234" s="249"/>
      <c r="FI234" s="249"/>
      <c r="FL234" s="249"/>
      <c r="FO234" s="249"/>
      <c r="FR234" s="249"/>
      <c r="FU234" s="249"/>
      <c r="FX234" s="249"/>
      <c r="GA234" s="249"/>
      <c r="GD234" s="249"/>
      <c r="GG234" s="249"/>
      <c r="GJ234" s="249"/>
      <c r="GM234" s="249"/>
      <c r="GP234" s="249"/>
      <c r="GS234" s="249"/>
      <c r="GV234" s="249"/>
      <c r="GY234" s="249"/>
      <c r="HB234" s="249"/>
      <c r="HE234" s="249"/>
    </row>
    <row r="235" spans="1:213" x14ac:dyDescent="0.2">
      <c r="A235" s="249" t="s">
        <v>353</v>
      </c>
      <c r="B235" s="284">
        <v>1</v>
      </c>
      <c r="C235" s="247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W235" s="249"/>
      <c r="Z235" s="249"/>
      <c r="AC235" s="249"/>
      <c r="AD235" s="249"/>
      <c r="AE235" s="249"/>
      <c r="AF235" s="249"/>
      <c r="AG235" s="249"/>
      <c r="AJ235" s="249"/>
      <c r="AM235" s="249"/>
      <c r="AP235" s="249"/>
      <c r="AS235" s="249"/>
      <c r="AV235" s="249"/>
      <c r="AY235" s="249"/>
      <c r="BB235" s="249"/>
      <c r="BE235" s="249"/>
      <c r="BH235" s="249"/>
      <c r="BK235" s="249"/>
      <c r="BN235" s="249"/>
      <c r="BQ235" s="249"/>
      <c r="BT235" s="249"/>
      <c r="BW235" s="249"/>
      <c r="BZ235" s="249"/>
      <c r="CC235" s="249"/>
      <c r="CF235" s="249"/>
      <c r="CI235" s="249"/>
      <c r="CL235" s="249"/>
      <c r="CO235" s="249"/>
      <c r="CR235" s="249"/>
      <c r="CU235" s="249"/>
      <c r="CX235" s="249"/>
      <c r="DA235" s="249"/>
      <c r="DD235" s="249"/>
      <c r="DG235" s="249"/>
      <c r="DJ235" s="249"/>
      <c r="DM235" s="249"/>
      <c r="DP235" s="249"/>
      <c r="DS235" s="249"/>
      <c r="DV235" s="249"/>
      <c r="DY235" s="249"/>
      <c r="EB235" s="249"/>
      <c r="EE235" s="249"/>
      <c r="EH235" s="249"/>
      <c r="EK235" s="249"/>
      <c r="EN235" s="249"/>
      <c r="EQ235" s="249"/>
      <c r="ET235" s="249"/>
      <c r="EW235" s="249"/>
      <c r="EZ235" s="249"/>
      <c r="FC235" s="249"/>
      <c r="FF235" s="249"/>
      <c r="FI235" s="249"/>
      <c r="FL235" s="249"/>
      <c r="FO235" s="249"/>
      <c r="FR235" s="249"/>
      <c r="FU235" s="249"/>
      <c r="FX235" s="249"/>
      <c r="GA235" s="249"/>
      <c r="GD235" s="249"/>
      <c r="GG235" s="249"/>
      <c r="GJ235" s="249"/>
      <c r="GM235" s="249"/>
      <c r="GP235" s="249"/>
      <c r="GS235" s="249"/>
      <c r="GV235" s="249"/>
      <c r="GY235" s="249"/>
      <c r="HB235" s="249"/>
      <c r="HE235" s="249"/>
    </row>
    <row r="236" spans="1:213" x14ac:dyDescent="0.2">
      <c r="A236" s="262" t="s">
        <v>56</v>
      </c>
      <c r="B236" s="284">
        <v>1</v>
      </c>
      <c r="C236" s="247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W236" s="249"/>
      <c r="Z236" s="249"/>
      <c r="AC236" s="249"/>
      <c r="AD236" s="249"/>
      <c r="AE236" s="249"/>
      <c r="AF236" s="249"/>
      <c r="AG236" s="249"/>
      <c r="AJ236" s="249"/>
      <c r="AM236" s="249"/>
      <c r="AP236" s="249"/>
      <c r="AS236" s="249"/>
      <c r="AV236" s="249"/>
      <c r="AY236" s="249"/>
      <c r="BB236" s="249"/>
      <c r="BE236" s="249"/>
      <c r="BH236" s="249"/>
      <c r="BK236" s="249"/>
      <c r="BN236" s="249"/>
      <c r="BQ236" s="249"/>
      <c r="BT236" s="249"/>
      <c r="BW236" s="249"/>
      <c r="BZ236" s="249"/>
      <c r="CC236" s="249"/>
      <c r="CF236" s="249"/>
      <c r="CI236" s="249"/>
      <c r="CL236" s="249"/>
      <c r="CO236" s="249"/>
      <c r="CR236" s="249"/>
      <c r="CU236" s="249"/>
      <c r="CX236" s="249"/>
      <c r="DA236" s="249"/>
      <c r="DD236" s="249"/>
      <c r="DG236" s="249"/>
      <c r="DJ236" s="249"/>
      <c r="DM236" s="249"/>
      <c r="DP236" s="249"/>
      <c r="DS236" s="249"/>
      <c r="DV236" s="249"/>
      <c r="DY236" s="249"/>
      <c r="EB236" s="249"/>
      <c r="EE236" s="249"/>
      <c r="EH236" s="249"/>
      <c r="EK236" s="249"/>
      <c r="EN236" s="249"/>
      <c r="EQ236" s="249"/>
      <c r="ET236" s="249"/>
      <c r="EW236" s="249"/>
      <c r="EZ236" s="249"/>
      <c r="FC236" s="249"/>
      <c r="FF236" s="249"/>
      <c r="FI236" s="249"/>
      <c r="FL236" s="249"/>
      <c r="FO236" s="249"/>
      <c r="FR236" s="249"/>
      <c r="FU236" s="249"/>
      <c r="FX236" s="249"/>
      <c r="GA236" s="249"/>
      <c r="GD236" s="249"/>
      <c r="GG236" s="249"/>
      <c r="GJ236" s="249"/>
      <c r="GM236" s="249"/>
      <c r="GP236" s="249"/>
      <c r="GS236" s="249"/>
      <c r="GV236" s="249"/>
      <c r="GY236" s="249"/>
      <c r="HB236" s="249"/>
      <c r="HE236" s="249"/>
    </row>
    <row r="237" spans="1:213" x14ac:dyDescent="0.2">
      <c r="A237" s="262" t="s">
        <v>52</v>
      </c>
      <c r="B237" s="284">
        <v>0.4</v>
      </c>
      <c r="C237" s="247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W237" s="249"/>
      <c r="Z237" s="249"/>
      <c r="AC237" s="249"/>
      <c r="AD237" s="249"/>
      <c r="AE237" s="249"/>
      <c r="AF237" s="249"/>
      <c r="AG237" s="249"/>
      <c r="AJ237" s="249"/>
      <c r="AM237" s="249"/>
      <c r="AP237" s="249"/>
      <c r="AS237" s="249"/>
      <c r="AV237" s="249"/>
      <c r="AY237" s="249"/>
      <c r="BB237" s="249"/>
      <c r="BE237" s="249"/>
      <c r="BH237" s="249"/>
      <c r="BK237" s="249"/>
      <c r="BN237" s="249"/>
      <c r="BQ237" s="249"/>
      <c r="BT237" s="249"/>
      <c r="BW237" s="249"/>
      <c r="BZ237" s="249"/>
      <c r="CC237" s="249"/>
      <c r="CF237" s="249"/>
      <c r="CI237" s="249"/>
      <c r="CL237" s="249"/>
      <c r="CO237" s="249"/>
      <c r="CR237" s="249"/>
      <c r="CU237" s="249"/>
      <c r="CX237" s="249"/>
      <c r="DA237" s="249"/>
      <c r="DD237" s="249"/>
      <c r="DG237" s="249"/>
      <c r="DJ237" s="249"/>
      <c r="DM237" s="249"/>
      <c r="DP237" s="249"/>
      <c r="DS237" s="249"/>
      <c r="DV237" s="249"/>
      <c r="DY237" s="249"/>
      <c r="EB237" s="249"/>
      <c r="EE237" s="249"/>
      <c r="EH237" s="249"/>
      <c r="EK237" s="249"/>
      <c r="EN237" s="249"/>
      <c r="EQ237" s="249"/>
      <c r="ET237" s="249"/>
      <c r="EW237" s="249"/>
      <c r="EZ237" s="249"/>
      <c r="FC237" s="249"/>
      <c r="FF237" s="249"/>
      <c r="FI237" s="249"/>
      <c r="FL237" s="249"/>
      <c r="FO237" s="249"/>
      <c r="FR237" s="249"/>
      <c r="FU237" s="249"/>
      <c r="FX237" s="249"/>
      <c r="GA237" s="249"/>
      <c r="GD237" s="249"/>
      <c r="GG237" s="249"/>
      <c r="GJ237" s="249"/>
      <c r="GM237" s="249"/>
      <c r="GP237" s="249"/>
      <c r="GS237" s="249"/>
      <c r="GV237" s="249"/>
      <c r="GY237" s="249"/>
      <c r="HB237" s="249"/>
      <c r="HE237" s="249"/>
    </row>
    <row r="238" spans="1:213" x14ac:dyDescent="0.2">
      <c r="A238" s="262" t="s">
        <v>62</v>
      </c>
      <c r="B238" s="284">
        <v>1</v>
      </c>
      <c r="C238" s="247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W238" s="249"/>
      <c r="Z238" s="249"/>
      <c r="AC238" s="249"/>
      <c r="AD238" s="249"/>
      <c r="AE238" s="249"/>
      <c r="AF238" s="249"/>
      <c r="AG238" s="249"/>
      <c r="AJ238" s="249"/>
      <c r="AM238" s="249"/>
      <c r="AP238" s="249"/>
      <c r="AS238" s="249"/>
      <c r="AV238" s="249"/>
      <c r="AY238" s="249"/>
      <c r="BB238" s="249"/>
      <c r="BE238" s="249"/>
      <c r="BH238" s="249"/>
      <c r="BK238" s="249"/>
      <c r="BN238" s="249"/>
      <c r="BQ238" s="249"/>
      <c r="BT238" s="249"/>
      <c r="BW238" s="249"/>
      <c r="BZ238" s="249"/>
      <c r="CC238" s="249"/>
      <c r="CF238" s="249"/>
      <c r="CI238" s="249"/>
      <c r="CL238" s="249"/>
      <c r="CO238" s="249"/>
      <c r="CR238" s="249"/>
      <c r="CU238" s="249"/>
      <c r="CX238" s="249"/>
      <c r="DA238" s="249"/>
      <c r="DD238" s="249"/>
      <c r="DG238" s="249"/>
      <c r="DJ238" s="249"/>
      <c r="DM238" s="249"/>
      <c r="DP238" s="249"/>
      <c r="DS238" s="249"/>
      <c r="DV238" s="249"/>
      <c r="DY238" s="249"/>
      <c r="EB238" s="249"/>
      <c r="EE238" s="249"/>
      <c r="EH238" s="249"/>
      <c r="EK238" s="249"/>
      <c r="EN238" s="249"/>
      <c r="EQ238" s="249"/>
      <c r="ET238" s="249"/>
      <c r="EW238" s="249"/>
      <c r="EZ238" s="249"/>
      <c r="FC238" s="249"/>
      <c r="FF238" s="249"/>
      <c r="FI238" s="249"/>
      <c r="FL238" s="249"/>
      <c r="FO238" s="249"/>
      <c r="FR238" s="249"/>
      <c r="FU238" s="249"/>
      <c r="FX238" s="249"/>
      <c r="GA238" s="249"/>
      <c r="GD238" s="249"/>
      <c r="GG238" s="249"/>
      <c r="GJ238" s="249"/>
      <c r="GM238" s="249"/>
      <c r="GP238" s="249"/>
      <c r="GS238" s="249"/>
      <c r="GV238" s="249"/>
      <c r="GY238" s="249"/>
      <c r="HB238" s="249"/>
      <c r="HE238" s="249"/>
    </row>
    <row r="239" spans="1:213" x14ac:dyDescent="0.2">
      <c r="A239" s="262" t="s">
        <v>469</v>
      </c>
      <c r="B239" s="283">
        <v>0</v>
      </c>
      <c r="C239" s="249" t="s">
        <v>224</v>
      </c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W239" s="249"/>
      <c r="Z239" s="249"/>
      <c r="AC239" s="249"/>
      <c r="AD239" s="249"/>
      <c r="AE239" s="249"/>
      <c r="AF239" s="249"/>
      <c r="AG239" s="249"/>
      <c r="AJ239" s="249"/>
      <c r="AM239" s="249"/>
      <c r="AP239" s="249"/>
      <c r="AS239" s="249"/>
      <c r="AV239" s="249"/>
      <c r="AY239" s="249"/>
      <c r="BB239" s="249"/>
      <c r="BE239" s="249"/>
      <c r="BH239" s="249"/>
      <c r="BK239" s="249"/>
      <c r="BN239" s="249"/>
      <c r="BQ239" s="249"/>
      <c r="BT239" s="249"/>
      <c r="BW239" s="249"/>
      <c r="BZ239" s="249"/>
      <c r="CC239" s="249"/>
      <c r="CF239" s="249"/>
      <c r="CI239" s="249"/>
      <c r="CL239" s="249"/>
      <c r="CO239" s="249"/>
      <c r="CR239" s="249"/>
      <c r="CU239" s="249"/>
      <c r="CX239" s="249"/>
      <c r="DA239" s="249"/>
      <c r="DD239" s="249"/>
      <c r="DG239" s="249"/>
      <c r="DJ239" s="249"/>
      <c r="DM239" s="249"/>
      <c r="DP239" s="249"/>
      <c r="DS239" s="249"/>
      <c r="DV239" s="249"/>
      <c r="DY239" s="249"/>
      <c r="EB239" s="249"/>
      <c r="EE239" s="249"/>
      <c r="EH239" s="249"/>
      <c r="EK239" s="249"/>
      <c r="EN239" s="249"/>
      <c r="EQ239" s="249"/>
      <c r="ET239" s="249"/>
      <c r="EW239" s="249"/>
      <c r="EZ239" s="249"/>
      <c r="FC239" s="249"/>
      <c r="FF239" s="249"/>
      <c r="FI239" s="249"/>
      <c r="FL239" s="249"/>
      <c r="FO239" s="249"/>
      <c r="FR239" s="249"/>
      <c r="FU239" s="249"/>
      <c r="FX239" s="249"/>
      <c r="GA239" s="249"/>
      <c r="GD239" s="249"/>
      <c r="GG239" s="249"/>
      <c r="GJ239" s="249"/>
      <c r="GM239" s="249"/>
      <c r="GP239" s="249"/>
      <c r="GS239" s="249"/>
      <c r="GV239" s="249"/>
      <c r="GY239" s="249"/>
      <c r="HB239" s="249"/>
      <c r="HE239" s="249"/>
    </row>
    <row r="240" spans="1:213" x14ac:dyDescent="0.2">
      <c r="A240" s="262" t="s">
        <v>470</v>
      </c>
      <c r="B240" s="283">
        <v>8</v>
      </c>
      <c r="C240" s="249" t="s">
        <v>224</v>
      </c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W240" s="249"/>
      <c r="Z240" s="249"/>
      <c r="AC240" s="249"/>
      <c r="AD240" s="249"/>
      <c r="AE240" s="249"/>
      <c r="AF240" s="249"/>
      <c r="AG240" s="249"/>
      <c r="AJ240" s="249"/>
      <c r="AM240" s="249"/>
      <c r="AP240" s="249"/>
      <c r="AS240" s="249"/>
      <c r="AV240" s="249"/>
      <c r="AY240" s="249"/>
      <c r="BB240" s="249"/>
      <c r="BE240" s="249"/>
      <c r="BH240" s="249"/>
      <c r="BK240" s="249"/>
      <c r="BN240" s="249"/>
      <c r="BQ240" s="249"/>
      <c r="BT240" s="249"/>
      <c r="BW240" s="249"/>
      <c r="BZ240" s="249"/>
      <c r="CC240" s="249"/>
      <c r="CF240" s="249"/>
      <c r="CI240" s="249"/>
      <c r="CL240" s="249"/>
      <c r="CO240" s="249"/>
      <c r="CR240" s="249"/>
      <c r="CU240" s="249"/>
      <c r="CX240" s="249"/>
      <c r="DA240" s="249"/>
      <c r="DD240" s="249"/>
      <c r="DG240" s="249"/>
      <c r="DJ240" s="249"/>
      <c r="DM240" s="249"/>
      <c r="DP240" s="249"/>
      <c r="DS240" s="249"/>
      <c r="DV240" s="249"/>
      <c r="DY240" s="249"/>
      <c r="EB240" s="249"/>
      <c r="EE240" s="249"/>
      <c r="EH240" s="249"/>
      <c r="EK240" s="249"/>
      <c r="EN240" s="249"/>
      <c r="EQ240" s="249"/>
      <c r="ET240" s="249"/>
      <c r="EW240" s="249"/>
      <c r="EZ240" s="249"/>
      <c r="FC240" s="249"/>
      <c r="FF240" s="249"/>
      <c r="FI240" s="249"/>
      <c r="FL240" s="249"/>
      <c r="FO240" s="249"/>
      <c r="FR240" s="249"/>
      <c r="FU240" s="249"/>
      <c r="FX240" s="249"/>
      <c r="GA240" s="249"/>
      <c r="GD240" s="249"/>
      <c r="GG240" s="249"/>
      <c r="GJ240" s="249"/>
      <c r="GM240" s="249"/>
      <c r="GP240" s="249"/>
      <c r="GS240" s="249"/>
      <c r="GV240" s="249"/>
      <c r="GY240" s="249"/>
      <c r="HB240" s="249"/>
      <c r="HE240" s="249"/>
    </row>
    <row r="241" spans="1:213" x14ac:dyDescent="0.2">
      <c r="A241" s="262" t="s">
        <v>103</v>
      </c>
      <c r="B241" s="283">
        <v>0.4</v>
      </c>
      <c r="C241" s="247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W241" s="249"/>
      <c r="Z241" s="249"/>
      <c r="AC241" s="249"/>
      <c r="AD241" s="249"/>
      <c r="AE241" s="249"/>
      <c r="AF241" s="249"/>
      <c r="AG241" s="249"/>
      <c r="AJ241" s="249"/>
      <c r="AM241" s="249"/>
      <c r="AP241" s="249"/>
      <c r="AS241" s="249"/>
      <c r="AV241" s="249"/>
      <c r="AY241" s="249"/>
      <c r="BB241" s="249"/>
      <c r="BE241" s="249"/>
      <c r="BH241" s="249"/>
      <c r="BK241" s="249"/>
      <c r="BN241" s="249"/>
      <c r="BQ241" s="249"/>
      <c r="BT241" s="249"/>
      <c r="BW241" s="249"/>
      <c r="BZ241" s="249"/>
      <c r="CC241" s="249"/>
      <c r="CF241" s="249"/>
      <c r="CI241" s="249"/>
      <c r="CL241" s="249"/>
      <c r="CO241" s="249"/>
      <c r="CR241" s="249"/>
      <c r="CU241" s="249"/>
      <c r="CX241" s="249"/>
      <c r="DA241" s="249"/>
      <c r="DD241" s="249"/>
      <c r="DG241" s="249"/>
      <c r="DJ241" s="249"/>
      <c r="DM241" s="249"/>
      <c r="DP241" s="249"/>
      <c r="DS241" s="249"/>
      <c r="DV241" s="249"/>
      <c r="DY241" s="249"/>
      <c r="EB241" s="249"/>
      <c r="EE241" s="249"/>
      <c r="EH241" s="249"/>
      <c r="EK241" s="249"/>
      <c r="EN241" s="249"/>
      <c r="EQ241" s="249"/>
      <c r="ET241" s="249"/>
      <c r="EW241" s="249"/>
      <c r="EZ241" s="249"/>
      <c r="FC241" s="249"/>
      <c r="FF241" s="249"/>
      <c r="FI241" s="249"/>
      <c r="FL241" s="249"/>
      <c r="FO241" s="249"/>
      <c r="FR241" s="249"/>
      <c r="FU241" s="249"/>
      <c r="FX241" s="249"/>
      <c r="GA241" s="249"/>
      <c r="GD241" s="249"/>
      <c r="GG241" s="249"/>
      <c r="GJ241" s="249"/>
      <c r="GM241" s="249"/>
      <c r="GP241" s="249"/>
      <c r="GS241" s="249"/>
      <c r="GV241" s="249"/>
      <c r="GY241" s="249"/>
      <c r="HB241" s="249"/>
      <c r="HE241" s="249"/>
    </row>
    <row r="242" spans="1:213" x14ac:dyDescent="0.2">
      <c r="A242" s="558" t="s">
        <v>430</v>
      </c>
      <c r="B242" s="558"/>
      <c r="C242" s="558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W242" s="249"/>
      <c r="Z242" s="249"/>
      <c r="AC242" s="249"/>
      <c r="AD242" s="249"/>
      <c r="AE242" s="249"/>
      <c r="AF242" s="249"/>
      <c r="AG242" s="249"/>
      <c r="AJ242" s="249"/>
      <c r="AM242" s="249"/>
      <c r="AP242" s="249"/>
      <c r="AS242" s="249"/>
      <c r="AV242" s="249"/>
      <c r="AY242" s="249"/>
      <c r="BB242" s="249"/>
      <c r="BE242" s="249"/>
      <c r="BH242" s="249"/>
      <c r="BK242" s="249"/>
      <c r="BN242" s="249"/>
      <c r="BQ242" s="249"/>
      <c r="BT242" s="249"/>
      <c r="BW242" s="249"/>
      <c r="BZ242" s="249"/>
      <c r="CC242" s="249"/>
      <c r="CF242" s="249"/>
      <c r="CI242" s="249"/>
      <c r="CL242" s="249"/>
      <c r="CO242" s="249"/>
      <c r="CR242" s="249"/>
      <c r="CU242" s="249"/>
      <c r="CX242" s="249"/>
      <c r="DA242" s="249"/>
      <c r="DD242" s="249"/>
      <c r="DG242" s="249"/>
      <c r="DJ242" s="249"/>
      <c r="DM242" s="249"/>
      <c r="DP242" s="249"/>
      <c r="DS242" s="249"/>
      <c r="DV242" s="249"/>
      <c r="DY242" s="249"/>
      <c r="EB242" s="249"/>
      <c r="EE242" s="249"/>
      <c r="EH242" s="249"/>
      <c r="EK242" s="249"/>
      <c r="EN242" s="249"/>
      <c r="EQ242" s="249"/>
      <c r="ET242" s="249"/>
      <c r="EW242" s="249"/>
      <c r="EZ242" s="249"/>
      <c r="FC242" s="249"/>
      <c r="FF242" s="249"/>
      <c r="FI242" s="249"/>
      <c r="FL242" s="249"/>
      <c r="FO242" s="249"/>
      <c r="FR242" s="249"/>
      <c r="FU242" s="249"/>
      <c r="FX242" s="249"/>
      <c r="GA242" s="249"/>
      <c r="GD242" s="249"/>
      <c r="GG242" s="249"/>
      <c r="GJ242" s="249"/>
      <c r="GM242" s="249"/>
      <c r="GP242" s="249"/>
      <c r="GS242" s="249"/>
      <c r="GV242" s="249"/>
      <c r="GY242" s="249"/>
      <c r="HB242" s="249"/>
      <c r="HE242" s="249"/>
    </row>
    <row r="243" spans="1:213" x14ac:dyDescent="0.2">
      <c r="A243" s="249" t="s">
        <v>58</v>
      </c>
      <c r="B243" s="283">
        <v>60</v>
      </c>
      <c r="C243" s="263" t="s">
        <v>359</v>
      </c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W243" s="249"/>
      <c r="Z243" s="249"/>
      <c r="AC243" s="249"/>
      <c r="AD243" s="249"/>
      <c r="AE243" s="249"/>
      <c r="AF243" s="249"/>
      <c r="AG243" s="249"/>
      <c r="AJ243" s="249"/>
      <c r="AM243" s="249"/>
      <c r="AP243" s="249"/>
      <c r="AS243" s="249"/>
      <c r="AV243" s="249"/>
      <c r="AY243" s="249"/>
      <c r="BB243" s="249"/>
      <c r="BE243" s="249"/>
      <c r="BH243" s="249"/>
      <c r="BK243" s="249"/>
      <c r="BN243" s="249"/>
      <c r="BQ243" s="249"/>
      <c r="BT243" s="249"/>
      <c r="BW243" s="249"/>
      <c r="BZ243" s="249"/>
      <c r="CC243" s="249"/>
      <c r="CF243" s="249"/>
      <c r="CI243" s="249"/>
      <c r="CL243" s="249"/>
      <c r="CO243" s="249"/>
      <c r="CR243" s="249"/>
      <c r="CU243" s="249"/>
      <c r="CX243" s="249"/>
      <c r="DA243" s="249"/>
      <c r="DD243" s="249"/>
      <c r="DG243" s="249"/>
      <c r="DJ243" s="249"/>
      <c r="DM243" s="249"/>
      <c r="DP243" s="249"/>
      <c r="DS243" s="249"/>
      <c r="DV243" s="249"/>
      <c r="DY243" s="249"/>
      <c r="EB243" s="249"/>
      <c r="EE243" s="249"/>
      <c r="EH243" s="249"/>
      <c r="EK243" s="249"/>
      <c r="EN243" s="249"/>
      <c r="EQ243" s="249"/>
      <c r="ET243" s="249"/>
      <c r="EW243" s="249"/>
      <c r="EZ243" s="249"/>
      <c r="FC243" s="249"/>
      <c r="FF243" s="249"/>
      <c r="FI243" s="249"/>
      <c r="FL243" s="249"/>
      <c r="FO243" s="249"/>
      <c r="FR243" s="249"/>
      <c r="FU243" s="249"/>
      <c r="FX243" s="249"/>
      <c r="GA243" s="249"/>
      <c r="GD243" s="249"/>
      <c r="GG243" s="249"/>
      <c r="GJ243" s="249"/>
      <c r="GM243" s="249"/>
      <c r="GP243" s="249"/>
      <c r="GS243" s="249"/>
      <c r="GV243" s="249"/>
      <c r="GY243" s="249"/>
      <c r="HB243" s="249"/>
      <c r="HE243" s="249"/>
    </row>
    <row r="244" spans="1:213" x14ac:dyDescent="0.2">
      <c r="A244" s="262" t="s">
        <v>431</v>
      </c>
      <c r="B244" s="283">
        <v>225</v>
      </c>
      <c r="C244" s="249" t="s">
        <v>26</v>
      </c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W244" s="249"/>
      <c r="Z244" s="249"/>
      <c r="AC244" s="249"/>
      <c r="AD244" s="249"/>
      <c r="AE244" s="249"/>
      <c r="AF244" s="249"/>
      <c r="AG244" s="249"/>
      <c r="AJ244" s="249"/>
      <c r="AM244" s="249"/>
      <c r="AP244" s="249"/>
      <c r="AS244" s="249"/>
      <c r="AV244" s="249"/>
      <c r="AY244" s="249"/>
      <c r="BB244" s="249"/>
      <c r="BE244" s="249"/>
      <c r="BH244" s="249"/>
      <c r="BK244" s="249"/>
      <c r="BN244" s="249"/>
      <c r="BQ244" s="249"/>
      <c r="BT244" s="249"/>
      <c r="BW244" s="249"/>
      <c r="BZ244" s="249"/>
      <c r="CC244" s="249"/>
      <c r="CF244" s="249"/>
      <c r="CI244" s="249"/>
      <c r="CL244" s="249"/>
      <c r="CO244" s="249"/>
      <c r="CR244" s="249"/>
      <c r="CU244" s="249"/>
      <c r="CX244" s="249"/>
      <c r="DA244" s="249"/>
      <c r="DD244" s="249"/>
      <c r="DG244" s="249"/>
      <c r="DJ244" s="249"/>
      <c r="DM244" s="249"/>
      <c r="DP244" s="249"/>
      <c r="DS244" s="249"/>
      <c r="DV244" s="249"/>
      <c r="DY244" s="249"/>
      <c r="EB244" s="249"/>
      <c r="EE244" s="249"/>
      <c r="EH244" s="249"/>
      <c r="EK244" s="249"/>
      <c r="EN244" s="249"/>
      <c r="EQ244" s="249"/>
      <c r="ET244" s="249"/>
      <c r="EW244" s="249"/>
      <c r="EZ244" s="249"/>
      <c r="FC244" s="249"/>
      <c r="FF244" s="249"/>
      <c r="FI244" s="249"/>
      <c r="FL244" s="249"/>
      <c r="FO244" s="249"/>
      <c r="FR244" s="249"/>
      <c r="FU244" s="249"/>
      <c r="FX244" s="249"/>
      <c r="GA244" s="249"/>
      <c r="GD244" s="249"/>
      <c r="GG244" s="249"/>
      <c r="GJ244" s="249"/>
      <c r="GM244" s="249"/>
      <c r="GP244" s="249"/>
      <c r="GS244" s="249"/>
      <c r="GV244" s="249"/>
      <c r="GY244" s="249"/>
      <c r="HB244" s="249"/>
      <c r="HE244" s="249"/>
    </row>
    <row r="245" spans="1:213" x14ac:dyDescent="0.2">
      <c r="A245" s="262" t="s">
        <v>432</v>
      </c>
      <c r="B245" s="284">
        <v>25</v>
      </c>
      <c r="C245" s="249" t="s">
        <v>69</v>
      </c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W245" s="249"/>
      <c r="Z245" s="249"/>
      <c r="AC245" s="249"/>
      <c r="AD245" s="249"/>
      <c r="AE245" s="249"/>
      <c r="AF245" s="249"/>
      <c r="AG245" s="249"/>
      <c r="AJ245" s="249"/>
      <c r="AM245" s="249"/>
      <c r="AP245" s="249"/>
      <c r="AS245" s="249"/>
      <c r="AV245" s="249"/>
      <c r="AY245" s="249"/>
      <c r="BB245" s="249"/>
      <c r="BE245" s="249"/>
      <c r="BH245" s="249"/>
      <c r="BK245" s="249"/>
      <c r="BN245" s="249"/>
      <c r="BQ245" s="249"/>
      <c r="BT245" s="249"/>
      <c r="BW245" s="249"/>
      <c r="BZ245" s="249"/>
      <c r="CC245" s="249"/>
      <c r="CF245" s="249"/>
      <c r="CI245" s="249"/>
      <c r="CL245" s="249"/>
      <c r="CO245" s="249"/>
      <c r="CR245" s="249"/>
      <c r="CU245" s="249"/>
      <c r="CX245" s="249"/>
      <c r="DA245" s="249"/>
      <c r="DD245" s="249"/>
      <c r="DG245" s="249"/>
      <c r="DJ245" s="249"/>
      <c r="DM245" s="249"/>
      <c r="DP245" s="249"/>
      <c r="DS245" s="249"/>
      <c r="DV245" s="249"/>
      <c r="DY245" s="249"/>
      <c r="EB245" s="249"/>
      <c r="EE245" s="249"/>
      <c r="EH245" s="249"/>
      <c r="EK245" s="249"/>
      <c r="EN245" s="249"/>
      <c r="EQ245" s="249"/>
      <c r="ET245" s="249"/>
      <c r="EW245" s="249"/>
      <c r="EZ245" s="249"/>
      <c r="FC245" s="249"/>
      <c r="FF245" s="249"/>
      <c r="FI245" s="249"/>
      <c r="FL245" s="249"/>
      <c r="FO245" s="249"/>
      <c r="FR245" s="249"/>
      <c r="FU245" s="249"/>
      <c r="FX245" s="249"/>
      <c r="GA245" s="249"/>
      <c r="GD245" s="249"/>
      <c r="GG245" s="249"/>
      <c r="GJ245" s="249"/>
      <c r="GM245" s="249"/>
      <c r="GP245" s="249"/>
      <c r="GS245" s="249"/>
      <c r="GV245" s="249"/>
      <c r="GY245" s="249"/>
      <c r="HB245" s="249"/>
      <c r="HE245" s="249"/>
    </row>
    <row r="246" spans="1:213" x14ac:dyDescent="0.2">
      <c r="A246" s="262" t="s">
        <v>433</v>
      </c>
      <c r="B246" s="283">
        <v>100</v>
      </c>
      <c r="C246" s="263" t="s">
        <v>54</v>
      </c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W246" s="249"/>
      <c r="Z246" s="249"/>
      <c r="AC246" s="249"/>
      <c r="AD246" s="249"/>
      <c r="AE246" s="249"/>
      <c r="AF246" s="249"/>
      <c r="AG246" s="249"/>
      <c r="AJ246" s="249"/>
      <c r="AM246" s="249"/>
      <c r="AP246" s="249"/>
      <c r="AS246" s="249"/>
      <c r="AV246" s="249"/>
      <c r="AY246" s="249"/>
      <c r="BB246" s="249"/>
      <c r="BE246" s="249"/>
      <c r="BH246" s="249"/>
      <c r="BK246" s="249"/>
      <c r="BN246" s="249"/>
      <c r="BQ246" s="249"/>
      <c r="BT246" s="249"/>
      <c r="BW246" s="249"/>
      <c r="BZ246" s="249"/>
      <c r="CC246" s="249"/>
      <c r="CF246" s="249"/>
      <c r="CI246" s="249"/>
      <c r="CL246" s="249"/>
      <c r="CO246" s="249"/>
      <c r="CR246" s="249"/>
      <c r="CU246" s="249"/>
      <c r="CX246" s="249"/>
      <c r="DA246" s="249"/>
      <c r="DD246" s="249"/>
      <c r="DG246" s="249"/>
      <c r="DJ246" s="249"/>
      <c r="DM246" s="249"/>
      <c r="DP246" s="249"/>
      <c r="DS246" s="249"/>
      <c r="DV246" s="249"/>
      <c r="DY246" s="249"/>
      <c r="EB246" s="249"/>
      <c r="EE246" s="249"/>
      <c r="EH246" s="249"/>
      <c r="EK246" s="249"/>
      <c r="EN246" s="249"/>
      <c r="EQ246" s="249"/>
      <c r="ET246" s="249"/>
      <c r="EW246" s="249"/>
      <c r="EZ246" s="249"/>
      <c r="FC246" s="249"/>
      <c r="FF246" s="249"/>
      <c r="FI246" s="249"/>
      <c r="FL246" s="249"/>
      <c r="FO246" s="249"/>
      <c r="FR246" s="249"/>
      <c r="FU246" s="249"/>
      <c r="FX246" s="249"/>
      <c r="GA246" s="249"/>
      <c r="GD246" s="249"/>
      <c r="GG246" s="249"/>
      <c r="GJ246" s="249"/>
      <c r="GM246" s="249"/>
      <c r="GP246" s="249"/>
      <c r="GS246" s="249"/>
      <c r="GV246" s="249"/>
      <c r="GY246" s="249"/>
      <c r="HB246" s="249"/>
      <c r="HE246" s="249"/>
    </row>
    <row r="247" spans="1:213" x14ac:dyDescent="0.2">
      <c r="A247" s="249" t="s">
        <v>353</v>
      </c>
      <c r="B247" s="284">
        <v>1</v>
      </c>
      <c r="C247" s="247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W247" s="249"/>
      <c r="Z247" s="249"/>
      <c r="AC247" s="249"/>
      <c r="AD247" s="249"/>
      <c r="AE247" s="249"/>
      <c r="AF247" s="249"/>
      <c r="AG247" s="249"/>
      <c r="AJ247" s="249"/>
      <c r="AM247" s="249"/>
      <c r="AP247" s="249"/>
      <c r="AS247" s="249"/>
      <c r="AV247" s="249"/>
      <c r="AY247" s="249"/>
      <c r="BB247" s="249"/>
      <c r="BE247" s="249"/>
      <c r="BH247" s="249"/>
      <c r="BK247" s="249"/>
      <c r="BN247" s="249"/>
      <c r="BQ247" s="249"/>
      <c r="BT247" s="249"/>
      <c r="BW247" s="249"/>
      <c r="BZ247" s="249"/>
      <c r="CC247" s="249"/>
      <c r="CF247" s="249"/>
      <c r="CI247" s="249"/>
      <c r="CL247" s="249"/>
      <c r="CO247" s="249"/>
      <c r="CR247" s="249"/>
      <c r="CU247" s="249"/>
      <c r="CX247" s="249"/>
      <c r="DA247" s="249"/>
      <c r="DD247" s="249"/>
      <c r="DG247" s="249"/>
      <c r="DJ247" s="249"/>
      <c r="DM247" s="249"/>
      <c r="DP247" s="249"/>
      <c r="DS247" s="249"/>
      <c r="DV247" s="249"/>
      <c r="DY247" s="249"/>
      <c r="EB247" s="249"/>
      <c r="EE247" s="249"/>
      <c r="EH247" s="249"/>
      <c r="EK247" s="249"/>
      <c r="EN247" s="249"/>
      <c r="EQ247" s="249"/>
      <c r="ET247" s="249"/>
      <c r="EW247" s="249"/>
      <c r="EZ247" s="249"/>
      <c r="FC247" s="249"/>
      <c r="FF247" s="249"/>
      <c r="FI247" s="249"/>
      <c r="FL247" s="249"/>
      <c r="FO247" s="249"/>
      <c r="FR247" s="249"/>
      <c r="FU247" s="249"/>
      <c r="FX247" s="249"/>
      <c r="GA247" s="249"/>
      <c r="GD247" s="249"/>
      <c r="GG247" s="249"/>
      <c r="GJ247" s="249"/>
      <c r="GM247" s="249"/>
      <c r="GP247" s="249"/>
      <c r="GS247" s="249"/>
      <c r="GV247" s="249"/>
      <c r="GY247" s="249"/>
      <c r="HB247" s="249"/>
      <c r="HE247" s="249"/>
    </row>
    <row r="248" spans="1:213" x14ac:dyDescent="0.2">
      <c r="A248" s="262" t="s">
        <v>56</v>
      </c>
      <c r="B248" s="284">
        <v>1</v>
      </c>
      <c r="C248" s="247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W248" s="249"/>
      <c r="Z248" s="249"/>
      <c r="AC248" s="249"/>
      <c r="AD248" s="249"/>
      <c r="AE248" s="249"/>
      <c r="AF248" s="249"/>
      <c r="AG248" s="249"/>
      <c r="AJ248" s="249"/>
      <c r="AM248" s="249"/>
      <c r="AP248" s="249"/>
      <c r="AS248" s="249"/>
      <c r="AV248" s="249"/>
      <c r="AY248" s="249"/>
      <c r="BB248" s="249"/>
      <c r="BE248" s="249"/>
      <c r="BH248" s="249"/>
      <c r="BK248" s="249"/>
      <c r="BN248" s="249"/>
      <c r="BQ248" s="249"/>
      <c r="BT248" s="249"/>
      <c r="BW248" s="249"/>
      <c r="BZ248" s="249"/>
      <c r="CC248" s="249"/>
      <c r="CF248" s="249"/>
      <c r="CI248" s="249"/>
      <c r="CL248" s="249"/>
      <c r="CO248" s="249"/>
      <c r="CR248" s="249"/>
      <c r="CU248" s="249"/>
      <c r="CX248" s="249"/>
      <c r="DA248" s="249"/>
      <c r="DD248" s="249"/>
      <c r="DG248" s="249"/>
      <c r="DJ248" s="249"/>
      <c r="DM248" s="249"/>
      <c r="DP248" s="249"/>
      <c r="DS248" s="249"/>
      <c r="DV248" s="249"/>
      <c r="DY248" s="249"/>
      <c r="EB248" s="249"/>
      <c r="EE248" s="249"/>
      <c r="EH248" s="249"/>
      <c r="EK248" s="249"/>
      <c r="EN248" s="249"/>
      <c r="EQ248" s="249"/>
      <c r="ET248" s="249"/>
      <c r="EW248" s="249"/>
      <c r="EZ248" s="249"/>
      <c r="FC248" s="249"/>
      <c r="FF248" s="249"/>
      <c r="FI248" s="249"/>
      <c r="FL248" s="249"/>
      <c r="FO248" s="249"/>
      <c r="FR248" s="249"/>
      <c r="FU248" s="249"/>
      <c r="FX248" s="249"/>
      <c r="GA248" s="249"/>
      <c r="GD248" s="249"/>
      <c r="GG248" s="249"/>
      <c r="GJ248" s="249"/>
      <c r="GM248" s="249"/>
      <c r="GP248" s="249"/>
      <c r="GS248" s="249"/>
      <c r="GV248" s="249"/>
      <c r="GY248" s="249"/>
      <c r="HB248" s="249"/>
      <c r="HE248" s="249"/>
    </row>
    <row r="249" spans="1:213" x14ac:dyDescent="0.2">
      <c r="A249" s="262" t="s">
        <v>52</v>
      </c>
      <c r="B249" s="284">
        <v>0.4</v>
      </c>
      <c r="C249" s="247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W249" s="249"/>
      <c r="Z249" s="249"/>
      <c r="AC249" s="249"/>
      <c r="AD249" s="249"/>
      <c r="AE249" s="249"/>
      <c r="AF249" s="249"/>
      <c r="AG249" s="249"/>
      <c r="AJ249" s="249"/>
      <c r="AM249" s="249"/>
      <c r="AP249" s="249"/>
      <c r="AS249" s="249"/>
      <c r="AV249" s="249"/>
      <c r="AY249" s="249"/>
      <c r="BB249" s="249"/>
      <c r="BE249" s="249"/>
      <c r="BH249" s="249"/>
      <c r="BK249" s="249"/>
      <c r="BN249" s="249"/>
      <c r="BQ249" s="249"/>
      <c r="BT249" s="249"/>
      <c r="BW249" s="249"/>
      <c r="BZ249" s="249"/>
      <c r="CC249" s="249"/>
      <c r="CF249" s="249"/>
      <c r="CI249" s="249"/>
      <c r="CL249" s="249"/>
      <c r="CO249" s="249"/>
      <c r="CR249" s="249"/>
      <c r="CU249" s="249"/>
      <c r="CX249" s="249"/>
      <c r="DA249" s="249"/>
      <c r="DD249" s="249"/>
      <c r="DG249" s="249"/>
      <c r="DJ249" s="249"/>
      <c r="DM249" s="249"/>
      <c r="DP249" s="249"/>
      <c r="DS249" s="249"/>
      <c r="DV249" s="249"/>
      <c r="DY249" s="249"/>
      <c r="EB249" s="249"/>
      <c r="EE249" s="249"/>
      <c r="EH249" s="249"/>
      <c r="EK249" s="249"/>
      <c r="EN249" s="249"/>
      <c r="EQ249" s="249"/>
      <c r="ET249" s="249"/>
      <c r="EW249" s="249"/>
      <c r="EZ249" s="249"/>
      <c r="FC249" s="249"/>
      <c r="FF249" s="249"/>
      <c r="FI249" s="249"/>
      <c r="FL249" s="249"/>
      <c r="FO249" s="249"/>
      <c r="FR249" s="249"/>
      <c r="FU249" s="249"/>
      <c r="FX249" s="249"/>
      <c r="GA249" s="249"/>
      <c r="GD249" s="249"/>
      <c r="GG249" s="249"/>
      <c r="GJ249" s="249"/>
      <c r="GM249" s="249"/>
      <c r="GP249" s="249"/>
      <c r="GS249" s="249"/>
      <c r="GV249" s="249"/>
      <c r="GY249" s="249"/>
      <c r="HB249" s="249"/>
      <c r="HE249" s="249"/>
    </row>
    <row r="250" spans="1:213" x14ac:dyDescent="0.2">
      <c r="A250" s="262" t="s">
        <v>62</v>
      </c>
      <c r="B250" s="284">
        <v>1</v>
      </c>
      <c r="C250" s="247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W250" s="249"/>
      <c r="Z250" s="249"/>
      <c r="AC250" s="249"/>
      <c r="AD250" s="249"/>
      <c r="AE250" s="249"/>
      <c r="AF250" s="249"/>
      <c r="AG250" s="249"/>
      <c r="AJ250" s="249"/>
      <c r="AM250" s="249"/>
      <c r="AP250" s="249"/>
      <c r="AS250" s="249"/>
      <c r="AV250" s="249"/>
      <c r="AY250" s="249"/>
      <c r="BB250" s="249"/>
      <c r="BE250" s="249"/>
      <c r="BH250" s="249"/>
      <c r="BK250" s="249"/>
      <c r="BN250" s="249"/>
      <c r="BQ250" s="249"/>
      <c r="BT250" s="249"/>
      <c r="BW250" s="249"/>
      <c r="BZ250" s="249"/>
      <c r="CC250" s="249"/>
      <c r="CF250" s="249"/>
      <c r="CI250" s="249"/>
      <c r="CL250" s="249"/>
      <c r="CO250" s="249"/>
      <c r="CR250" s="249"/>
      <c r="CU250" s="249"/>
      <c r="CX250" s="249"/>
      <c r="DA250" s="249"/>
      <c r="DD250" s="249"/>
      <c r="DG250" s="249"/>
      <c r="DJ250" s="249"/>
      <c r="DM250" s="249"/>
      <c r="DP250" s="249"/>
      <c r="DS250" s="249"/>
      <c r="DV250" s="249"/>
      <c r="DY250" s="249"/>
      <c r="EB250" s="249"/>
      <c r="EE250" s="249"/>
      <c r="EH250" s="249"/>
      <c r="EK250" s="249"/>
      <c r="EN250" s="249"/>
      <c r="EQ250" s="249"/>
      <c r="ET250" s="249"/>
      <c r="EW250" s="249"/>
      <c r="EZ250" s="249"/>
      <c r="FC250" s="249"/>
      <c r="FF250" s="249"/>
      <c r="FI250" s="249"/>
      <c r="FL250" s="249"/>
      <c r="FO250" s="249"/>
      <c r="FR250" s="249"/>
      <c r="FU250" s="249"/>
      <c r="FX250" s="249"/>
      <c r="GA250" s="249"/>
      <c r="GD250" s="249"/>
      <c r="GG250" s="249"/>
      <c r="GJ250" s="249"/>
      <c r="GM250" s="249"/>
      <c r="GP250" s="249"/>
      <c r="GS250" s="249"/>
      <c r="GV250" s="249"/>
      <c r="GY250" s="249"/>
      <c r="HB250" s="249"/>
      <c r="HE250" s="249"/>
    </row>
    <row r="251" spans="1:213" x14ac:dyDescent="0.2">
      <c r="A251" s="262" t="s">
        <v>466</v>
      </c>
      <c r="B251" s="283">
        <v>8</v>
      </c>
      <c r="C251" s="249" t="s">
        <v>224</v>
      </c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W251" s="249"/>
      <c r="Z251" s="249"/>
      <c r="AC251" s="249"/>
      <c r="AD251" s="249"/>
      <c r="AE251" s="249"/>
      <c r="AF251" s="249"/>
      <c r="AG251" s="249"/>
      <c r="AJ251" s="249"/>
      <c r="AM251" s="249"/>
      <c r="AP251" s="249"/>
      <c r="AS251" s="249"/>
      <c r="AV251" s="249"/>
      <c r="AY251" s="249"/>
      <c r="BB251" s="249"/>
      <c r="BE251" s="249"/>
      <c r="BH251" s="249"/>
      <c r="BK251" s="249"/>
      <c r="BN251" s="249"/>
      <c r="BQ251" s="249"/>
      <c r="BT251" s="249"/>
      <c r="BW251" s="249"/>
      <c r="BZ251" s="249"/>
      <c r="CC251" s="249"/>
      <c r="CF251" s="249"/>
      <c r="CI251" s="249"/>
      <c r="CL251" s="249"/>
      <c r="CO251" s="249"/>
      <c r="CR251" s="249"/>
      <c r="CU251" s="249"/>
      <c r="CX251" s="249"/>
      <c r="DA251" s="249"/>
      <c r="DD251" s="249"/>
      <c r="DG251" s="249"/>
      <c r="DJ251" s="249"/>
      <c r="DM251" s="249"/>
      <c r="DP251" s="249"/>
      <c r="DS251" s="249"/>
      <c r="DV251" s="249"/>
      <c r="DY251" s="249"/>
      <c r="EB251" s="249"/>
      <c r="EE251" s="249"/>
      <c r="EH251" s="249"/>
      <c r="EK251" s="249"/>
      <c r="EN251" s="249"/>
      <c r="EQ251" s="249"/>
      <c r="ET251" s="249"/>
      <c r="EW251" s="249"/>
      <c r="EZ251" s="249"/>
      <c r="FC251" s="249"/>
      <c r="FF251" s="249"/>
      <c r="FI251" s="249"/>
      <c r="FL251" s="249"/>
      <c r="FO251" s="249"/>
      <c r="FR251" s="249"/>
      <c r="FU251" s="249"/>
      <c r="FX251" s="249"/>
      <c r="GA251" s="249"/>
      <c r="GD251" s="249"/>
      <c r="GG251" s="249"/>
      <c r="GJ251" s="249"/>
      <c r="GM251" s="249"/>
      <c r="GP251" s="249"/>
      <c r="GS251" s="249"/>
      <c r="GV251" s="249"/>
      <c r="GY251" s="249"/>
      <c r="HB251" s="249"/>
      <c r="HE251" s="249"/>
    </row>
    <row r="252" spans="1:213" x14ac:dyDescent="0.2">
      <c r="A252" s="262" t="s">
        <v>465</v>
      </c>
      <c r="B252" s="283">
        <v>0</v>
      </c>
      <c r="C252" s="249" t="s">
        <v>224</v>
      </c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W252" s="249"/>
      <c r="Z252" s="249"/>
      <c r="AC252" s="249"/>
      <c r="AD252" s="249"/>
      <c r="AE252" s="249"/>
      <c r="AF252" s="249"/>
      <c r="AG252" s="249"/>
      <c r="AJ252" s="249"/>
      <c r="AM252" s="249"/>
      <c r="AP252" s="249"/>
      <c r="AS252" s="249"/>
      <c r="AV252" s="249"/>
      <c r="AY252" s="249"/>
      <c r="BB252" s="249"/>
      <c r="BE252" s="249"/>
      <c r="BH252" s="249"/>
      <c r="BK252" s="249"/>
      <c r="BN252" s="249"/>
      <c r="BQ252" s="249"/>
      <c r="BT252" s="249"/>
      <c r="BW252" s="249"/>
      <c r="BZ252" s="249"/>
      <c r="CC252" s="249"/>
      <c r="CF252" s="249"/>
      <c r="CI252" s="249"/>
      <c r="CL252" s="249"/>
      <c r="CO252" s="249"/>
      <c r="CR252" s="249"/>
      <c r="CU252" s="249"/>
      <c r="CX252" s="249"/>
      <c r="DA252" s="249"/>
      <c r="DD252" s="249"/>
      <c r="DG252" s="249"/>
      <c r="DJ252" s="249"/>
      <c r="DM252" s="249"/>
      <c r="DP252" s="249"/>
      <c r="DS252" s="249"/>
      <c r="DV252" s="249"/>
      <c r="DY252" s="249"/>
      <c r="EB252" s="249"/>
      <c r="EE252" s="249"/>
      <c r="EH252" s="249"/>
      <c r="EK252" s="249"/>
      <c r="EN252" s="249"/>
      <c r="EQ252" s="249"/>
      <c r="ET252" s="249"/>
      <c r="EW252" s="249"/>
      <c r="EZ252" s="249"/>
      <c r="FC252" s="249"/>
      <c r="FF252" s="249"/>
      <c r="FI252" s="249"/>
      <c r="FL252" s="249"/>
      <c r="FO252" s="249"/>
      <c r="FR252" s="249"/>
      <c r="FU252" s="249"/>
      <c r="FX252" s="249"/>
      <c r="GA252" s="249"/>
      <c r="GD252" s="249"/>
      <c r="GG252" s="249"/>
      <c r="GJ252" s="249"/>
      <c r="GM252" s="249"/>
      <c r="GP252" s="249"/>
      <c r="GS252" s="249"/>
      <c r="GV252" s="249"/>
      <c r="GY252" s="249"/>
      <c r="HB252" s="249"/>
      <c r="HE252" s="249"/>
    </row>
    <row r="253" spans="1:213" x14ac:dyDescent="0.2">
      <c r="A253" s="262" t="s">
        <v>103</v>
      </c>
      <c r="B253" s="283">
        <v>0.4</v>
      </c>
      <c r="C253" s="247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W253" s="249"/>
      <c r="Z253" s="249"/>
      <c r="AC253" s="249"/>
      <c r="AD253" s="249"/>
      <c r="AE253" s="249"/>
      <c r="AF253" s="249"/>
      <c r="AG253" s="249"/>
      <c r="AJ253" s="249"/>
      <c r="AM253" s="249"/>
      <c r="AP253" s="249"/>
      <c r="AS253" s="249"/>
      <c r="AV253" s="249"/>
      <c r="AY253" s="249"/>
      <c r="BB253" s="249"/>
      <c r="BE253" s="249"/>
      <c r="BH253" s="249"/>
      <c r="BK253" s="249"/>
      <c r="BN253" s="249"/>
      <c r="BQ253" s="249"/>
      <c r="BT253" s="249"/>
      <c r="BW253" s="249"/>
      <c r="BZ253" s="249"/>
      <c r="CC253" s="249"/>
      <c r="CF253" s="249"/>
      <c r="CI253" s="249"/>
      <c r="CL253" s="249"/>
      <c r="CO253" s="249"/>
      <c r="CR253" s="249"/>
      <c r="CU253" s="249"/>
      <c r="CX253" s="249"/>
      <c r="DA253" s="249"/>
      <c r="DD253" s="249"/>
      <c r="DG253" s="249"/>
      <c r="DJ253" s="249"/>
      <c r="DM253" s="249"/>
      <c r="DP253" s="249"/>
      <c r="DS253" s="249"/>
      <c r="DV253" s="249"/>
      <c r="DY253" s="249"/>
      <c r="EB253" s="249"/>
      <c r="EE253" s="249"/>
      <c r="EH253" s="249"/>
      <c r="EK253" s="249"/>
      <c r="EN253" s="249"/>
      <c r="EQ253" s="249"/>
      <c r="ET253" s="249"/>
      <c r="EW253" s="249"/>
      <c r="EZ253" s="249"/>
      <c r="FC253" s="249"/>
      <c r="FF253" s="249"/>
      <c r="FI253" s="249"/>
      <c r="FL253" s="249"/>
      <c r="FO253" s="249"/>
      <c r="FR253" s="249"/>
      <c r="FU253" s="249"/>
      <c r="FX253" s="249"/>
      <c r="GA253" s="249"/>
      <c r="GD253" s="249"/>
      <c r="GG253" s="249"/>
      <c r="GJ253" s="249"/>
      <c r="GM253" s="249"/>
      <c r="GP253" s="249"/>
      <c r="GS253" s="249"/>
      <c r="GV253" s="249"/>
      <c r="GY253" s="249"/>
      <c r="HB253" s="249"/>
      <c r="HE253" s="249"/>
    </row>
    <row r="254" spans="1:213" x14ac:dyDescent="0.2">
      <c r="A254" s="558" t="s">
        <v>434</v>
      </c>
      <c r="B254" s="558"/>
      <c r="C254" s="558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W254" s="249"/>
      <c r="Z254" s="249"/>
      <c r="AC254" s="249"/>
      <c r="AD254" s="249"/>
      <c r="AE254" s="249"/>
      <c r="AF254" s="249"/>
      <c r="AG254" s="249"/>
      <c r="AJ254" s="249"/>
      <c r="AM254" s="249"/>
      <c r="AP254" s="249"/>
      <c r="AS254" s="249"/>
      <c r="AV254" s="249"/>
      <c r="AY254" s="249"/>
      <c r="BB254" s="249"/>
      <c r="BE254" s="249"/>
      <c r="BH254" s="249"/>
      <c r="BK254" s="249"/>
      <c r="BN254" s="249"/>
      <c r="BQ254" s="249"/>
      <c r="BT254" s="249"/>
      <c r="BW254" s="249"/>
      <c r="BZ254" s="249"/>
      <c r="CC254" s="249"/>
      <c r="CF254" s="249"/>
      <c r="CI254" s="249"/>
      <c r="CL254" s="249"/>
      <c r="CO254" s="249"/>
      <c r="CR254" s="249"/>
      <c r="CU254" s="249"/>
      <c r="CX254" s="249"/>
      <c r="DA254" s="249"/>
      <c r="DD254" s="249"/>
      <c r="DG254" s="249"/>
      <c r="DJ254" s="249"/>
      <c r="DM254" s="249"/>
      <c r="DP254" s="249"/>
      <c r="DS254" s="249"/>
      <c r="DV254" s="249"/>
      <c r="DY254" s="249"/>
      <c r="EB254" s="249"/>
      <c r="EE254" s="249"/>
      <c r="EH254" s="249"/>
      <c r="EK254" s="249"/>
      <c r="EN254" s="249"/>
      <c r="EQ254" s="249"/>
      <c r="ET254" s="249"/>
      <c r="EW254" s="249"/>
      <c r="EZ254" s="249"/>
      <c r="FC254" s="249"/>
      <c r="FF254" s="249"/>
      <c r="FI254" s="249"/>
      <c r="FL254" s="249"/>
      <c r="FO254" s="249"/>
      <c r="FR254" s="249"/>
      <c r="FU254" s="249"/>
      <c r="FX254" s="249"/>
      <c r="GA254" s="249"/>
      <c r="GD254" s="249"/>
      <c r="GG254" s="249"/>
      <c r="GJ254" s="249"/>
      <c r="GM254" s="249"/>
      <c r="GP254" s="249"/>
      <c r="GS254" s="249"/>
      <c r="GV254" s="249"/>
      <c r="GY254" s="249"/>
      <c r="HB254" s="249"/>
      <c r="HE254" s="249"/>
    </row>
    <row r="255" spans="1:213" x14ac:dyDescent="0.2">
      <c r="A255" s="249" t="s">
        <v>435</v>
      </c>
      <c r="B255" s="283">
        <v>60</v>
      </c>
      <c r="C255" s="263" t="s">
        <v>359</v>
      </c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W255" s="249"/>
      <c r="Z255" s="249"/>
      <c r="AC255" s="249"/>
      <c r="AD255" s="249"/>
      <c r="AE255" s="249"/>
      <c r="AF255" s="249"/>
      <c r="AG255" s="249"/>
      <c r="AJ255" s="249"/>
      <c r="AM255" s="249"/>
      <c r="AP255" s="249"/>
      <c r="AS255" s="249"/>
      <c r="AV255" s="249"/>
      <c r="AY255" s="249"/>
      <c r="BB255" s="249"/>
      <c r="BE255" s="249"/>
      <c r="BH255" s="249"/>
      <c r="BK255" s="249"/>
      <c r="BN255" s="249"/>
      <c r="BQ255" s="249"/>
      <c r="BT255" s="249"/>
      <c r="BW255" s="249"/>
      <c r="BZ255" s="249"/>
      <c r="CC255" s="249"/>
      <c r="CF255" s="249"/>
      <c r="CI255" s="249"/>
      <c r="CL255" s="249"/>
      <c r="CO255" s="249"/>
      <c r="CR255" s="249"/>
      <c r="CU255" s="249"/>
      <c r="CX255" s="249"/>
      <c r="DA255" s="249"/>
      <c r="DD255" s="249"/>
      <c r="DG255" s="249"/>
      <c r="DJ255" s="249"/>
      <c r="DM255" s="249"/>
      <c r="DP255" s="249"/>
      <c r="DS255" s="249"/>
      <c r="DV255" s="249"/>
      <c r="DY255" s="249"/>
      <c r="EB255" s="249"/>
      <c r="EE255" s="249"/>
      <c r="EH255" s="249"/>
      <c r="EK255" s="249"/>
      <c r="EN255" s="249"/>
      <c r="EQ255" s="249"/>
      <c r="ET255" s="249"/>
      <c r="EW255" s="249"/>
      <c r="EZ255" s="249"/>
      <c r="FC255" s="249"/>
      <c r="FF255" s="249"/>
      <c r="FI255" s="249"/>
      <c r="FL255" s="249"/>
      <c r="FO255" s="249"/>
      <c r="FR255" s="249"/>
      <c r="FU255" s="249"/>
      <c r="FX255" s="249"/>
      <c r="GA255" s="249"/>
      <c r="GD255" s="249"/>
      <c r="GG255" s="249"/>
      <c r="GJ255" s="249"/>
      <c r="GM255" s="249"/>
      <c r="GP255" s="249"/>
      <c r="GS255" s="249"/>
      <c r="GV255" s="249"/>
      <c r="GY255" s="249"/>
      <c r="HB255" s="249"/>
      <c r="HE255" s="249"/>
    </row>
    <row r="256" spans="1:213" x14ac:dyDescent="0.2">
      <c r="A256" s="262" t="s">
        <v>221</v>
      </c>
      <c r="B256" s="283">
        <v>130</v>
      </c>
      <c r="C256" s="249" t="s">
        <v>26</v>
      </c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W256" s="249"/>
      <c r="Z256" s="249"/>
      <c r="AC256" s="249"/>
      <c r="AD256" s="249"/>
      <c r="AE256" s="249"/>
      <c r="AF256" s="249"/>
      <c r="AG256" s="249"/>
      <c r="AJ256" s="249"/>
      <c r="AM256" s="249"/>
      <c r="AP256" s="249"/>
      <c r="AS256" s="249"/>
      <c r="AV256" s="249"/>
      <c r="AY256" s="249"/>
      <c r="BB256" s="249"/>
      <c r="BE256" s="249"/>
      <c r="BH256" s="249"/>
      <c r="BK256" s="249"/>
      <c r="BN256" s="249"/>
      <c r="BQ256" s="249"/>
      <c r="BT256" s="249"/>
      <c r="BW256" s="249"/>
      <c r="BZ256" s="249"/>
      <c r="CC256" s="249"/>
      <c r="CF256" s="249"/>
      <c r="CI256" s="249"/>
      <c r="CL256" s="249"/>
      <c r="CO256" s="249"/>
      <c r="CR256" s="249"/>
      <c r="CU256" s="249"/>
      <c r="CX256" s="249"/>
      <c r="DA256" s="249"/>
      <c r="DD256" s="249"/>
      <c r="DG256" s="249"/>
      <c r="DJ256" s="249"/>
      <c r="DM256" s="249"/>
      <c r="DP256" s="249"/>
      <c r="DS256" s="249"/>
      <c r="DV256" s="249"/>
      <c r="DY256" s="249"/>
      <c r="EB256" s="249"/>
      <c r="EE256" s="249"/>
      <c r="EH256" s="249"/>
      <c r="EK256" s="249"/>
      <c r="EN256" s="249"/>
      <c r="EQ256" s="249"/>
      <c r="ET256" s="249"/>
      <c r="EW256" s="249"/>
      <c r="EZ256" s="249"/>
      <c r="FC256" s="249"/>
      <c r="FF256" s="249"/>
      <c r="FI256" s="249"/>
      <c r="FL256" s="249"/>
      <c r="FO256" s="249"/>
      <c r="FR256" s="249"/>
      <c r="FU256" s="249"/>
      <c r="FX256" s="249"/>
      <c r="GA256" s="249"/>
      <c r="GD256" s="249"/>
      <c r="GG256" s="249"/>
      <c r="GJ256" s="249"/>
      <c r="GM256" s="249"/>
      <c r="GP256" s="249"/>
      <c r="GS256" s="249"/>
      <c r="GV256" s="249"/>
      <c r="GY256" s="249"/>
      <c r="HB256" s="249"/>
      <c r="HE256" s="249"/>
    </row>
    <row r="257" spans="1:213" x14ac:dyDescent="0.2">
      <c r="A257" s="262" t="s">
        <v>186</v>
      </c>
      <c r="B257" s="284">
        <v>1</v>
      </c>
      <c r="C257" s="249" t="s">
        <v>69</v>
      </c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W257" s="249"/>
      <c r="Z257" s="249"/>
      <c r="AC257" s="249"/>
      <c r="AD257" s="249"/>
      <c r="AE257" s="249"/>
      <c r="AF257" s="249"/>
      <c r="AG257" s="249"/>
      <c r="AJ257" s="249"/>
      <c r="AM257" s="249"/>
      <c r="AP257" s="249"/>
      <c r="AS257" s="249"/>
      <c r="AV257" s="249"/>
      <c r="AY257" s="249"/>
      <c r="BB257" s="249"/>
      <c r="BE257" s="249"/>
      <c r="BH257" s="249"/>
      <c r="BK257" s="249"/>
      <c r="BN257" s="249"/>
      <c r="BQ257" s="249"/>
      <c r="BT257" s="249"/>
      <c r="BW257" s="249"/>
      <c r="BZ257" s="249"/>
      <c r="CC257" s="249"/>
      <c r="CF257" s="249"/>
      <c r="CI257" s="249"/>
      <c r="CL257" s="249"/>
      <c r="CO257" s="249"/>
      <c r="CR257" s="249"/>
      <c r="CU257" s="249"/>
      <c r="CX257" s="249"/>
      <c r="DA257" s="249"/>
      <c r="DD257" s="249"/>
      <c r="DG257" s="249"/>
      <c r="DJ257" s="249"/>
      <c r="DM257" s="249"/>
      <c r="DP257" s="249"/>
      <c r="DS257" s="249"/>
      <c r="DV257" s="249"/>
      <c r="DY257" s="249"/>
      <c r="EB257" s="249"/>
      <c r="EE257" s="249"/>
      <c r="EH257" s="249"/>
      <c r="EK257" s="249"/>
      <c r="EN257" s="249"/>
      <c r="EQ257" s="249"/>
      <c r="ET257" s="249"/>
      <c r="EW257" s="249"/>
      <c r="EZ257" s="249"/>
      <c r="FC257" s="249"/>
      <c r="FF257" s="249"/>
      <c r="FI257" s="249"/>
      <c r="FL257" s="249"/>
      <c r="FO257" s="249"/>
      <c r="FR257" s="249"/>
      <c r="FU257" s="249"/>
      <c r="FX257" s="249"/>
      <c r="GA257" s="249"/>
      <c r="GD257" s="249"/>
      <c r="GG257" s="249"/>
      <c r="GJ257" s="249"/>
      <c r="GM257" s="249"/>
      <c r="GP257" s="249"/>
      <c r="GS257" s="249"/>
      <c r="GV257" s="249"/>
      <c r="GY257" s="249"/>
      <c r="HB257" s="249"/>
      <c r="HE257" s="249"/>
    </row>
    <row r="258" spans="1:213" x14ac:dyDescent="0.2">
      <c r="A258" s="262" t="s">
        <v>436</v>
      </c>
      <c r="B258" s="283">
        <v>330</v>
      </c>
      <c r="C258" s="263" t="s">
        <v>54</v>
      </c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W258" s="249"/>
      <c r="Z258" s="249"/>
      <c r="AC258" s="249"/>
      <c r="AD258" s="249"/>
      <c r="AE258" s="249"/>
      <c r="AF258" s="249"/>
      <c r="AG258" s="249"/>
      <c r="AJ258" s="249"/>
      <c r="AM258" s="249"/>
      <c r="AP258" s="249"/>
      <c r="AS258" s="249"/>
      <c r="AV258" s="249"/>
      <c r="AY258" s="249"/>
      <c r="BB258" s="249"/>
      <c r="BE258" s="249"/>
      <c r="BH258" s="249"/>
      <c r="BK258" s="249"/>
      <c r="BN258" s="249"/>
      <c r="BQ258" s="249"/>
      <c r="BT258" s="249"/>
      <c r="BW258" s="249"/>
      <c r="BZ258" s="249"/>
      <c r="CC258" s="249"/>
      <c r="CF258" s="249"/>
      <c r="CI258" s="249"/>
      <c r="CL258" s="249"/>
      <c r="CO258" s="249"/>
      <c r="CR258" s="249"/>
      <c r="CU258" s="249"/>
      <c r="CX258" s="249"/>
      <c r="DA258" s="249"/>
      <c r="DD258" s="249"/>
      <c r="DG258" s="249"/>
      <c r="DJ258" s="249"/>
      <c r="DM258" s="249"/>
      <c r="DP258" s="249"/>
      <c r="DS258" s="249"/>
      <c r="DV258" s="249"/>
      <c r="DY258" s="249"/>
      <c r="EB258" s="249"/>
      <c r="EE258" s="249"/>
      <c r="EH258" s="249"/>
      <c r="EK258" s="249"/>
      <c r="EN258" s="249"/>
      <c r="EQ258" s="249"/>
      <c r="ET258" s="249"/>
      <c r="EW258" s="249"/>
      <c r="EZ258" s="249"/>
      <c r="FC258" s="249"/>
      <c r="FF258" s="249"/>
      <c r="FI258" s="249"/>
      <c r="FL258" s="249"/>
      <c r="FO258" s="249"/>
      <c r="FR258" s="249"/>
      <c r="FU258" s="249"/>
      <c r="FX258" s="249"/>
      <c r="GA258" s="249"/>
      <c r="GD258" s="249"/>
      <c r="GG258" s="249"/>
      <c r="GJ258" s="249"/>
      <c r="GM258" s="249"/>
      <c r="GP258" s="249"/>
      <c r="GS258" s="249"/>
      <c r="GV258" s="249"/>
      <c r="GY258" s="249"/>
      <c r="HB258" s="249"/>
      <c r="HE258" s="249"/>
    </row>
    <row r="259" spans="1:213" x14ac:dyDescent="0.2">
      <c r="A259" s="249" t="s">
        <v>353</v>
      </c>
      <c r="B259" s="284">
        <v>1</v>
      </c>
      <c r="C259" s="247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W259" s="249"/>
      <c r="Z259" s="249"/>
      <c r="AC259" s="249"/>
      <c r="AD259" s="249"/>
      <c r="AE259" s="249"/>
      <c r="AF259" s="249"/>
      <c r="AG259" s="249"/>
      <c r="AJ259" s="249"/>
      <c r="AM259" s="249"/>
      <c r="AP259" s="249"/>
      <c r="AS259" s="249"/>
      <c r="AV259" s="249"/>
      <c r="AY259" s="249"/>
      <c r="BB259" s="249"/>
      <c r="BE259" s="249"/>
      <c r="BH259" s="249"/>
      <c r="BK259" s="249"/>
      <c r="BN259" s="249"/>
      <c r="BQ259" s="249"/>
      <c r="BT259" s="249"/>
      <c r="BW259" s="249"/>
      <c r="BZ259" s="249"/>
      <c r="CC259" s="249"/>
      <c r="CF259" s="249"/>
      <c r="CI259" s="249"/>
      <c r="CL259" s="249"/>
      <c r="CO259" s="249"/>
      <c r="CR259" s="249"/>
      <c r="CU259" s="249"/>
      <c r="CX259" s="249"/>
      <c r="DA259" s="249"/>
      <c r="DD259" s="249"/>
      <c r="DG259" s="249"/>
      <c r="DJ259" s="249"/>
      <c r="DM259" s="249"/>
      <c r="DP259" s="249"/>
      <c r="DS259" s="249"/>
      <c r="DV259" s="249"/>
      <c r="DY259" s="249"/>
      <c r="EB259" s="249"/>
      <c r="EE259" s="249"/>
      <c r="EH259" s="249"/>
      <c r="EK259" s="249"/>
      <c r="EN259" s="249"/>
      <c r="EQ259" s="249"/>
      <c r="ET259" s="249"/>
      <c r="EW259" s="249"/>
      <c r="EZ259" s="249"/>
      <c r="FC259" s="249"/>
      <c r="FF259" s="249"/>
      <c r="FI259" s="249"/>
      <c r="FL259" s="249"/>
      <c r="FO259" s="249"/>
      <c r="FR259" s="249"/>
      <c r="FU259" s="249"/>
      <c r="FX259" s="249"/>
      <c r="GA259" s="249"/>
      <c r="GD259" s="249"/>
      <c r="GG259" s="249"/>
      <c r="GJ259" s="249"/>
      <c r="GM259" s="249"/>
      <c r="GP259" s="249"/>
      <c r="GS259" s="249"/>
      <c r="GV259" s="249"/>
      <c r="GY259" s="249"/>
      <c r="HB259" s="249"/>
      <c r="HE259" s="249"/>
    </row>
    <row r="260" spans="1:213" x14ac:dyDescent="0.2">
      <c r="A260" s="262" t="s">
        <v>56</v>
      </c>
      <c r="B260" s="284">
        <v>1</v>
      </c>
      <c r="C260" s="247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W260" s="249"/>
      <c r="Z260" s="249"/>
      <c r="AC260" s="249"/>
      <c r="AD260" s="249"/>
      <c r="AE260" s="249"/>
      <c r="AF260" s="249"/>
      <c r="AG260" s="249"/>
      <c r="AJ260" s="249"/>
      <c r="AM260" s="249"/>
      <c r="AP260" s="249"/>
      <c r="AS260" s="249"/>
      <c r="AV260" s="249"/>
      <c r="AY260" s="249"/>
      <c r="BB260" s="249"/>
      <c r="BE260" s="249"/>
      <c r="BH260" s="249"/>
      <c r="BK260" s="249"/>
      <c r="BN260" s="249"/>
      <c r="BQ260" s="249"/>
      <c r="BT260" s="249"/>
      <c r="BW260" s="249"/>
      <c r="BZ260" s="249"/>
      <c r="CC260" s="249"/>
      <c r="CF260" s="249"/>
      <c r="CI260" s="249"/>
      <c r="CL260" s="249"/>
      <c r="CO260" s="249"/>
      <c r="CR260" s="249"/>
      <c r="CU260" s="249"/>
      <c r="CX260" s="249"/>
      <c r="DA260" s="249"/>
      <c r="DD260" s="249"/>
      <c r="DG260" s="249"/>
      <c r="DJ260" s="249"/>
      <c r="DM260" s="249"/>
      <c r="DP260" s="249"/>
      <c r="DS260" s="249"/>
      <c r="DV260" s="249"/>
      <c r="DY260" s="249"/>
      <c r="EB260" s="249"/>
      <c r="EE260" s="249"/>
      <c r="EH260" s="249"/>
      <c r="EK260" s="249"/>
      <c r="EN260" s="249"/>
      <c r="EQ260" s="249"/>
      <c r="ET260" s="249"/>
      <c r="EW260" s="249"/>
      <c r="EZ260" s="249"/>
      <c r="FC260" s="249"/>
      <c r="FF260" s="249"/>
      <c r="FI260" s="249"/>
      <c r="FL260" s="249"/>
      <c r="FO260" s="249"/>
      <c r="FR260" s="249"/>
      <c r="FU260" s="249"/>
      <c r="FX260" s="249"/>
      <c r="GA260" s="249"/>
      <c r="GD260" s="249"/>
      <c r="GG260" s="249"/>
      <c r="GJ260" s="249"/>
      <c r="GM260" s="249"/>
      <c r="GP260" s="249"/>
      <c r="GS260" s="249"/>
      <c r="GV260" s="249"/>
      <c r="GY260" s="249"/>
      <c r="HB260" s="249"/>
      <c r="HE260" s="249"/>
    </row>
    <row r="261" spans="1:213" x14ac:dyDescent="0.2">
      <c r="A261" s="262" t="s">
        <v>52</v>
      </c>
      <c r="B261" s="284">
        <v>0.4</v>
      </c>
      <c r="C261" s="247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W261" s="249"/>
      <c r="Z261" s="249"/>
      <c r="AC261" s="249"/>
      <c r="AD261" s="249"/>
      <c r="AE261" s="249"/>
      <c r="AF261" s="249"/>
      <c r="AG261" s="249"/>
      <c r="AJ261" s="249"/>
      <c r="AM261" s="249"/>
      <c r="AP261" s="249"/>
      <c r="AS261" s="249"/>
      <c r="AV261" s="249"/>
      <c r="AY261" s="249"/>
      <c r="BB261" s="249"/>
      <c r="BE261" s="249"/>
      <c r="BH261" s="249"/>
      <c r="BK261" s="249"/>
      <c r="BN261" s="249"/>
      <c r="BQ261" s="249"/>
      <c r="BT261" s="249"/>
      <c r="BW261" s="249"/>
      <c r="BZ261" s="249"/>
      <c r="CC261" s="249"/>
      <c r="CF261" s="249"/>
      <c r="CI261" s="249"/>
      <c r="CL261" s="249"/>
      <c r="CO261" s="249"/>
      <c r="CR261" s="249"/>
      <c r="CU261" s="249"/>
      <c r="CX261" s="249"/>
      <c r="DA261" s="249"/>
      <c r="DD261" s="249"/>
      <c r="DG261" s="249"/>
      <c r="DJ261" s="249"/>
      <c r="DM261" s="249"/>
      <c r="DP261" s="249"/>
      <c r="DS261" s="249"/>
      <c r="DV261" s="249"/>
      <c r="DY261" s="249"/>
      <c r="EB261" s="249"/>
      <c r="EE261" s="249"/>
      <c r="EH261" s="249"/>
      <c r="EK261" s="249"/>
      <c r="EN261" s="249"/>
      <c r="EQ261" s="249"/>
      <c r="ET261" s="249"/>
      <c r="EW261" s="249"/>
      <c r="EZ261" s="249"/>
      <c r="FC261" s="249"/>
      <c r="FF261" s="249"/>
      <c r="FI261" s="249"/>
      <c r="FL261" s="249"/>
      <c r="FO261" s="249"/>
      <c r="FR261" s="249"/>
      <c r="FU261" s="249"/>
      <c r="FX261" s="249"/>
      <c r="GA261" s="249"/>
      <c r="GD261" s="249"/>
      <c r="GG261" s="249"/>
      <c r="GJ261" s="249"/>
      <c r="GM261" s="249"/>
      <c r="GP261" s="249"/>
      <c r="GS261" s="249"/>
      <c r="GV261" s="249"/>
      <c r="GY261" s="249"/>
      <c r="HB261" s="249"/>
      <c r="HE261" s="249"/>
    </row>
    <row r="262" spans="1:213" x14ac:dyDescent="0.2">
      <c r="A262" s="262" t="s">
        <v>62</v>
      </c>
      <c r="B262" s="284">
        <v>1</v>
      </c>
      <c r="C262" s="247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W262" s="249"/>
      <c r="Z262" s="249"/>
      <c r="AC262" s="249"/>
      <c r="AD262" s="249"/>
      <c r="AE262" s="249"/>
      <c r="AF262" s="249"/>
      <c r="AG262" s="249"/>
      <c r="AJ262" s="249"/>
      <c r="AM262" s="249"/>
      <c r="AP262" s="249"/>
      <c r="AS262" s="249"/>
      <c r="AV262" s="249"/>
      <c r="AY262" s="249"/>
      <c r="BB262" s="249"/>
      <c r="BE262" s="249"/>
      <c r="BH262" s="249"/>
      <c r="BK262" s="249"/>
      <c r="BN262" s="249"/>
      <c r="BQ262" s="249"/>
      <c r="BT262" s="249"/>
      <c r="BW262" s="249"/>
      <c r="BZ262" s="249"/>
      <c r="CC262" s="249"/>
      <c r="CF262" s="249"/>
      <c r="CI262" s="249"/>
      <c r="CL262" s="249"/>
      <c r="CO262" s="249"/>
      <c r="CR262" s="249"/>
      <c r="CU262" s="249"/>
      <c r="CX262" s="249"/>
      <c r="DA262" s="249"/>
      <c r="DD262" s="249"/>
      <c r="DG262" s="249"/>
      <c r="DJ262" s="249"/>
      <c r="DM262" s="249"/>
      <c r="DP262" s="249"/>
      <c r="DS262" s="249"/>
      <c r="DV262" s="249"/>
      <c r="DY262" s="249"/>
      <c r="EB262" s="249"/>
      <c r="EE262" s="249"/>
      <c r="EH262" s="249"/>
      <c r="EK262" s="249"/>
      <c r="EN262" s="249"/>
      <c r="EQ262" s="249"/>
      <c r="ET262" s="249"/>
      <c r="EW262" s="249"/>
      <c r="EZ262" s="249"/>
      <c r="FC262" s="249"/>
      <c r="FF262" s="249"/>
      <c r="FI262" s="249"/>
      <c r="FL262" s="249"/>
      <c r="FO262" s="249"/>
      <c r="FR262" s="249"/>
      <c r="FU262" s="249"/>
      <c r="FX262" s="249"/>
      <c r="GA262" s="249"/>
      <c r="GD262" s="249"/>
      <c r="GG262" s="249"/>
      <c r="GJ262" s="249"/>
      <c r="GM262" s="249"/>
      <c r="GP262" s="249"/>
      <c r="GS262" s="249"/>
      <c r="GV262" s="249"/>
      <c r="GY262" s="249"/>
      <c r="HB262" s="249"/>
      <c r="HE262" s="249"/>
    </row>
    <row r="263" spans="1:213" x14ac:dyDescent="0.2">
      <c r="A263" s="262" t="s">
        <v>471</v>
      </c>
      <c r="B263" s="283">
        <v>8</v>
      </c>
      <c r="C263" s="249" t="s">
        <v>224</v>
      </c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W263" s="249"/>
      <c r="Z263" s="249"/>
      <c r="AC263" s="249"/>
      <c r="AD263" s="249"/>
      <c r="AE263" s="249"/>
      <c r="AF263" s="249"/>
      <c r="AG263" s="249"/>
      <c r="AJ263" s="249"/>
      <c r="AM263" s="249"/>
      <c r="AP263" s="249"/>
      <c r="AS263" s="249"/>
      <c r="AV263" s="249"/>
      <c r="AY263" s="249"/>
      <c r="BB263" s="249"/>
      <c r="BE263" s="249"/>
      <c r="BH263" s="249"/>
      <c r="BK263" s="249"/>
      <c r="BN263" s="249"/>
      <c r="BQ263" s="249"/>
      <c r="BT263" s="249"/>
      <c r="BW263" s="249"/>
      <c r="BZ263" s="249"/>
      <c r="CC263" s="249"/>
      <c r="CF263" s="249"/>
      <c r="CI263" s="249"/>
      <c r="CL263" s="249"/>
      <c r="CO263" s="249"/>
      <c r="CR263" s="249"/>
      <c r="CU263" s="249"/>
      <c r="CX263" s="249"/>
      <c r="DA263" s="249"/>
      <c r="DD263" s="249"/>
      <c r="DG263" s="249"/>
      <c r="DJ263" s="249"/>
      <c r="DM263" s="249"/>
      <c r="DP263" s="249"/>
      <c r="DS263" s="249"/>
      <c r="DV263" s="249"/>
      <c r="DY263" s="249"/>
      <c r="EB263" s="249"/>
      <c r="EE263" s="249"/>
      <c r="EH263" s="249"/>
      <c r="EK263" s="249"/>
      <c r="EN263" s="249"/>
      <c r="EQ263" s="249"/>
      <c r="ET263" s="249"/>
      <c r="EW263" s="249"/>
      <c r="EZ263" s="249"/>
      <c r="FC263" s="249"/>
      <c r="FF263" s="249"/>
      <c r="FI263" s="249"/>
      <c r="FL263" s="249"/>
      <c r="FO263" s="249"/>
      <c r="FR263" s="249"/>
      <c r="FU263" s="249"/>
      <c r="FX263" s="249"/>
      <c r="GA263" s="249"/>
      <c r="GD263" s="249"/>
      <c r="GG263" s="249"/>
      <c r="GJ263" s="249"/>
      <c r="GM263" s="249"/>
      <c r="GP263" s="249"/>
      <c r="GS263" s="249"/>
      <c r="GV263" s="249"/>
      <c r="GY263" s="249"/>
      <c r="HB263" s="249"/>
      <c r="HE263" s="249"/>
    </row>
    <row r="264" spans="1:213" x14ac:dyDescent="0.2">
      <c r="A264" s="262" t="s">
        <v>472</v>
      </c>
      <c r="B264" s="283">
        <v>0</v>
      </c>
      <c r="C264" s="249" t="s">
        <v>224</v>
      </c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W264" s="249"/>
      <c r="Z264" s="249"/>
      <c r="AC264" s="249"/>
      <c r="AD264" s="249"/>
      <c r="AE264" s="249"/>
      <c r="AF264" s="249"/>
      <c r="AG264" s="249"/>
      <c r="AJ264" s="249"/>
      <c r="AM264" s="249"/>
      <c r="AP264" s="249"/>
      <c r="AS264" s="249"/>
      <c r="AV264" s="249"/>
      <c r="AY264" s="249"/>
      <c r="BB264" s="249"/>
      <c r="BE264" s="249"/>
      <c r="BH264" s="249"/>
      <c r="BK264" s="249"/>
      <c r="BN264" s="249"/>
      <c r="BQ264" s="249"/>
      <c r="BT264" s="249"/>
      <c r="BW264" s="249"/>
      <c r="BZ264" s="249"/>
      <c r="CC264" s="249"/>
      <c r="CF264" s="249"/>
      <c r="CI264" s="249"/>
      <c r="CL264" s="249"/>
      <c r="CO264" s="249"/>
      <c r="CR264" s="249"/>
      <c r="CU264" s="249"/>
      <c r="CX264" s="249"/>
      <c r="DA264" s="249"/>
      <c r="DD264" s="249"/>
      <c r="DG264" s="249"/>
      <c r="DJ264" s="249"/>
      <c r="DM264" s="249"/>
      <c r="DP264" s="249"/>
      <c r="DS264" s="249"/>
      <c r="DV264" s="249"/>
      <c r="DY264" s="249"/>
      <c r="EB264" s="249"/>
      <c r="EE264" s="249"/>
      <c r="EH264" s="249"/>
      <c r="EK264" s="249"/>
      <c r="EN264" s="249"/>
      <c r="EQ264" s="249"/>
      <c r="ET264" s="249"/>
      <c r="EW264" s="249"/>
      <c r="EZ264" s="249"/>
      <c r="FC264" s="249"/>
      <c r="FF264" s="249"/>
      <c r="FI264" s="249"/>
      <c r="FL264" s="249"/>
      <c r="FO264" s="249"/>
      <c r="FR264" s="249"/>
      <c r="FU264" s="249"/>
      <c r="FX264" s="249"/>
      <c r="GA264" s="249"/>
      <c r="GD264" s="249"/>
      <c r="GG264" s="249"/>
      <c r="GJ264" s="249"/>
      <c r="GM264" s="249"/>
      <c r="GP264" s="249"/>
      <c r="GS264" s="249"/>
      <c r="GV264" s="249"/>
      <c r="GY264" s="249"/>
      <c r="HB264" s="249"/>
      <c r="HE264" s="249"/>
    </row>
    <row r="265" spans="1:213" x14ac:dyDescent="0.2">
      <c r="A265" s="262" t="s">
        <v>103</v>
      </c>
      <c r="B265" s="283">
        <v>0.4</v>
      </c>
      <c r="C265" s="247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W265" s="249"/>
      <c r="Z265" s="249"/>
      <c r="AC265" s="249"/>
      <c r="AD265" s="249"/>
      <c r="AE265" s="249"/>
      <c r="AF265" s="249"/>
      <c r="AG265" s="249"/>
      <c r="AJ265" s="249"/>
      <c r="AM265" s="249"/>
      <c r="AP265" s="249"/>
      <c r="AS265" s="249"/>
      <c r="AV265" s="249"/>
      <c r="AY265" s="249"/>
      <c r="BB265" s="249"/>
      <c r="BE265" s="249"/>
      <c r="BH265" s="249"/>
      <c r="BK265" s="249"/>
      <c r="BN265" s="249"/>
      <c r="BQ265" s="249"/>
      <c r="BT265" s="249"/>
      <c r="BW265" s="249"/>
      <c r="BZ265" s="249"/>
      <c r="CC265" s="249"/>
      <c r="CF265" s="249"/>
      <c r="CI265" s="249"/>
      <c r="CL265" s="249"/>
      <c r="CO265" s="249"/>
      <c r="CR265" s="249"/>
      <c r="CU265" s="249"/>
      <c r="CX265" s="249"/>
      <c r="DA265" s="249"/>
      <c r="DD265" s="249"/>
      <c r="DG265" s="249"/>
      <c r="DJ265" s="249"/>
      <c r="DM265" s="249"/>
      <c r="DP265" s="249"/>
      <c r="DS265" s="249"/>
      <c r="DV265" s="249"/>
      <c r="DY265" s="249"/>
      <c r="EB265" s="249"/>
      <c r="EE265" s="249"/>
      <c r="EH265" s="249"/>
      <c r="EK265" s="249"/>
      <c r="EN265" s="249"/>
      <c r="EQ265" s="249"/>
      <c r="ET265" s="249"/>
      <c r="EW265" s="249"/>
      <c r="EZ265" s="249"/>
      <c r="FC265" s="249"/>
      <c r="FF265" s="249"/>
      <c r="FI265" s="249"/>
      <c r="FL265" s="249"/>
      <c r="FO265" s="249"/>
      <c r="FR265" s="249"/>
      <c r="FU265" s="249"/>
      <c r="FX265" s="249"/>
      <c r="GA265" s="249"/>
      <c r="GD265" s="249"/>
      <c r="GG265" s="249"/>
      <c r="GJ265" s="249"/>
      <c r="GM265" s="249"/>
      <c r="GP265" s="249"/>
      <c r="GS265" s="249"/>
      <c r="GV265" s="249"/>
      <c r="GY265" s="249"/>
      <c r="HB265" s="249"/>
      <c r="HE265" s="249"/>
    </row>
    <row r="266" spans="1:213" x14ac:dyDescent="0.2">
      <c r="A266" s="262" t="s">
        <v>220</v>
      </c>
      <c r="B266" s="283">
        <v>5</v>
      </c>
      <c r="C266" s="249" t="s">
        <v>129</v>
      </c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W266" s="249"/>
      <c r="Z266" s="249"/>
      <c r="AC266" s="249"/>
      <c r="AD266" s="249"/>
      <c r="AE266" s="249"/>
      <c r="AF266" s="249"/>
      <c r="AG266" s="249"/>
      <c r="AJ266" s="249"/>
      <c r="AM266" s="249"/>
      <c r="AP266" s="249"/>
      <c r="AS266" s="249"/>
      <c r="AV266" s="249"/>
      <c r="AY266" s="249"/>
      <c r="BB266" s="249"/>
      <c r="BE266" s="249"/>
      <c r="BH266" s="249"/>
      <c r="BK266" s="249"/>
      <c r="BN266" s="249"/>
      <c r="BQ266" s="249"/>
      <c r="BT266" s="249"/>
      <c r="BW266" s="249"/>
      <c r="BZ266" s="249"/>
      <c r="CC266" s="249"/>
      <c r="CF266" s="249"/>
      <c r="CI266" s="249"/>
      <c r="CL266" s="249"/>
      <c r="CO266" s="249"/>
      <c r="CR266" s="249"/>
      <c r="CU266" s="249"/>
      <c r="CX266" s="249"/>
      <c r="DA266" s="249"/>
      <c r="DD266" s="249"/>
      <c r="DG266" s="249"/>
      <c r="DJ266" s="249"/>
      <c r="DM266" s="249"/>
      <c r="DP266" s="249"/>
      <c r="DS266" s="249"/>
      <c r="DV266" s="249"/>
      <c r="DY266" s="249"/>
      <c r="EB266" s="249"/>
      <c r="EE266" s="249"/>
      <c r="EH266" s="249"/>
      <c r="EK266" s="249"/>
      <c r="EN266" s="249"/>
      <c r="EQ266" s="249"/>
      <c r="ET266" s="249"/>
      <c r="EW266" s="249"/>
      <c r="EZ266" s="249"/>
      <c r="FC266" s="249"/>
      <c r="FF266" s="249"/>
      <c r="FI266" s="249"/>
      <c r="FL266" s="249"/>
      <c r="FO266" s="249"/>
      <c r="FR266" s="249"/>
      <c r="FU266" s="249"/>
      <c r="FX266" s="249"/>
      <c r="GA266" s="249"/>
      <c r="GD266" s="249"/>
      <c r="GG266" s="249"/>
      <c r="GJ266" s="249"/>
      <c r="GM266" s="249"/>
      <c r="GP266" s="249"/>
      <c r="GS266" s="249"/>
      <c r="GV266" s="249"/>
      <c r="GY266" s="249"/>
      <c r="HB266" s="249"/>
      <c r="HE266" s="249"/>
    </row>
    <row r="267" spans="1:213" x14ac:dyDescent="0.2">
      <c r="A267" s="262" t="s">
        <v>219</v>
      </c>
      <c r="B267" s="283">
        <v>26</v>
      </c>
      <c r="C267" s="249" t="s">
        <v>130</v>
      </c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W267" s="249"/>
      <c r="Z267" s="249"/>
      <c r="AC267" s="249"/>
      <c r="AD267" s="249"/>
      <c r="AE267" s="249"/>
      <c r="AF267" s="249"/>
      <c r="AG267" s="249"/>
      <c r="AJ267" s="249"/>
      <c r="AM267" s="249"/>
      <c r="AP267" s="249"/>
      <c r="AS267" s="249"/>
      <c r="AV267" s="249"/>
      <c r="AY267" s="249"/>
      <c r="BB267" s="249"/>
      <c r="BE267" s="249"/>
      <c r="BH267" s="249"/>
      <c r="BK267" s="249"/>
      <c r="BN267" s="249"/>
      <c r="BQ267" s="249"/>
      <c r="BT267" s="249"/>
      <c r="BW267" s="249"/>
      <c r="BZ267" s="249"/>
      <c r="CC267" s="249"/>
      <c r="CF267" s="249"/>
      <c r="CI267" s="249"/>
      <c r="CL267" s="249"/>
      <c r="CO267" s="249"/>
      <c r="CR267" s="249"/>
      <c r="CU267" s="249"/>
      <c r="CX267" s="249"/>
      <c r="DA267" s="249"/>
      <c r="DD267" s="249"/>
      <c r="DG267" s="249"/>
      <c r="DJ267" s="249"/>
      <c r="DM267" s="249"/>
      <c r="DP267" s="249"/>
      <c r="DS267" s="249"/>
      <c r="DV267" s="249"/>
      <c r="DY267" s="249"/>
      <c r="EB267" s="249"/>
      <c r="EE267" s="249"/>
      <c r="EH267" s="249"/>
      <c r="EK267" s="249"/>
      <c r="EN267" s="249"/>
      <c r="EQ267" s="249"/>
      <c r="ET267" s="249"/>
      <c r="EW267" s="249"/>
      <c r="EZ267" s="249"/>
      <c r="FC267" s="249"/>
      <c r="FF267" s="249"/>
      <c r="FI267" s="249"/>
      <c r="FL267" s="249"/>
      <c r="FO267" s="249"/>
      <c r="FR267" s="249"/>
      <c r="FU267" s="249"/>
      <c r="FX267" s="249"/>
      <c r="GA267" s="249"/>
      <c r="GD267" s="249"/>
      <c r="GG267" s="249"/>
      <c r="GJ267" s="249"/>
      <c r="GM267" s="249"/>
      <c r="GP267" s="249"/>
      <c r="GS267" s="249"/>
      <c r="GV267" s="249"/>
      <c r="GY267" s="249"/>
      <c r="HB267" s="249"/>
      <c r="HE267" s="249"/>
    </row>
    <row r="268" spans="1:213" x14ac:dyDescent="0.2">
      <c r="A268" s="558" t="s">
        <v>437</v>
      </c>
      <c r="B268" s="558"/>
      <c r="C268" s="558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W268" s="249"/>
      <c r="Z268" s="249"/>
      <c r="AC268" s="249"/>
      <c r="AD268" s="249"/>
      <c r="AE268" s="249"/>
      <c r="AF268" s="249"/>
      <c r="AG268" s="249"/>
      <c r="AJ268" s="249"/>
      <c r="AM268" s="249"/>
      <c r="AP268" s="249"/>
      <c r="AS268" s="249"/>
      <c r="AV268" s="249"/>
      <c r="AY268" s="249"/>
      <c r="BB268" s="249"/>
      <c r="BE268" s="249"/>
      <c r="BH268" s="249"/>
      <c r="BK268" s="249"/>
      <c r="BN268" s="249"/>
      <c r="BQ268" s="249"/>
      <c r="BT268" s="249"/>
      <c r="BW268" s="249"/>
      <c r="BZ268" s="249"/>
      <c r="CC268" s="249"/>
      <c r="CF268" s="249"/>
      <c r="CI268" s="249"/>
      <c r="CL268" s="249"/>
      <c r="CO268" s="249"/>
      <c r="CR268" s="249"/>
      <c r="CU268" s="249"/>
      <c r="CX268" s="249"/>
      <c r="DA268" s="249"/>
      <c r="DD268" s="249"/>
      <c r="DG268" s="249"/>
      <c r="DJ268" s="249"/>
      <c r="DM268" s="249"/>
      <c r="DP268" s="249"/>
      <c r="DS268" s="249"/>
      <c r="DV268" s="249"/>
      <c r="DY268" s="249"/>
      <c r="EB268" s="249"/>
      <c r="EE268" s="249"/>
      <c r="EH268" s="249"/>
      <c r="EK268" s="249"/>
      <c r="EN268" s="249"/>
      <c r="EQ268" s="249"/>
      <c r="ET268" s="249"/>
      <c r="EW268" s="249"/>
      <c r="EZ268" s="249"/>
      <c r="FC268" s="249"/>
      <c r="FF268" s="249"/>
      <c r="FI268" s="249"/>
      <c r="FL268" s="249"/>
      <c r="FO268" s="249"/>
      <c r="FR268" s="249"/>
      <c r="FU268" s="249"/>
      <c r="FX268" s="249"/>
      <c r="GA268" s="249"/>
      <c r="GD268" s="249"/>
      <c r="GG268" s="249"/>
      <c r="GJ268" s="249"/>
      <c r="GM268" s="249"/>
      <c r="GP268" s="249"/>
      <c r="GS268" s="249"/>
      <c r="GV268" s="249"/>
      <c r="GY268" s="249"/>
      <c r="HB268" s="249"/>
      <c r="HE268" s="249"/>
    </row>
    <row r="269" spans="1:213" x14ac:dyDescent="0.2">
      <c r="A269" s="249" t="s">
        <v>435</v>
      </c>
      <c r="B269" s="283">
        <v>60</v>
      </c>
      <c r="C269" s="263" t="s">
        <v>359</v>
      </c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W269" s="249"/>
      <c r="Z269" s="249"/>
      <c r="AC269" s="249"/>
      <c r="AD269" s="249"/>
      <c r="AE269" s="249"/>
      <c r="AF269" s="249"/>
      <c r="AG269" s="249"/>
      <c r="AJ269" s="249"/>
      <c r="AM269" s="249"/>
      <c r="AP269" s="249"/>
      <c r="AS269" s="249"/>
      <c r="AV269" s="249"/>
      <c r="AY269" s="249"/>
      <c r="BB269" s="249"/>
      <c r="BE269" s="249"/>
      <c r="BH269" s="249"/>
      <c r="BK269" s="249"/>
      <c r="BN269" s="249"/>
      <c r="BQ269" s="249"/>
      <c r="BT269" s="249"/>
      <c r="BW269" s="249"/>
      <c r="BZ269" s="249"/>
      <c r="CC269" s="249"/>
      <c r="CF269" s="249"/>
      <c r="CI269" s="249"/>
      <c r="CL269" s="249"/>
      <c r="CO269" s="249"/>
      <c r="CR269" s="249"/>
      <c r="CU269" s="249"/>
      <c r="CX269" s="249"/>
      <c r="DA269" s="249"/>
      <c r="DD269" s="249"/>
      <c r="DG269" s="249"/>
      <c r="DJ269" s="249"/>
      <c r="DM269" s="249"/>
      <c r="DP269" s="249"/>
      <c r="DS269" s="249"/>
      <c r="DV269" s="249"/>
      <c r="DY269" s="249"/>
      <c r="EB269" s="249"/>
      <c r="EE269" s="249"/>
      <c r="EH269" s="249"/>
      <c r="EK269" s="249"/>
      <c r="EN269" s="249"/>
      <c r="EQ269" s="249"/>
      <c r="ET269" s="249"/>
      <c r="EW269" s="249"/>
      <c r="EZ269" s="249"/>
      <c r="FC269" s="249"/>
      <c r="FF269" s="249"/>
      <c r="FI269" s="249"/>
      <c r="FL269" s="249"/>
      <c r="FO269" s="249"/>
      <c r="FR269" s="249"/>
      <c r="FU269" s="249"/>
      <c r="FX269" s="249"/>
      <c r="GA269" s="249"/>
      <c r="GD269" s="249"/>
      <c r="GG269" s="249"/>
      <c r="GJ269" s="249"/>
      <c r="GM269" s="249"/>
      <c r="GP269" s="249"/>
      <c r="GS269" s="249"/>
      <c r="GV269" s="249"/>
      <c r="GY269" s="249"/>
      <c r="HB269" s="249"/>
      <c r="HE269" s="249"/>
    </row>
    <row r="270" spans="1:213" x14ac:dyDescent="0.2">
      <c r="A270" s="262" t="s">
        <v>221</v>
      </c>
      <c r="B270" s="283">
        <v>130</v>
      </c>
      <c r="C270" s="249" t="s">
        <v>26</v>
      </c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W270" s="249"/>
      <c r="Z270" s="249"/>
      <c r="AC270" s="249"/>
      <c r="AD270" s="249"/>
      <c r="AE270" s="249"/>
      <c r="AF270" s="249"/>
      <c r="AG270" s="249"/>
      <c r="AJ270" s="249"/>
      <c r="AM270" s="249"/>
      <c r="AP270" s="249"/>
      <c r="AS270" s="249"/>
      <c r="AV270" s="249"/>
      <c r="AY270" s="249"/>
      <c r="BB270" s="249"/>
      <c r="BE270" s="249"/>
      <c r="BH270" s="249"/>
      <c r="BK270" s="249"/>
      <c r="BN270" s="249"/>
      <c r="BQ270" s="249"/>
      <c r="BT270" s="249"/>
      <c r="BW270" s="249"/>
      <c r="BZ270" s="249"/>
      <c r="CC270" s="249"/>
      <c r="CF270" s="249"/>
      <c r="CI270" s="249"/>
      <c r="CL270" s="249"/>
      <c r="CO270" s="249"/>
      <c r="CR270" s="249"/>
      <c r="CU270" s="249"/>
      <c r="CX270" s="249"/>
      <c r="DA270" s="249"/>
      <c r="DD270" s="249"/>
      <c r="DG270" s="249"/>
      <c r="DJ270" s="249"/>
      <c r="DM270" s="249"/>
      <c r="DP270" s="249"/>
      <c r="DS270" s="249"/>
      <c r="DV270" s="249"/>
      <c r="DY270" s="249"/>
      <c r="EB270" s="249"/>
      <c r="EE270" s="249"/>
      <c r="EH270" s="249"/>
      <c r="EK270" s="249"/>
      <c r="EN270" s="249"/>
      <c r="EQ270" s="249"/>
      <c r="ET270" s="249"/>
      <c r="EW270" s="249"/>
      <c r="EZ270" s="249"/>
      <c r="FC270" s="249"/>
      <c r="FF270" s="249"/>
      <c r="FI270" s="249"/>
      <c r="FL270" s="249"/>
      <c r="FO270" s="249"/>
      <c r="FR270" s="249"/>
      <c r="FU270" s="249"/>
      <c r="FX270" s="249"/>
      <c r="GA270" s="249"/>
      <c r="GD270" s="249"/>
      <c r="GG270" s="249"/>
      <c r="GJ270" s="249"/>
      <c r="GM270" s="249"/>
      <c r="GP270" s="249"/>
      <c r="GS270" s="249"/>
      <c r="GV270" s="249"/>
      <c r="GY270" s="249"/>
      <c r="HB270" s="249"/>
      <c r="HE270" s="249"/>
    </row>
    <row r="271" spans="1:213" x14ac:dyDescent="0.2">
      <c r="A271" s="262" t="s">
        <v>186</v>
      </c>
      <c r="B271" s="284">
        <v>1</v>
      </c>
      <c r="C271" s="249" t="s">
        <v>69</v>
      </c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W271" s="249"/>
      <c r="Z271" s="249"/>
      <c r="AC271" s="249"/>
      <c r="AD271" s="249"/>
      <c r="AE271" s="249"/>
      <c r="AF271" s="249"/>
      <c r="AG271" s="249"/>
      <c r="AJ271" s="249"/>
      <c r="AM271" s="249"/>
      <c r="AP271" s="249"/>
      <c r="AS271" s="249"/>
      <c r="AV271" s="249"/>
      <c r="AY271" s="249"/>
      <c r="BB271" s="249"/>
      <c r="BE271" s="249"/>
      <c r="BH271" s="249"/>
      <c r="BK271" s="249"/>
      <c r="BN271" s="249"/>
      <c r="BQ271" s="249"/>
      <c r="BT271" s="249"/>
      <c r="BW271" s="249"/>
      <c r="BZ271" s="249"/>
      <c r="CC271" s="249"/>
      <c r="CF271" s="249"/>
      <c r="CI271" s="249"/>
      <c r="CL271" s="249"/>
      <c r="CO271" s="249"/>
      <c r="CR271" s="249"/>
      <c r="CU271" s="249"/>
      <c r="CX271" s="249"/>
      <c r="DA271" s="249"/>
      <c r="DD271" s="249"/>
      <c r="DG271" s="249"/>
      <c r="DJ271" s="249"/>
      <c r="DM271" s="249"/>
      <c r="DP271" s="249"/>
      <c r="DS271" s="249"/>
      <c r="DV271" s="249"/>
      <c r="DY271" s="249"/>
      <c r="EB271" s="249"/>
      <c r="EE271" s="249"/>
      <c r="EH271" s="249"/>
      <c r="EK271" s="249"/>
      <c r="EN271" s="249"/>
      <c r="EQ271" s="249"/>
      <c r="ET271" s="249"/>
      <c r="EW271" s="249"/>
      <c r="EZ271" s="249"/>
      <c r="FC271" s="249"/>
      <c r="FF271" s="249"/>
      <c r="FI271" s="249"/>
      <c r="FL271" s="249"/>
      <c r="FO271" s="249"/>
      <c r="FR271" s="249"/>
      <c r="FU271" s="249"/>
      <c r="FX271" s="249"/>
      <c r="GA271" s="249"/>
      <c r="GD271" s="249"/>
      <c r="GG271" s="249"/>
      <c r="GJ271" s="249"/>
      <c r="GM271" s="249"/>
      <c r="GP271" s="249"/>
      <c r="GS271" s="249"/>
      <c r="GV271" s="249"/>
      <c r="GY271" s="249"/>
      <c r="HB271" s="249"/>
      <c r="HE271" s="249"/>
    </row>
    <row r="272" spans="1:213" x14ac:dyDescent="0.2">
      <c r="A272" s="262" t="s">
        <v>436</v>
      </c>
      <c r="B272" s="283">
        <v>330</v>
      </c>
      <c r="C272" s="263" t="s">
        <v>54</v>
      </c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W272" s="249"/>
      <c r="Z272" s="249"/>
      <c r="AC272" s="249"/>
      <c r="AD272" s="249"/>
      <c r="AE272" s="249"/>
      <c r="AF272" s="249"/>
      <c r="AG272" s="249"/>
      <c r="AJ272" s="249"/>
      <c r="AM272" s="249"/>
      <c r="AP272" s="249"/>
      <c r="AS272" s="249"/>
      <c r="AV272" s="249"/>
      <c r="AY272" s="249"/>
      <c r="BB272" s="249"/>
      <c r="BE272" s="249"/>
      <c r="BH272" s="249"/>
      <c r="BK272" s="249"/>
      <c r="BN272" s="249"/>
      <c r="BQ272" s="249"/>
      <c r="BT272" s="249"/>
      <c r="BW272" s="249"/>
      <c r="BZ272" s="249"/>
      <c r="CC272" s="249"/>
      <c r="CF272" s="249"/>
      <c r="CI272" s="249"/>
      <c r="CL272" s="249"/>
      <c r="CO272" s="249"/>
      <c r="CR272" s="249"/>
      <c r="CU272" s="249"/>
      <c r="CX272" s="249"/>
      <c r="DA272" s="249"/>
      <c r="DD272" s="249"/>
      <c r="DG272" s="249"/>
      <c r="DJ272" s="249"/>
      <c r="DM272" s="249"/>
      <c r="DP272" s="249"/>
      <c r="DS272" s="249"/>
      <c r="DV272" s="249"/>
      <c r="DY272" s="249"/>
      <c r="EB272" s="249"/>
      <c r="EE272" s="249"/>
      <c r="EH272" s="249"/>
      <c r="EK272" s="249"/>
      <c r="EN272" s="249"/>
      <c r="EQ272" s="249"/>
      <c r="ET272" s="249"/>
      <c r="EW272" s="249"/>
      <c r="EZ272" s="249"/>
      <c r="FC272" s="249"/>
      <c r="FF272" s="249"/>
      <c r="FI272" s="249"/>
      <c r="FL272" s="249"/>
      <c r="FO272" s="249"/>
      <c r="FR272" s="249"/>
      <c r="FU272" s="249"/>
      <c r="FX272" s="249"/>
      <c r="GA272" s="249"/>
      <c r="GD272" s="249"/>
      <c r="GG272" s="249"/>
      <c r="GJ272" s="249"/>
      <c r="GM272" s="249"/>
      <c r="GP272" s="249"/>
      <c r="GS272" s="249"/>
      <c r="GV272" s="249"/>
      <c r="GY272" s="249"/>
      <c r="HB272" s="249"/>
      <c r="HE272" s="249"/>
    </row>
    <row r="273" spans="1:213" x14ac:dyDescent="0.2">
      <c r="A273" s="262" t="s">
        <v>56</v>
      </c>
      <c r="B273" s="284">
        <v>1</v>
      </c>
      <c r="C273" s="247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W273" s="249"/>
      <c r="Z273" s="249"/>
      <c r="AC273" s="249"/>
      <c r="AD273" s="249"/>
      <c r="AE273" s="249"/>
      <c r="AF273" s="249"/>
      <c r="AG273" s="249"/>
      <c r="AJ273" s="249"/>
      <c r="AM273" s="249"/>
      <c r="AP273" s="249"/>
      <c r="AS273" s="249"/>
      <c r="AV273" s="249"/>
      <c r="AY273" s="249"/>
      <c r="BB273" s="249"/>
      <c r="BE273" s="249"/>
      <c r="BH273" s="249"/>
      <c r="BK273" s="249"/>
      <c r="BN273" s="249"/>
      <c r="BQ273" s="249"/>
      <c r="BT273" s="249"/>
      <c r="BW273" s="249"/>
      <c r="BZ273" s="249"/>
      <c r="CC273" s="249"/>
      <c r="CF273" s="249"/>
      <c r="CI273" s="249"/>
      <c r="CL273" s="249"/>
      <c r="CO273" s="249"/>
      <c r="CR273" s="249"/>
      <c r="CU273" s="249"/>
      <c r="CX273" s="249"/>
      <c r="DA273" s="249"/>
      <c r="DD273" s="249"/>
      <c r="DG273" s="249"/>
      <c r="DJ273" s="249"/>
      <c r="DM273" s="249"/>
      <c r="DP273" s="249"/>
      <c r="DS273" s="249"/>
      <c r="DV273" s="249"/>
      <c r="DY273" s="249"/>
      <c r="EB273" s="249"/>
      <c r="EE273" s="249"/>
      <c r="EH273" s="249"/>
      <c r="EK273" s="249"/>
      <c r="EN273" s="249"/>
      <c r="EQ273" s="249"/>
      <c r="ET273" s="249"/>
      <c r="EW273" s="249"/>
      <c r="EZ273" s="249"/>
      <c r="FC273" s="249"/>
      <c r="FF273" s="249"/>
      <c r="FI273" s="249"/>
      <c r="FL273" s="249"/>
      <c r="FO273" s="249"/>
      <c r="FR273" s="249"/>
      <c r="FU273" s="249"/>
      <c r="FX273" s="249"/>
      <c r="GA273" s="249"/>
      <c r="GD273" s="249"/>
      <c r="GG273" s="249"/>
      <c r="GJ273" s="249"/>
      <c r="GM273" s="249"/>
      <c r="GP273" s="249"/>
      <c r="GS273" s="249"/>
      <c r="GV273" s="249"/>
      <c r="GY273" s="249"/>
      <c r="HB273" s="249"/>
      <c r="HE273" s="249"/>
    </row>
    <row r="274" spans="1:213" x14ac:dyDescent="0.2">
      <c r="A274" s="262" t="s">
        <v>52</v>
      </c>
      <c r="B274" s="284">
        <v>0.4</v>
      </c>
      <c r="C274" s="247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W274" s="249"/>
      <c r="Z274" s="249"/>
      <c r="AC274" s="249"/>
      <c r="AD274" s="249"/>
      <c r="AE274" s="249"/>
      <c r="AF274" s="249"/>
      <c r="AG274" s="249"/>
      <c r="AJ274" s="249"/>
      <c r="AM274" s="249"/>
      <c r="AP274" s="249"/>
      <c r="AS274" s="249"/>
      <c r="AV274" s="249"/>
      <c r="AY274" s="249"/>
      <c r="BB274" s="249"/>
      <c r="BE274" s="249"/>
      <c r="BH274" s="249"/>
      <c r="BK274" s="249"/>
      <c r="BN274" s="249"/>
      <c r="BQ274" s="249"/>
      <c r="BT274" s="249"/>
      <c r="BW274" s="249"/>
      <c r="BZ274" s="249"/>
      <c r="CC274" s="249"/>
      <c r="CF274" s="249"/>
      <c r="CI274" s="249"/>
      <c r="CL274" s="249"/>
      <c r="CO274" s="249"/>
      <c r="CR274" s="249"/>
      <c r="CU274" s="249"/>
      <c r="CX274" s="249"/>
      <c r="DA274" s="249"/>
      <c r="DD274" s="249"/>
      <c r="DG274" s="249"/>
      <c r="DJ274" s="249"/>
      <c r="DM274" s="249"/>
      <c r="DP274" s="249"/>
      <c r="DS274" s="249"/>
      <c r="DV274" s="249"/>
      <c r="DY274" s="249"/>
      <c r="EB274" s="249"/>
      <c r="EE274" s="249"/>
      <c r="EH274" s="249"/>
      <c r="EK274" s="249"/>
      <c r="EN274" s="249"/>
      <c r="EQ274" s="249"/>
      <c r="ET274" s="249"/>
      <c r="EW274" s="249"/>
      <c r="EZ274" s="249"/>
      <c r="FC274" s="249"/>
      <c r="FF274" s="249"/>
      <c r="FI274" s="249"/>
      <c r="FL274" s="249"/>
      <c r="FO274" s="249"/>
      <c r="FR274" s="249"/>
      <c r="FU274" s="249"/>
      <c r="FX274" s="249"/>
      <c r="GA274" s="249"/>
      <c r="GD274" s="249"/>
      <c r="GG274" s="249"/>
      <c r="GJ274" s="249"/>
      <c r="GM274" s="249"/>
      <c r="GP274" s="249"/>
      <c r="GS274" s="249"/>
      <c r="GV274" s="249"/>
      <c r="GY274" s="249"/>
      <c r="HB274" s="249"/>
      <c r="HE274" s="249"/>
    </row>
    <row r="275" spans="1:213" x14ac:dyDescent="0.2">
      <c r="A275" s="262" t="s">
        <v>62</v>
      </c>
      <c r="B275" s="284">
        <v>1</v>
      </c>
      <c r="C275" s="247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W275" s="249"/>
      <c r="Z275" s="249"/>
      <c r="AC275" s="249"/>
      <c r="AD275" s="249"/>
      <c r="AE275" s="249"/>
      <c r="AF275" s="249"/>
      <c r="AG275" s="249"/>
      <c r="AJ275" s="249"/>
      <c r="AM275" s="249"/>
      <c r="AP275" s="249"/>
      <c r="AS275" s="249"/>
      <c r="AV275" s="249"/>
      <c r="AY275" s="249"/>
      <c r="BB275" s="249"/>
      <c r="BE275" s="249"/>
      <c r="BH275" s="249"/>
      <c r="BK275" s="249"/>
      <c r="BN275" s="249"/>
      <c r="BQ275" s="249"/>
      <c r="BT275" s="249"/>
      <c r="BW275" s="249"/>
      <c r="BZ275" s="249"/>
      <c r="CC275" s="249"/>
      <c r="CF275" s="249"/>
      <c r="CI275" s="249"/>
      <c r="CL275" s="249"/>
      <c r="CO275" s="249"/>
      <c r="CR275" s="249"/>
      <c r="CU275" s="249"/>
      <c r="CX275" s="249"/>
      <c r="DA275" s="249"/>
      <c r="DD275" s="249"/>
      <c r="DG275" s="249"/>
      <c r="DJ275" s="249"/>
      <c r="DM275" s="249"/>
      <c r="DP275" s="249"/>
      <c r="DS275" s="249"/>
      <c r="DV275" s="249"/>
      <c r="DY275" s="249"/>
      <c r="EB275" s="249"/>
      <c r="EE275" s="249"/>
      <c r="EH275" s="249"/>
      <c r="EK275" s="249"/>
      <c r="EN275" s="249"/>
      <c r="EQ275" s="249"/>
      <c r="ET275" s="249"/>
      <c r="EW275" s="249"/>
      <c r="EZ275" s="249"/>
      <c r="FC275" s="249"/>
      <c r="FF275" s="249"/>
      <c r="FI275" s="249"/>
      <c r="FL275" s="249"/>
      <c r="FO275" s="249"/>
      <c r="FR275" s="249"/>
      <c r="FU275" s="249"/>
      <c r="FX275" s="249"/>
      <c r="GA275" s="249"/>
      <c r="GD275" s="249"/>
      <c r="GG275" s="249"/>
      <c r="GJ275" s="249"/>
      <c r="GM275" s="249"/>
      <c r="GP275" s="249"/>
      <c r="GS275" s="249"/>
      <c r="GV275" s="249"/>
      <c r="GY275" s="249"/>
      <c r="HB275" s="249"/>
      <c r="HE275" s="249"/>
    </row>
    <row r="276" spans="1:213" x14ac:dyDescent="0.2">
      <c r="A276" s="262" t="s">
        <v>471</v>
      </c>
      <c r="B276" s="283">
        <v>8</v>
      </c>
      <c r="C276" s="249" t="s">
        <v>224</v>
      </c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W276" s="249"/>
      <c r="Z276" s="249"/>
      <c r="AC276" s="249"/>
      <c r="AD276" s="249"/>
      <c r="AE276" s="249"/>
      <c r="AF276" s="249"/>
      <c r="AG276" s="249"/>
      <c r="AJ276" s="249"/>
      <c r="AM276" s="249"/>
      <c r="AP276" s="249"/>
      <c r="AS276" s="249"/>
      <c r="AV276" s="249"/>
      <c r="AY276" s="249"/>
      <c r="BB276" s="249"/>
      <c r="BE276" s="249"/>
      <c r="BH276" s="249"/>
      <c r="BK276" s="249"/>
      <c r="BN276" s="249"/>
      <c r="BQ276" s="249"/>
      <c r="BT276" s="249"/>
      <c r="BW276" s="249"/>
      <c r="BZ276" s="249"/>
      <c r="CC276" s="249"/>
      <c r="CF276" s="249"/>
      <c r="CI276" s="249"/>
      <c r="CL276" s="249"/>
      <c r="CO276" s="249"/>
      <c r="CR276" s="249"/>
      <c r="CU276" s="249"/>
      <c r="CX276" s="249"/>
      <c r="DA276" s="249"/>
      <c r="DD276" s="249"/>
      <c r="DG276" s="249"/>
      <c r="DJ276" s="249"/>
      <c r="DM276" s="249"/>
      <c r="DP276" s="249"/>
      <c r="DS276" s="249"/>
      <c r="DV276" s="249"/>
      <c r="DY276" s="249"/>
      <c r="EB276" s="249"/>
      <c r="EE276" s="249"/>
      <c r="EH276" s="249"/>
      <c r="EK276" s="249"/>
      <c r="EN276" s="249"/>
      <c r="EQ276" s="249"/>
      <c r="ET276" s="249"/>
      <c r="EW276" s="249"/>
      <c r="EZ276" s="249"/>
      <c r="FC276" s="249"/>
      <c r="FF276" s="249"/>
      <c r="FI276" s="249"/>
      <c r="FL276" s="249"/>
      <c r="FO276" s="249"/>
      <c r="FR276" s="249"/>
      <c r="FU276" s="249"/>
      <c r="FX276" s="249"/>
      <c r="GA276" s="249"/>
      <c r="GD276" s="249"/>
      <c r="GG276" s="249"/>
      <c r="GJ276" s="249"/>
      <c r="GM276" s="249"/>
      <c r="GP276" s="249"/>
      <c r="GS276" s="249"/>
      <c r="GV276" s="249"/>
      <c r="GY276" s="249"/>
      <c r="HB276" s="249"/>
      <c r="HE276" s="249"/>
    </row>
    <row r="277" spans="1:213" x14ac:dyDescent="0.2">
      <c r="A277" s="262" t="s">
        <v>472</v>
      </c>
      <c r="B277" s="283">
        <v>0</v>
      </c>
      <c r="C277" s="249" t="s">
        <v>224</v>
      </c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W277" s="249"/>
      <c r="Z277" s="249"/>
      <c r="AC277" s="249"/>
      <c r="AD277" s="249"/>
      <c r="AE277" s="249"/>
      <c r="AF277" s="249"/>
      <c r="AG277" s="249"/>
      <c r="AJ277" s="249"/>
      <c r="AM277" s="249"/>
      <c r="AP277" s="249"/>
      <c r="AS277" s="249"/>
      <c r="AV277" s="249"/>
      <c r="AY277" s="249"/>
      <c r="BB277" s="249"/>
      <c r="BE277" s="249"/>
      <c r="BH277" s="249"/>
      <c r="BK277" s="249"/>
      <c r="BN277" s="249"/>
      <c r="BQ277" s="249"/>
      <c r="BT277" s="249"/>
      <c r="BW277" s="249"/>
      <c r="BZ277" s="249"/>
      <c r="CC277" s="249"/>
      <c r="CF277" s="249"/>
      <c r="CI277" s="249"/>
      <c r="CL277" s="249"/>
      <c r="CO277" s="249"/>
      <c r="CR277" s="249"/>
      <c r="CU277" s="249"/>
      <c r="CX277" s="249"/>
      <c r="DA277" s="249"/>
      <c r="DD277" s="249"/>
      <c r="DG277" s="249"/>
      <c r="DJ277" s="249"/>
      <c r="DM277" s="249"/>
      <c r="DP277" s="249"/>
      <c r="DS277" s="249"/>
      <c r="DV277" s="249"/>
      <c r="DY277" s="249"/>
      <c r="EB277" s="249"/>
      <c r="EE277" s="249"/>
      <c r="EH277" s="249"/>
      <c r="EK277" s="249"/>
      <c r="EN277" s="249"/>
      <c r="EQ277" s="249"/>
      <c r="ET277" s="249"/>
      <c r="EW277" s="249"/>
      <c r="EZ277" s="249"/>
      <c r="FC277" s="249"/>
      <c r="FF277" s="249"/>
      <c r="FI277" s="249"/>
      <c r="FL277" s="249"/>
      <c r="FO277" s="249"/>
      <c r="FR277" s="249"/>
      <c r="FU277" s="249"/>
      <c r="FX277" s="249"/>
      <c r="GA277" s="249"/>
      <c r="GD277" s="249"/>
      <c r="GG277" s="249"/>
      <c r="GJ277" s="249"/>
      <c r="GM277" s="249"/>
      <c r="GP277" s="249"/>
      <c r="GS277" s="249"/>
      <c r="GV277" s="249"/>
      <c r="GY277" s="249"/>
      <c r="HB277" s="249"/>
      <c r="HE277" s="249"/>
    </row>
    <row r="278" spans="1:213" x14ac:dyDescent="0.2">
      <c r="A278" s="262" t="s">
        <v>103</v>
      </c>
      <c r="B278" s="283">
        <v>0.4</v>
      </c>
      <c r="C278" s="247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W278" s="249"/>
      <c r="Z278" s="249"/>
      <c r="AC278" s="249"/>
      <c r="AD278" s="249"/>
      <c r="AE278" s="249"/>
      <c r="AF278" s="249"/>
      <c r="AG278" s="249"/>
      <c r="AJ278" s="249"/>
      <c r="AM278" s="249"/>
      <c r="AP278" s="249"/>
      <c r="AS278" s="249"/>
      <c r="AV278" s="249"/>
      <c r="AY278" s="249"/>
      <c r="BB278" s="249"/>
      <c r="BE278" s="249"/>
      <c r="BH278" s="249"/>
      <c r="BK278" s="249"/>
      <c r="BN278" s="249"/>
      <c r="BQ278" s="249"/>
      <c r="BT278" s="249"/>
      <c r="BW278" s="249"/>
      <c r="BZ278" s="249"/>
      <c r="CC278" s="249"/>
      <c r="CF278" s="249"/>
      <c r="CI278" s="249"/>
      <c r="CL278" s="249"/>
      <c r="CO278" s="249"/>
      <c r="CR278" s="249"/>
      <c r="CU278" s="249"/>
      <c r="CX278" s="249"/>
      <c r="DA278" s="249"/>
      <c r="DD278" s="249"/>
      <c r="DG278" s="249"/>
      <c r="DJ278" s="249"/>
      <c r="DM278" s="249"/>
      <c r="DP278" s="249"/>
      <c r="DS278" s="249"/>
      <c r="DV278" s="249"/>
      <c r="DY278" s="249"/>
      <c r="EB278" s="249"/>
      <c r="EE278" s="249"/>
      <c r="EH278" s="249"/>
      <c r="EK278" s="249"/>
      <c r="EN278" s="249"/>
      <c r="EQ278" s="249"/>
      <c r="ET278" s="249"/>
      <c r="EW278" s="249"/>
      <c r="EZ278" s="249"/>
      <c r="FC278" s="249"/>
      <c r="FF278" s="249"/>
      <c r="FI278" s="249"/>
      <c r="FL278" s="249"/>
      <c r="FO278" s="249"/>
      <c r="FR278" s="249"/>
      <c r="FU278" s="249"/>
      <c r="FX278" s="249"/>
      <c r="GA278" s="249"/>
      <c r="GD278" s="249"/>
      <c r="GG278" s="249"/>
      <c r="GJ278" s="249"/>
      <c r="GM278" s="249"/>
      <c r="GP278" s="249"/>
      <c r="GS278" s="249"/>
      <c r="GV278" s="249"/>
      <c r="GY278" s="249"/>
      <c r="HB278" s="249"/>
      <c r="HE278" s="249"/>
    </row>
    <row r="279" spans="1:213" x14ac:dyDescent="0.2">
      <c r="A279" s="262" t="s">
        <v>220</v>
      </c>
      <c r="B279" s="283">
        <v>5</v>
      </c>
      <c r="C279" s="249" t="s">
        <v>129</v>
      </c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W279" s="249"/>
      <c r="Z279" s="249"/>
      <c r="AC279" s="249"/>
      <c r="AD279" s="249"/>
      <c r="AE279" s="249"/>
      <c r="AF279" s="249"/>
      <c r="AG279" s="249"/>
      <c r="AJ279" s="249"/>
      <c r="AM279" s="249"/>
      <c r="AP279" s="249"/>
      <c r="AS279" s="249"/>
      <c r="AV279" s="249"/>
      <c r="AY279" s="249"/>
      <c r="BB279" s="249"/>
      <c r="BE279" s="249"/>
      <c r="BH279" s="249"/>
      <c r="BK279" s="249"/>
      <c r="BN279" s="249"/>
      <c r="BQ279" s="249"/>
      <c r="BT279" s="249"/>
      <c r="BW279" s="249"/>
      <c r="BZ279" s="249"/>
      <c r="CC279" s="249"/>
      <c r="CF279" s="249"/>
      <c r="CI279" s="249"/>
      <c r="CL279" s="249"/>
      <c r="CO279" s="249"/>
      <c r="CR279" s="249"/>
      <c r="CU279" s="249"/>
      <c r="CX279" s="249"/>
      <c r="DA279" s="249"/>
      <c r="DD279" s="249"/>
      <c r="DG279" s="249"/>
      <c r="DJ279" s="249"/>
      <c r="DM279" s="249"/>
      <c r="DP279" s="249"/>
      <c r="DS279" s="249"/>
      <c r="DV279" s="249"/>
      <c r="DY279" s="249"/>
      <c r="EB279" s="249"/>
      <c r="EE279" s="249"/>
      <c r="EH279" s="249"/>
      <c r="EK279" s="249"/>
      <c r="EN279" s="249"/>
      <c r="EQ279" s="249"/>
      <c r="ET279" s="249"/>
      <c r="EW279" s="249"/>
      <c r="EZ279" s="249"/>
      <c r="FC279" s="249"/>
      <c r="FF279" s="249"/>
      <c r="FI279" s="249"/>
      <c r="FL279" s="249"/>
      <c r="FO279" s="249"/>
      <c r="FR279" s="249"/>
      <c r="FU279" s="249"/>
      <c r="FX279" s="249"/>
      <c r="GA279" s="249"/>
      <c r="GD279" s="249"/>
      <c r="GG279" s="249"/>
      <c r="GJ279" s="249"/>
      <c r="GM279" s="249"/>
      <c r="GP279" s="249"/>
      <c r="GS279" s="249"/>
      <c r="GV279" s="249"/>
      <c r="GY279" s="249"/>
      <c r="HB279" s="249"/>
      <c r="HE279" s="249"/>
    </row>
    <row r="280" spans="1:213" x14ac:dyDescent="0.2">
      <c r="A280" s="262" t="s">
        <v>219</v>
      </c>
      <c r="B280" s="283">
        <v>26</v>
      </c>
      <c r="C280" s="249" t="s">
        <v>130</v>
      </c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W280" s="249"/>
      <c r="Z280" s="249"/>
      <c r="AC280" s="249"/>
      <c r="AD280" s="249"/>
      <c r="AE280" s="249"/>
      <c r="AF280" s="249"/>
      <c r="AG280" s="249"/>
      <c r="AJ280" s="249"/>
      <c r="AM280" s="249"/>
      <c r="AP280" s="249"/>
      <c r="AS280" s="249"/>
      <c r="AV280" s="249"/>
      <c r="AY280" s="249"/>
      <c r="BB280" s="249"/>
      <c r="BE280" s="249"/>
      <c r="BH280" s="249"/>
      <c r="BK280" s="249"/>
      <c r="BN280" s="249"/>
      <c r="BQ280" s="249"/>
      <c r="BT280" s="249"/>
      <c r="BW280" s="249"/>
      <c r="BZ280" s="249"/>
      <c r="CC280" s="249"/>
      <c r="CF280" s="249"/>
      <c r="CI280" s="249"/>
      <c r="CL280" s="249"/>
      <c r="CO280" s="249"/>
      <c r="CR280" s="249"/>
      <c r="CU280" s="249"/>
      <c r="CX280" s="249"/>
      <c r="DA280" s="249"/>
      <c r="DD280" s="249"/>
      <c r="DG280" s="249"/>
      <c r="DJ280" s="249"/>
      <c r="DM280" s="249"/>
      <c r="DP280" s="249"/>
      <c r="DS280" s="249"/>
      <c r="DV280" s="249"/>
      <c r="DY280" s="249"/>
      <c r="EB280" s="249"/>
      <c r="EE280" s="249"/>
      <c r="EH280" s="249"/>
      <c r="EK280" s="249"/>
      <c r="EN280" s="249"/>
      <c r="EQ280" s="249"/>
      <c r="ET280" s="249"/>
      <c r="EW280" s="249"/>
      <c r="EZ280" s="249"/>
      <c r="FC280" s="249"/>
      <c r="FF280" s="249"/>
      <c r="FI280" s="249"/>
      <c r="FL280" s="249"/>
      <c r="FO280" s="249"/>
      <c r="FR280" s="249"/>
      <c r="FU280" s="249"/>
      <c r="FX280" s="249"/>
      <c r="GA280" s="249"/>
      <c r="GD280" s="249"/>
      <c r="GG280" s="249"/>
      <c r="GJ280" s="249"/>
      <c r="GM280" s="249"/>
      <c r="GP280" s="249"/>
      <c r="GS280" s="249"/>
      <c r="GV280" s="249"/>
      <c r="GY280" s="249"/>
      <c r="HB280" s="249"/>
      <c r="HE280" s="249"/>
    </row>
    <row r="281" spans="1:213" x14ac:dyDescent="0.2">
      <c r="A281" s="663" t="s">
        <v>576</v>
      </c>
      <c r="B281" s="663"/>
      <c r="C281" s="66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W281" s="249"/>
      <c r="Z281" s="249"/>
      <c r="AC281" s="249"/>
      <c r="AD281" s="249"/>
      <c r="AE281" s="249"/>
      <c r="AF281" s="249"/>
      <c r="AG281" s="249"/>
      <c r="AJ281" s="249"/>
      <c r="AM281" s="249"/>
      <c r="AP281" s="249"/>
      <c r="AS281" s="249"/>
      <c r="AV281" s="249"/>
      <c r="AY281" s="249"/>
      <c r="BB281" s="249"/>
      <c r="BE281" s="249"/>
      <c r="BH281" s="249"/>
      <c r="BK281" s="249"/>
      <c r="BN281" s="249"/>
      <c r="BQ281" s="249"/>
      <c r="BT281" s="249"/>
      <c r="BW281" s="249"/>
      <c r="BZ281" s="249"/>
      <c r="CC281" s="249"/>
      <c r="CF281" s="249"/>
      <c r="CI281" s="249"/>
      <c r="CL281" s="249"/>
      <c r="CO281" s="249"/>
      <c r="CR281" s="249"/>
      <c r="CU281" s="249"/>
      <c r="CX281" s="249"/>
      <c r="DA281" s="249"/>
      <c r="DD281" s="249"/>
      <c r="DG281" s="249"/>
      <c r="DJ281" s="249"/>
      <c r="DM281" s="249"/>
      <c r="DP281" s="249"/>
      <c r="DS281" s="249"/>
      <c r="DV281" s="249"/>
      <c r="DY281" s="249"/>
      <c r="EB281" s="249"/>
      <c r="EE281" s="249"/>
      <c r="EH281" s="249"/>
      <c r="EK281" s="249"/>
      <c r="EN281" s="249"/>
      <c r="EQ281" s="249"/>
      <c r="ET281" s="249"/>
      <c r="EW281" s="249"/>
      <c r="EZ281" s="249"/>
      <c r="FC281" s="249"/>
      <c r="FF281" s="249"/>
      <c r="FI281" s="249"/>
      <c r="FL281" s="249"/>
      <c r="FO281" s="249"/>
      <c r="FR281" s="249"/>
      <c r="FU281" s="249"/>
      <c r="FX281" s="249"/>
      <c r="GA281" s="249"/>
      <c r="GD281" s="249"/>
      <c r="GG281" s="249"/>
      <c r="GJ281" s="249"/>
      <c r="GM281" s="249"/>
      <c r="GP281" s="249"/>
      <c r="GS281" s="249"/>
      <c r="GV281" s="249"/>
      <c r="GY281" s="249"/>
      <c r="HB281" s="249"/>
      <c r="HE281" s="249"/>
    </row>
    <row r="282" spans="1:213" x14ac:dyDescent="0.2">
      <c r="A282" s="263" t="s">
        <v>577</v>
      </c>
      <c r="B282" s="283">
        <v>1.5</v>
      </c>
      <c r="C282" s="249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W282" s="249"/>
      <c r="Z282" s="249"/>
      <c r="AC282" s="249"/>
      <c r="AD282" s="249"/>
      <c r="AE282" s="249"/>
      <c r="AF282" s="249"/>
      <c r="AG282" s="249"/>
      <c r="AJ282" s="249"/>
      <c r="AM282" s="249"/>
      <c r="AP282" s="249"/>
      <c r="AS282" s="249"/>
      <c r="AV282" s="249"/>
      <c r="AY282" s="249"/>
      <c r="BB282" s="249"/>
      <c r="BE282" s="249"/>
      <c r="BH282" s="249"/>
      <c r="BK282" s="249"/>
      <c r="BN282" s="249"/>
      <c r="BQ282" s="249"/>
      <c r="BT282" s="249"/>
      <c r="BW282" s="249"/>
      <c r="BZ282" s="249"/>
      <c r="CC282" s="249"/>
      <c r="CF282" s="249"/>
      <c r="CI282" s="249"/>
      <c r="CL282" s="249"/>
      <c r="CO282" s="249"/>
      <c r="CR282" s="249"/>
      <c r="CU282" s="249"/>
      <c r="CX282" s="249"/>
      <c r="DA282" s="249"/>
      <c r="DD282" s="249"/>
      <c r="DG282" s="249"/>
      <c r="DJ282" s="249"/>
      <c r="DM282" s="249"/>
      <c r="DP282" s="249"/>
      <c r="DS282" s="249"/>
      <c r="DV282" s="249"/>
      <c r="DY282" s="249"/>
      <c r="EB282" s="249"/>
      <c r="EE282" s="249"/>
      <c r="EH282" s="249"/>
      <c r="EK282" s="249"/>
      <c r="EN282" s="249"/>
      <c r="EQ282" s="249"/>
      <c r="ET282" s="249"/>
      <c r="EW282" s="249"/>
      <c r="EZ282" s="249"/>
      <c r="FC282" s="249"/>
      <c r="FF282" s="249"/>
      <c r="FI282" s="249"/>
      <c r="FL282" s="249"/>
      <c r="FO282" s="249"/>
      <c r="FR282" s="249"/>
      <c r="FU282" s="249"/>
      <c r="FX282" s="249"/>
      <c r="GA282" s="249"/>
      <c r="GD282" s="249"/>
      <c r="GG282" s="249"/>
      <c r="GJ282" s="249"/>
      <c r="GM282" s="249"/>
      <c r="GP282" s="249"/>
      <c r="GS282" s="249"/>
      <c r="GV282" s="249"/>
      <c r="GY282" s="249"/>
      <c r="HB282" s="249"/>
      <c r="HE282" s="249"/>
    </row>
    <row r="283" spans="1:213" x14ac:dyDescent="0.2">
      <c r="A283" s="249" t="s">
        <v>100</v>
      </c>
      <c r="B283" s="283">
        <v>0.3</v>
      </c>
      <c r="C283" s="249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W283" s="249"/>
      <c r="Z283" s="249"/>
      <c r="AC283" s="249"/>
      <c r="AD283" s="249"/>
      <c r="AE283" s="249"/>
      <c r="AF283" s="249"/>
      <c r="AG283" s="249"/>
      <c r="AJ283" s="249"/>
      <c r="AM283" s="249"/>
      <c r="AP283" s="249"/>
      <c r="AS283" s="249"/>
      <c r="AV283" s="249"/>
      <c r="AY283" s="249"/>
      <c r="BB283" s="249"/>
      <c r="BE283" s="249"/>
      <c r="BH283" s="249"/>
      <c r="BK283" s="249"/>
      <c r="BN283" s="249"/>
      <c r="BQ283" s="249"/>
      <c r="BT283" s="249"/>
      <c r="BW283" s="249"/>
      <c r="BZ283" s="249"/>
      <c r="CC283" s="249"/>
      <c r="CF283" s="249"/>
      <c r="CI283" s="249"/>
      <c r="CL283" s="249"/>
      <c r="CO283" s="249"/>
      <c r="CR283" s="249"/>
      <c r="CU283" s="249"/>
      <c r="CX283" s="249"/>
      <c r="DA283" s="249"/>
      <c r="DD283" s="249"/>
      <c r="DG283" s="249"/>
      <c r="DJ283" s="249"/>
      <c r="DM283" s="249"/>
      <c r="DP283" s="249"/>
      <c r="DS283" s="249"/>
      <c r="DV283" s="249"/>
      <c r="DY283" s="249"/>
      <c r="EB283" s="249"/>
      <c r="EE283" s="249"/>
      <c r="EH283" s="249"/>
      <c r="EK283" s="249"/>
      <c r="EN283" s="249"/>
      <c r="EQ283" s="249"/>
      <c r="ET283" s="249"/>
      <c r="EW283" s="249"/>
      <c r="EZ283" s="249"/>
      <c r="FC283" s="249"/>
      <c r="FF283" s="249"/>
      <c r="FI283" s="249"/>
      <c r="FL283" s="249"/>
      <c r="FO283" s="249"/>
      <c r="FR283" s="249"/>
      <c r="FU283" s="249"/>
      <c r="FX283" s="249"/>
      <c r="GA283" s="249"/>
      <c r="GD283" s="249"/>
      <c r="GG283" s="249"/>
      <c r="GJ283" s="249"/>
      <c r="GM283" s="249"/>
      <c r="GP283" s="249"/>
      <c r="GS283" s="249"/>
      <c r="GV283" s="249"/>
      <c r="GY283" s="249"/>
      <c r="HB283" s="249"/>
      <c r="HE283" s="249"/>
    </row>
    <row r="284" spans="1:213" x14ac:dyDescent="0.2">
      <c r="A284" s="249" t="s">
        <v>107</v>
      </c>
      <c r="B284" s="283">
        <v>26</v>
      </c>
      <c r="C284" s="249" t="s">
        <v>69</v>
      </c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W284" s="249"/>
      <c r="Z284" s="249"/>
      <c r="AC284" s="249"/>
      <c r="AD284" s="249"/>
      <c r="AE284" s="249"/>
      <c r="AF284" s="249"/>
      <c r="AG284" s="249"/>
      <c r="AJ284" s="249"/>
      <c r="AM284" s="249"/>
      <c r="AP284" s="249"/>
      <c r="AS284" s="249"/>
      <c r="AV284" s="249"/>
      <c r="AY284" s="249"/>
      <c r="BB284" s="249"/>
      <c r="BE284" s="249"/>
      <c r="BH284" s="249"/>
      <c r="BK284" s="249"/>
      <c r="BN284" s="249"/>
      <c r="BQ284" s="249"/>
      <c r="BT284" s="249"/>
      <c r="BW284" s="249"/>
      <c r="BZ284" s="249"/>
      <c r="CC284" s="249"/>
      <c r="CF284" s="249"/>
      <c r="CI284" s="249"/>
      <c r="CL284" s="249"/>
      <c r="CO284" s="249"/>
      <c r="CR284" s="249"/>
      <c r="CU284" s="249"/>
      <c r="CX284" s="249"/>
      <c r="DA284" s="249"/>
      <c r="DD284" s="249"/>
      <c r="DG284" s="249"/>
      <c r="DJ284" s="249"/>
      <c r="DM284" s="249"/>
      <c r="DP284" s="249"/>
      <c r="DS284" s="249"/>
      <c r="DV284" s="249"/>
      <c r="DY284" s="249"/>
      <c r="EB284" s="249"/>
      <c r="EE284" s="249"/>
      <c r="EH284" s="249"/>
      <c r="EK284" s="249"/>
      <c r="EN284" s="249"/>
      <c r="EQ284" s="249"/>
      <c r="ET284" s="249"/>
      <c r="EW284" s="249"/>
      <c r="EZ284" s="249"/>
      <c r="FC284" s="249"/>
      <c r="FF284" s="249"/>
      <c r="FI284" s="249"/>
      <c r="FL284" s="249"/>
      <c r="FO284" s="249"/>
      <c r="FR284" s="249"/>
      <c r="FU284" s="249"/>
      <c r="FX284" s="249"/>
      <c r="GA284" s="249"/>
      <c r="GD284" s="249"/>
      <c r="GG284" s="249"/>
      <c r="GJ284" s="249"/>
      <c r="GM284" s="249"/>
      <c r="GP284" s="249"/>
      <c r="GS284" s="249"/>
      <c r="GV284" s="249"/>
      <c r="GY284" s="249"/>
      <c r="HB284" s="249"/>
      <c r="HE284" s="249"/>
    </row>
    <row r="285" spans="1:213" x14ac:dyDescent="0.2">
      <c r="A285" s="263" t="s">
        <v>39</v>
      </c>
      <c r="B285" s="283">
        <v>70</v>
      </c>
      <c r="C285" s="249" t="s">
        <v>69</v>
      </c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W285" s="249"/>
      <c r="Z285" s="249"/>
      <c r="AC285" s="249"/>
      <c r="AD285" s="249"/>
      <c r="AE285" s="249"/>
      <c r="AF285" s="249"/>
      <c r="AG285" s="249"/>
      <c r="AJ285" s="249"/>
      <c r="AM285" s="249"/>
      <c r="AP285" s="249"/>
      <c r="AS285" s="249"/>
      <c r="AV285" s="249"/>
      <c r="AY285" s="249"/>
      <c r="BB285" s="249"/>
      <c r="BE285" s="249"/>
      <c r="BH285" s="249"/>
      <c r="BK285" s="249"/>
      <c r="BN285" s="249"/>
      <c r="BQ285" s="249"/>
      <c r="BT285" s="249"/>
      <c r="BW285" s="249"/>
      <c r="BZ285" s="249"/>
      <c r="CC285" s="249"/>
      <c r="CF285" s="249"/>
      <c r="CI285" s="249"/>
      <c r="CL285" s="249"/>
      <c r="CO285" s="249"/>
      <c r="CR285" s="249"/>
      <c r="CU285" s="249"/>
      <c r="CX285" s="249"/>
      <c r="DA285" s="249"/>
      <c r="DD285" s="249"/>
      <c r="DG285" s="249"/>
      <c r="DJ285" s="249"/>
      <c r="DM285" s="249"/>
      <c r="DP285" s="249"/>
      <c r="DS285" s="249"/>
      <c r="DV285" s="249"/>
      <c r="DY285" s="249"/>
      <c r="EB285" s="249"/>
      <c r="EE285" s="249"/>
      <c r="EH285" s="249"/>
      <c r="EK285" s="249"/>
      <c r="EN285" s="249"/>
      <c r="EQ285" s="249"/>
      <c r="ET285" s="249"/>
      <c r="EW285" s="249"/>
      <c r="EZ285" s="249"/>
      <c r="FC285" s="249"/>
      <c r="FF285" s="249"/>
      <c r="FI285" s="249"/>
      <c r="FL285" s="249"/>
      <c r="FO285" s="249"/>
      <c r="FR285" s="249"/>
      <c r="FU285" s="249"/>
      <c r="FX285" s="249"/>
      <c r="GA285" s="249"/>
      <c r="GD285" s="249"/>
      <c r="GG285" s="249"/>
      <c r="GJ285" s="249"/>
      <c r="GM285" s="249"/>
      <c r="GP285" s="249"/>
      <c r="GS285" s="249"/>
      <c r="GV285" s="249"/>
      <c r="GY285" s="249"/>
      <c r="HB285" s="249"/>
      <c r="HE285" s="249"/>
    </row>
    <row r="286" spans="1:213" x14ac:dyDescent="0.2">
      <c r="A286" s="263" t="s">
        <v>83</v>
      </c>
      <c r="B286" s="283">
        <v>1</v>
      </c>
      <c r="C286" s="249" t="s">
        <v>108</v>
      </c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W286" s="249"/>
      <c r="Z286" s="249"/>
      <c r="AC286" s="249"/>
      <c r="AD286" s="249"/>
      <c r="AE286" s="249"/>
      <c r="AF286" s="249"/>
      <c r="AG286" s="249"/>
      <c r="AJ286" s="249"/>
      <c r="AM286" s="249"/>
      <c r="AP286" s="249"/>
      <c r="AS286" s="249"/>
      <c r="AV286" s="249"/>
      <c r="AY286" s="249"/>
      <c r="BB286" s="249"/>
      <c r="BE286" s="249"/>
      <c r="BH286" s="249"/>
      <c r="BK286" s="249"/>
      <c r="BN286" s="249"/>
      <c r="BQ286" s="249"/>
      <c r="BT286" s="249"/>
      <c r="BW286" s="249"/>
      <c r="BZ286" s="249"/>
      <c r="CC286" s="249"/>
      <c r="CF286" s="249"/>
      <c r="CI286" s="249"/>
      <c r="CL286" s="249"/>
      <c r="CO286" s="249"/>
      <c r="CR286" s="249"/>
      <c r="CU286" s="249"/>
      <c r="CX286" s="249"/>
      <c r="DA286" s="249"/>
      <c r="DD286" s="249"/>
      <c r="DG286" s="249"/>
      <c r="DJ286" s="249"/>
      <c r="DM286" s="249"/>
      <c r="DP286" s="249"/>
      <c r="DS286" s="249"/>
      <c r="DV286" s="249"/>
      <c r="DY286" s="249"/>
      <c r="EB286" s="249"/>
      <c r="EE286" s="249"/>
      <c r="EH286" s="249"/>
      <c r="EK286" s="249"/>
      <c r="EN286" s="249"/>
      <c r="EQ286" s="249"/>
      <c r="ET286" s="249"/>
      <c r="EW286" s="249"/>
      <c r="EZ286" s="249"/>
      <c r="FC286" s="249"/>
      <c r="FF286" s="249"/>
      <c r="FI286" s="249"/>
      <c r="FL286" s="249"/>
      <c r="FO286" s="249"/>
      <c r="FR286" s="249"/>
      <c r="FU286" s="249"/>
      <c r="FX286" s="249"/>
      <c r="GA286" s="249"/>
      <c r="GD286" s="249"/>
      <c r="GG286" s="249"/>
      <c r="GJ286" s="249"/>
      <c r="GM286" s="249"/>
      <c r="GP286" s="249"/>
      <c r="GS286" s="249"/>
      <c r="GV286" s="249"/>
      <c r="GY286" s="249"/>
      <c r="HB286" s="249"/>
      <c r="HE286" s="249"/>
    </row>
    <row r="287" spans="1:213" x14ac:dyDescent="0.2">
      <c r="A287" s="249" t="s">
        <v>109</v>
      </c>
      <c r="B287" s="283">
        <v>1</v>
      </c>
      <c r="C287" s="249" t="s">
        <v>110</v>
      </c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W287" s="249"/>
      <c r="Z287" s="249"/>
      <c r="AC287" s="249"/>
      <c r="AD287" s="249"/>
      <c r="AE287" s="249"/>
      <c r="AF287" s="249"/>
      <c r="AG287" s="249"/>
      <c r="AJ287" s="249"/>
      <c r="AM287" s="249"/>
      <c r="AP287" s="249"/>
      <c r="AS287" s="249"/>
      <c r="AV287" s="249"/>
      <c r="AY287" s="249"/>
      <c r="BB287" s="249"/>
      <c r="BE287" s="249"/>
      <c r="BH287" s="249"/>
      <c r="BK287" s="249"/>
      <c r="BN287" s="249"/>
      <c r="BQ287" s="249"/>
      <c r="BT287" s="249"/>
      <c r="BW287" s="249"/>
      <c r="BZ287" s="249"/>
      <c r="CC287" s="249"/>
      <c r="CF287" s="249"/>
      <c r="CI287" s="249"/>
      <c r="CL287" s="249"/>
      <c r="CO287" s="249"/>
      <c r="CR287" s="249"/>
      <c r="CU287" s="249"/>
      <c r="CX287" s="249"/>
      <c r="DA287" s="249"/>
      <c r="DD287" s="249"/>
      <c r="DG287" s="249"/>
      <c r="DJ287" s="249"/>
      <c r="DM287" s="249"/>
      <c r="DP287" s="249"/>
      <c r="DS287" s="249"/>
      <c r="DV287" s="249"/>
      <c r="DY287" s="249"/>
      <c r="EB287" s="249"/>
      <c r="EE287" s="249"/>
      <c r="EH287" s="249"/>
      <c r="EK287" s="249"/>
      <c r="EN287" s="249"/>
      <c r="EQ287" s="249"/>
      <c r="ET287" s="249"/>
      <c r="EW287" s="249"/>
      <c r="EZ287" s="249"/>
      <c r="FC287" s="249"/>
      <c r="FF287" s="249"/>
      <c r="FI287" s="249"/>
      <c r="FL287" s="249"/>
      <c r="FO287" s="249"/>
      <c r="FR287" s="249"/>
      <c r="FU287" s="249"/>
      <c r="FX287" s="249"/>
      <c r="GA287" s="249"/>
      <c r="GD287" s="249"/>
      <c r="GG287" s="249"/>
      <c r="GJ287" s="249"/>
      <c r="GM287" s="249"/>
      <c r="GP287" s="249"/>
      <c r="GS287" s="249"/>
      <c r="GV287" s="249"/>
      <c r="GY287" s="249"/>
      <c r="HB287" s="249"/>
      <c r="HE287" s="249"/>
    </row>
    <row r="288" spans="1:213" x14ac:dyDescent="0.2">
      <c r="A288" s="249" t="s">
        <v>114</v>
      </c>
      <c r="B288" s="283">
        <v>0.18</v>
      </c>
      <c r="C288" s="249" t="s">
        <v>108</v>
      </c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W288" s="249"/>
      <c r="Z288" s="249"/>
      <c r="AC288" s="249"/>
      <c r="AD288" s="249"/>
      <c r="AE288" s="249"/>
      <c r="AF288" s="249"/>
      <c r="AG288" s="249"/>
      <c r="AJ288" s="249"/>
      <c r="AM288" s="249"/>
      <c r="AP288" s="249"/>
      <c r="AS288" s="249"/>
      <c r="AV288" s="249"/>
      <c r="AY288" s="249"/>
      <c r="BB288" s="249"/>
      <c r="BE288" s="249"/>
      <c r="BH288" s="249"/>
      <c r="BK288" s="249"/>
      <c r="BN288" s="249"/>
      <c r="BQ288" s="249"/>
      <c r="BT288" s="249"/>
      <c r="BW288" s="249"/>
      <c r="BZ288" s="249"/>
      <c r="CC288" s="249"/>
      <c r="CF288" s="249"/>
      <c r="CI288" s="249"/>
      <c r="CL288" s="249"/>
      <c r="CO288" s="249"/>
      <c r="CR288" s="249"/>
      <c r="CU288" s="249"/>
      <c r="CX288" s="249"/>
      <c r="DA288" s="249"/>
      <c r="DD288" s="249"/>
      <c r="DG288" s="249"/>
      <c r="DJ288" s="249"/>
      <c r="DM288" s="249"/>
      <c r="DP288" s="249"/>
      <c r="DS288" s="249"/>
      <c r="DV288" s="249"/>
      <c r="DY288" s="249"/>
      <c r="EB288" s="249"/>
      <c r="EE288" s="249"/>
      <c r="EH288" s="249"/>
      <c r="EK288" s="249"/>
      <c r="EN288" s="249"/>
      <c r="EQ288" s="249"/>
      <c r="ET288" s="249"/>
      <c r="EW288" s="249"/>
      <c r="EZ288" s="249"/>
      <c r="FC288" s="249"/>
      <c r="FF288" s="249"/>
      <c r="FI288" s="249"/>
      <c r="FL288" s="249"/>
      <c r="FO288" s="249"/>
      <c r="FR288" s="249"/>
      <c r="FU288" s="249"/>
      <c r="FX288" s="249"/>
      <c r="GA288" s="249"/>
      <c r="GD288" s="249"/>
      <c r="GG288" s="249"/>
      <c r="GJ288" s="249"/>
      <c r="GM288" s="249"/>
      <c r="GP288" s="249"/>
      <c r="GS288" s="249"/>
      <c r="GV288" s="249"/>
      <c r="GY288" s="249"/>
      <c r="HB288" s="249"/>
      <c r="HE288" s="249"/>
    </row>
    <row r="289" spans="1:213" x14ac:dyDescent="0.2">
      <c r="A289" s="249" t="s">
        <v>116</v>
      </c>
      <c r="B289" s="283">
        <v>1</v>
      </c>
      <c r="C289" s="249" t="s">
        <v>113</v>
      </c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W289" s="249"/>
      <c r="Z289" s="249"/>
      <c r="AC289" s="249"/>
      <c r="AD289" s="249"/>
      <c r="AE289" s="249"/>
      <c r="AF289" s="249"/>
      <c r="AG289" s="249"/>
      <c r="AJ289" s="249"/>
      <c r="AM289" s="249"/>
      <c r="AP289" s="249"/>
      <c r="AS289" s="249"/>
      <c r="AV289" s="249"/>
      <c r="AY289" s="249"/>
      <c r="BB289" s="249"/>
      <c r="BE289" s="249"/>
      <c r="BH289" s="249"/>
      <c r="BK289" s="249"/>
      <c r="BN289" s="249"/>
      <c r="BQ289" s="249"/>
      <c r="BT289" s="249"/>
      <c r="BW289" s="249"/>
      <c r="BZ289" s="249"/>
      <c r="CC289" s="249"/>
      <c r="CF289" s="249"/>
      <c r="CI289" s="249"/>
      <c r="CL289" s="249"/>
      <c r="CO289" s="249"/>
      <c r="CR289" s="249"/>
      <c r="CU289" s="249"/>
      <c r="CX289" s="249"/>
      <c r="DA289" s="249"/>
      <c r="DD289" s="249"/>
      <c r="DG289" s="249"/>
      <c r="DJ289" s="249"/>
      <c r="DM289" s="249"/>
      <c r="DP289" s="249"/>
      <c r="DS289" s="249"/>
      <c r="DV289" s="249"/>
      <c r="DY289" s="249"/>
      <c r="EB289" s="249"/>
      <c r="EE289" s="249"/>
      <c r="EH289" s="249"/>
      <c r="EK289" s="249"/>
      <c r="EN289" s="249"/>
      <c r="EQ289" s="249"/>
      <c r="ET289" s="249"/>
      <c r="EW289" s="249"/>
      <c r="EZ289" s="249"/>
      <c r="FC289" s="249"/>
      <c r="FF289" s="249"/>
      <c r="FI289" s="249"/>
      <c r="FL289" s="249"/>
      <c r="FO289" s="249"/>
      <c r="FR289" s="249"/>
      <c r="FU289" s="249"/>
      <c r="FX289" s="249"/>
      <c r="GA289" s="249"/>
      <c r="GD289" s="249"/>
      <c r="GG289" s="249"/>
      <c r="GJ289" s="249"/>
      <c r="GM289" s="249"/>
      <c r="GP289" s="249"/>
      <c r="GS289" s="249"/>
      <c r="GV289" s="249"/>
      <c r="GY289" s="249"/>
      <c r="HB289" s="249"/>
      <c r="HE289" s="249"/>
    </row>
    <row r="290" spans="1:213" x14ac:dyDescent="0.2">
      <c r="A290" s="249" t="s">
        <v>118</v>
      </c>
      <c r="B290" s="283">
        <v>1</v>
      </c>
      <c r="C290" s="249" t="s">
        <v>113</v>
      </c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W290" s="249"/>
      <c r="Z290" s="249"/>
      <c r="AC290" s="249"/>
      <c r="AD290" s="249"/>
      <c r="AE290" s="249"/>
      <c r="AF290" s="249"/>
      <c r="AG290" s="249"/>
      <c r="AJ290" s="249"/>
      <c r="AM290" s="249"/>
      <c r="AP290" s="249"/>
      <c r="AS290" s="249"/>
      <c r="AV290" s="249"/>
      <c r="AY290" s="249"/>
      <c r="BB290" s="249"/>
      <c r="BE290" s="249"/>
      <c r="BH290" s="249"/>
      <c r="BK290" s="249"/>
      <c r="BN290" s="249"/>
      <c r="BQ290" s="249"/>
      <c r="BT290" s="249"/>
      <c r="BW290" s="249"/>
      <c r="BZ290" s="249"/>
      <c r="CC290" s="249"/>
      <c r="CF290" s="249"/>
      <c r="CI290" s="249"/>
      <c r="CL290" s="249"/>
      <c r="CO290" s="249"/>
      <c r="CR290" s="249"/>
      <c r="CU290" s="249"/>
      <c r="CX290" s="249"/>
      <c r="DA290" s="249"/>
      <c r="DD290" s="249"/>
      <c r="DG290" s="249"/>
      <c r="DJ290" s="249"/>
      <c r="DM290" s="249"/>
      <c r="DP290" s="249"/>
      <c r="DS290" s="249"/>
      <c r="DV290" s="249"/>
      <c r="DY290" s="249"/>
      <c r="EB290" s="249"/>
      <c r="EE290" s="249"/>
      <c r="EH290" s="249"/>
      <c r="EK290" s="249"/>
      <c r="EN290" s="249"/>
      <c r="EQ290" s="249"/>
      <c r="ET290" s="249"/>
      <c r="EW290" s="249"/>
      <c r="EZ290" s="249"/>
      <c r="FC290" s="249"/>
      <c r="FF290" s="249"/>
      <c r="FI290" s="249"/>
      <c r="FL290" s="249"/>
      <c r="FO290" s="249"/>
      <c r="FR290" s="249"/>
      <c r="FU290" s="249"/>
      <c r="FX290" s="249"/>
      <c r="GA290" s="249"/>
      <c r="GD290" s="249"/>
      <c r="GG290" s="249"/>
      <c r="GJ290" s="249"/>
      <c r="GM290" s="249"/>
      <c r="GP290" s="249"/>
      <c r="GS290" s="249"/>
      <c r="GV290" s="249"/>
      <c r="GY290" s="249"/>
      <c r="HB290" s="249"/>
      <c r="HE290" s="249"/>
    </row>
    <row r="291" spans="1:213" x14ac:dyDescent="0.2">
      <c r="A291" s="249" t="s">
        <v>119</v>
      </c>
      <c r="B291" s="283">
        <v>1</v>
      </c>
      <c r="C291" s="249" t="s">
        <v>113</v>
      </c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W291" s="249"/>
      <c r="Z291" s="249"/>
      <c r="AC291" s="249"/>
      <c r="AD291" s="249"/>
      <c r="AE291" s="249"/>
      <c r="AF291" s="249"/>
      <c r="AG291" s="249"/>
      <c r="AJ291" s="249"/>
      <c r="AM291" s="249"/>
      <c r="AP291" s="249"/>
      <c r="AS291" s="249"/>
      <c r="AV291" s="249"/>
      <c r="AY291" s="249"/>
      <c r="BB291" s="249"/>
      <c r="BE291" s="249"/>
      <c r="BH291" s="249"/>
      <c r="BK291" s="249"/>
      <c r="BN291" s="249"/>
      <c r="BQ291" s="249"/>
      <c r="BT291" s="249"/>
      <c r="BW291" s="249"/>
      <c r="BZ291" s="249"/>
      <c r="CC291" s="249"/>
      <c r="CF291" s="249"/>
      <c r="CI291" s="249"/>
      <c r="CL291" s="249"/>
      <c r="CO291" s="249"/>
      <c r="CR291" s="249"/>
      <c r="CU291" s="249"/>
      <c r="CX291" s="249"/>
      <c r="DA291" s="249"/>
      <c r="DD291" s="249"/>
      <c r="DG291" s="249"/>
      <c r="DJ291" s="249"/>
      <c r="DM291" s="249"/>
      <c r="DP291" s="249"/>
      <c r="DS291" s="249"/>
      <c r="DV291" s="249"/>
      <c r="DY291" s="249"/>
      <c r="EB291" s="249"/>
      <c r="EE291" s="249"/>
      <c r="EH291" s="249"/>
      <c r="EK291" s="249"/>
      <c r="EN291" s="249"/>
      <c r="EQ291" s="249"/>
      <c r="ET291" s="249"/>
      <c r="EW291" s="249"/>
      <c r="EZ291" s="249"/>
      <c r="FC291" s="249"/>
      <c r="FF291" s="249"/>
      <c r="FI291" s="249"/>
      <c r="FL291" s="249"/>
      <c r="FO291" s="249"/>
      <c r="FR291" s="249"/>
      <c r="FU291" s="249"/>
      <c r="FX291" s="249"/>
      <c r="GA291" s="249"/>
      <c r="GD291" s="249"/>
      <c r="GG291" s="249"/>
      <c r="GJ291" s="249"/>
      <c r="GM291" s="249"/>
      <c r="GP291" s="249"/>
      <c r="GS291" s="249"/>
      <c r="GV291" s="249"/>
      <c r="GY291" s="249"/>
      <c r="HB291" s="249"/>
      <c r="HE291" s="249"/>
    </row>
  </sheetData>
  <mergeCells count="335">
    <mergeCell ref="CC35:CG38"/>
    <mergeCell ref="BK40:BO43"/>
    <mergeCell ref="AF42:AH44"/>
    <mergeCell ref="A281:C281"/>
    <mergeCell ref="FW1:FY1"/>
    <mergeCell ref="D41:F41"/>
    <mergeCell ref="BA21:BA23"/>
    <mergeCell ref="BB21:BB23"/>
    <mergeCell ref="BC21:BC23"/>
    <mergeCell ref="BD21:BD23"/>
    <mergeCell ref="BE21:BE23"/>
    <mergeCell ref="BF21:BF23"/>
    <mergeCell ref="BJ21:BJ23"/>
    <mergeCell ref="BK21:BK23"/>
    <mergeCell ref="BL21:BL23"/>
    <mergeCell ref="AL21:AL23"/>
    <mergeCell ref="AM21:AM23"/>
    <mergeCell ref="AN21:AN23"/>
    <mergeCell ref="AR21:AR23"/>
    <mergeCell ref="AS21:AS23"/>
    <mergeCell ref="AT21:AT23"/>
    <mergeCell ref="AU21:AU23"/>
    <mergeCell ref="AV21:AV23"/>
    <mergeCell ref="BD20:BF20"/>
    <mergeCell ref="BJ20:BL20"/>
    <mergeCell ref="AW21:AW23"/>
    <mergeCell ref="M21:M23"/>
    <mergeCell ref="N21:N23"/>
    <mergeCell ref="O21:O23"/>
    <mergeCell ref="P21:P23"/>
    <mergeCell ref="Q21:Q23"/>
    <mergeCell ref="R21:R23"/>
    <mergeCell ref="AI21:AI23"/>
    <mergeCell ref="AJ21:AJ23"/>
    <mergeCell ref="AK21:AK23"/>
    <mergeCell ref="V23:X23"/>
    <mergeCell ref="Y23:AA23"/>
    <mergeCell ref="A230:C230"/>
    <mergeCell ref="AR2:AR4"/>
    <mergeCell ref="Q2:Q4"/>
    <mergeCell ref="R2:R4"/>
    <mergeCell ref="S2:S4"/>
    <mergeCell ref="T2:T4"/>
    <mergeCell ref="U2:U4"/>
    <mergeCell ref="V1:X1"/>
    <mergeCell ref="Y1:AA1"/>
    <mergeCell ref="AB1:AB4"/>
    <mergeCell ref="AI1:AK1"/>
    <mergeCell ref="AL1:AN1"/>
    <mergeCell ref="AO1:AQ1"/>
    <mergeCell ref="AR1:AT1"/>
    <mergeCell ref="M20:O20"/>
    <mergeCell ref="P20:R20"/>
    <mergeCell ref="AI20:AK20"/>
    <mergeCell ref="AL20:AN20"/>
    <mergeCell ref="AR20:AT20"/>
    <mergeCell ref="D29:F29"/>
    <mergeCell ref="AN2:AN4"/>
    <mergeCell ref="AO2:AO4"/>
    <mergeCell ref="AP2:AP4"/>
    <mergeCell ref="AQ2:AQ4"/>
    <mergeCell ref="A132:C132"/>
    <mergeCell ref="A218:C218"/>
    <mergeCell ref="AU20:AW20"/>
    <mergeCell ref="BA20:BC20"/>
    <mergeCell ref="BB2:BB4"/>
    <mergeCell ref="BC2:BC4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242:C242"/>
    <mergeCell ref="A254:C254"/>
    <mergeCell ref="A268:C268"/>
    <mergeCell ref="D1:F1"/>
    <mergeCell ref="G1:I1"/>
    <mergeCell ref="J1:L1"/>
    <mergeCell ref="M1:O1"/>
    <mergeCell ref="P1:R1"/>
    <mergeCell ref="S1:U1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A1:C1"/>
    <mergeCell ref="A50:C50"/>
    <mergeCell ref="A98:C98"/>
    <mergeCell ref="A2:C2"/>
    <mergeCell ref="A14:C17"/>
    <mergeCell ref="AS2:AS4"/>
    <mergeCell ref="AT2:AT4"/>
    <mergeCell ref="AU2:AU4"/>
    <mergeCell ref="AV2:AV4"/>
    <mergeCell ref="AW2:AW4"/>
    <mergeCell ref="AX2:AX4"/>
    <mergeCell ref="AY2:AY4"/>
    <mergeCell ref="BA1:BC1"/>
    <mergeCell ref="BD1:BF1"/>
    <mergeCell ref="BD2:BD4"/>
    <mergeCell ref="BE2:BE4"/>
    <mergeCell ref="BF2:BF4"/>
    <mergeCell ref="AU1:AW1"/>
    <mergeCell ref="AX1:AZ1"/>
    <mergeCell ref="AZ2:AZ4"/>
    <mergeCell ref="BA2:BA4"/>
    <mergeCell ref="BG1:BI1"/>
    <mergeCell ref="BJ1:BL1"/>
    <mergeCell ref="BM1:BO1"/>
    <mergeCell ref="BP1:BR1"/>
    <mergeCell ref="BS1:BU1"/>
    <mergeCell ref="BV1:BX1"/>
    <mergeCell ref="BY1:CA1"/>
    <mergeCell ref="CB1:CD1"/>
    <mergeCell ref="CE1:CG1"/>
    <mergeCell ref="CH1:CJ1"/>
    <mergeCell ref="CK1:CM1"/>
    <mergeCell ref="CN1:CP1"/>
    <mergeCell ref="CQ1:CS1"/>
    <mergeCell ref="CT1:CV1"/>
    <mergeCell ref="CW1:CY1"/>
    <mergeCell ref="CZ1:DB1"/>
    <mergeCell ref="DC1:DE1"/>
    <mergeCell ref="DF1:DH1"/>
    <mergeCell ref="DI1:DK1"/>
    <mergeCell ref="DL1:DN1"/>
    <mergeCell ref="DO1:DQ1"/>
    <mergeCell ref="DR1:DT1"/>
    <mergeCell ref="DU1:DW1"/>
    <mergeCell ref="DX1:DZ1"/>
    <mergeCell ref="EA1:EC1"/>
    <mergeCell ref="ED1:EF1"/>
    <mergeCell ref="EG1:EI1"/>
    <mergeCell ref="EJ1:EL1"/>
    <mergeCell ref="EM1:EO1"/>
    <mergeCell ref="EP1:ER1"/>
    <mergeCell ref="ES1:EU1"/>
    <mergeCell ref="EV1:EX1"/>
    <mergeCell ref="EY1:FA1"/>
    <mergeCell ref="FB1:FD1"/>
    <mergeCell ref="FE1:FG1"/>
    <mergeCell ref="FH1:FJ1"/>
    <mergeCell ref="FK1:FM1"/>
    <mergeCell ref="FN1:FP1"/>
    <mergeCell ref="FQ1:FS1"/>
    <mergeCell ref="FT1:FV1"/>
    <mergeCell ref="FZ1:GB1"/>
    <mergeCell ref="GC1:GE1"/>
    <mergeCell ref="GF1:GH1"/>
    <mergeCell ref="GI1:GK1"/>
    <mergeCell ref="GL1:GN1"/>
    <mergeCell ref="GO1:GQ1"/>
    <mergeCell ref="GR1:GT1"/>
    <mergeCell ref="GU1:GW1"/>
    <mergeCell ref="GX1:GZ1"/>
    <mergeCell ref="HA1:HC1"/>
    <mergeCell ref="HD1:HF1"/>
    <mergeCell ref="BG2:BG4"/>
    <mergeCell ref="BH2:BH4"/>
    <mergeCell ref="BI2:BI4"/>
    <mergeCell ref="BJ2:BJ4"/>
    <mergeCell ref="BK2:BK4"/>
    <mergeCell ref="BL2:BL4"/>
    <mergeCell ref="BM2:BM4"/>
    <mergeCell ref="BN2:BN4"/>
    <mergeCell ref="BO2:BO4"/>
    <mergeCell ref="BP2:BP4"/>
    <mergeCell ref="BQ2:BQ4"/>
    <mergeCell ref="BR2:BR4"/>
    <mergeCell ref="BV2:BV4"/>
    <mergeCell ref="BW2:BW4"/>
    <mergeCell ref="BX2:BX4"/>
    <mergeCell ref="BY2:BY4"/>
    <mergeCell ref="BZ2:BZ4"/>
    <mergeCell ref="CA2:CA4"/>
    <mergeCell ref="CB2:CB4"/>
    <mergeCell ref="CC2:CC4"/>
    <mergeCell ref="CD2:CD4"/>
    <mergeCell ref="CE2:CE4"/>
    <mergeCell ref="CF2:CF4"/>
    <mergeCell ref="CG2:CG4"/>
    <mergeCell ref="CH2:CH4"/>
    <mergeCell ref="CI2:CI4"/>
    <mergeCell ref="CJ2:CJ4"/>
    <mergeCell ref="CK2:CK4"/>
    <mergeCell ref="CL2:CL4"/>
    <mergeCell ref="CM2:CM4"/>
    <mergeCell ref="CN2:CN4"/>
    <mergeCell ref="CO2:CO4"/>
    <mergeCell ref="CP2:CP4"/>
    <mergeCell ref="CQ2:CQ4"/>
    <mergeCell ref="CR2:CR4"/>
    <mergeCell ref="CS2:CS4"/>
    <mergeCell ref="DC2:DC4"/>
    <mergeCell ref="DD2:DD4"/>
    <mergeCell ref="DE2:DE4"/>
    <mergeCell ref="DF2:DF4"/>
    <mergeCell ref="DG2:DG4"/>
    <mergeCell ref="DH2:DH4"/>
    <mergeCell ref="DI2:DI4"/>
    <mergeCell ref="DJ2:DJ4"/>
    <mergeCell ref="DK2:DK4"/>
    <mergeCell ref="DL2:DL4"/>
    <mergeCell ref="DM2:DM4"/>
    <mergeCell ref="DN2:DN4"/>
    <mergeCell ref="DO2:DO4"/>
    <mergeCell ref="DP2:DP4"/>
    <mergeCell ref="DQ2:DQ4"/>
    <mergeCell ref="DR2:DR4"/>
    <mergeCell ref="DS2:DS4"/>
    <mergeCell ref="DT2:DT4"/>
    <mergeCell ref="DU2:DU4"/>
    <mergeCell ref="DV2:DV4"/>
    <mergeCell ref="DW2:DW4"/>
    <mergeCell ref="DX2:DX4"/>
    <mergeCell ref="DY2:DY4"/>
    <mergeCell ref="DZ2:DZ4"/>
    <mergeCell ref="EA2:EA4"/>
    <mergeCell ref="EB2:EB4"/>
    <mergeCell ref="EC2:EC4"/>
    <mergeCell ref="ED2:ED4"/>
    <mergeCell ref="EE2:EE4"/>
    <mergeCell ref="EF2:EF4"/>
    <mergeCell ref="EG2:EG4"/>
    <mergeCell ref="EH2:EH4"/>
    <mergeCell ref="EI2:EI4"/>
    <mergeCell ref="EJ2:EJ4"/>
    <mergeCell ref="EK2:EK4"/>
    <mergeCell ref="EL2:EL4"/>
    <mergeCell ref="EM2:EM4"/>
    <mergeCell ref="EN2:EN4"/>
    <mergeCell ref="EO2:EO4"/>
    <mergeCell ref="EP2:EP4"/>
    <mergeCell ref="EQ2:EQ4"/>
    <mergeCell ref="ER2:ER4"/>
    <mergeCell ref="ES2:ES4"/>
    <mergeCell ref="ET2:ET4"/>
    <mergeCell ref="EU2:EU4"/>
    <mergeCell ref="EV2:EV4"/>
    <mergeCell ref="EW2:EW4"/>
    <mergeCell ref="EX2:EX4"/>
    <mergeCell ref="EY2:EY4"/>
    <mergeCell ref="EZ2:EZ4"/>
    <mergeCell ref="FA2:FA4"/>
    <mergeCell ref="FB2:FB4"/>
    <mergeCell ref="FC2:FC4"/>
    <mergeCell ref="FD2:FD4"/>
    <mergeCell ref="FE2:FE4"/>
    <mergeCell ref="FF2:FF4"/>
    <mergeCell ref="FG2:FG4"/>
    <mergeCell ref="FH2:FH4"/>
    <mergeCell ref="FI2:FI4"/>
    <mergeCell ref="FJ2:FJ4"/>
    <mergeCell ref="FK2:FK4"/>
    <mergeCell ref="FL2:FL4"/>
    <mergeCell ref="FM2:FM4"/>
    <mergeCell ref="FN2:FN4"/>
    <mergeCell ref="FO2:FO4"/>
    <mergeCell ref="FP2:FP4"/>
    <mergeCell ref="FQ2:FQ4"/>
    <mergeCell ref="FR2:FR4"/>
    <mergeCell ref="FS2:FS4"/>
    <mergeCell ref="FT2:FT4"/>
    <mergeCell ref="FU2:FU4"/>
    <mergeCell ref="FV2:FV4"/>
    <mergeCell ref="GZ2:GZ4"/>
    <mergeCell ref="HA2:HA4"/>
    <mergeCell ref="HB2:HB4"/>
    <mergeCell ref="HC2:HC4"/>
    <mergeCell ref="CS19:CS21"/>
    <mergeCell ref="GO2:GO4"/>
    <mergeCell ref="GP2:GP4"/>
    <mergeCell ref="GQ2:GQ4"/>
    <mergeCell ref="GR2:GR4"/>
    <mergeCell ref="GS2:GS4"/>
    <mergeCell ref="GT2:GT4"/>
    <mergeCell ref="GU2:GU4"/>
    <mergeCell ref="GV2:GV4"/>
    <mergeCell ref="GW2:GW4"/>
    <mergeCell ref="GF2:GF4"/>
    <mergeCell ref="GG2:GG4"/>
    <mergeCell ref="GX2:GX4"/>
    <mergeCell ref="GY2:GY4"/>
    <mergeCell ref="GH2:GH4"/>
    <mergeCell ref="GI2:GI4"/>
    <mergeCell ref="GJ2:GJ4"/>
    <mergeCell ref="GK2:GK4"/>
    <mergeCell ref="GL2:GL4"/>
    <mergeCell ref="GM2:GM4"/>
    <mergeCell ref="GN2:GN4"/>
    <mergeCell ref="FW2:FW4"/>
    <mergeCell ref="FX2:FX4"/>
    <mergeCell ref="FY2:FY4"/>
    <mergeCell ref="FZ2:FZ4"/>
    <mergeCell ref="GA2:GA4"/>
    <mergeCell ref="GB2:GB4"/>
    <mergeCell ref="GC2:GC4"/>
    <mergeCell ref="GD2:GD4"/>
    <mergeCell ref="GE2:GE4"/>
    <mergeCell ref="CN18:CP18"/>
    <mergeCell ref="CQ18:CS18"/>
    <mergeCell ref="CK18:CM18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BM20:BO20"/>
    <mergeCell ref="BM21:BM23"/>
    <mergeCell ref="BN21:BN23"/>
    <mergeCell ref="BO21:BO23"/>
    <mergeCell ref="HD21:HF21"/>
    <mergeCell ref="CK19:CK21"/>
    <mergeCell ref="CL19:CL21"/>
    <mergeCell ref="CM19:CM21"/>
    <mergeCell ref="CN19:CN21"/>
    <mergeCell ref="CO19:CO21"/>
    <mergeCell ref="CP19:CP21"/>
    <mergeCell ref="CQ19:CQ21"/>
    <mergeCell ref="CR19:CR2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1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53" bestFit="1" customWidth="1"/>
    <col min="2" max="2" width="9.85546875" style="53" bestFit="1" customWidth="1"/>
    <col min="3" max="3" width="20.140625" style="53" bestFit="1" customWidth="1"/>
    <col min="4" max="4" width="10" style="249" bestFit="1" customWidth="1"/>
    <col min="5" max="5" width="9.28515625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9.28515625" style="289" bestFit="1" customWidth="1"/>
    <col min="12" max="12" width="17.140625" style="249" bestFit="1" customWidth="1"/>
    <col min="13" max="13" width="11" style="249" bestFit="1" customWidth="1"/>
    <col min="14" max="14" width="9.28515625" style="289" bestFit="1" customWidth="1"/>
    <col min="15" max="15" width="21.28515625" style="249" bestFit="1" customWidth="1"/>
    <col min="16" max="16" width="12.42578125" style="249" bestFit="1" customWidth="1"/>
    <col min="17" max="17" width="9.28515625" style="289" bestFit="1" customWidth="1"/>
    <col min="18" max="18" width="18.7109375" style="249" bestFit="1" customWidth="1"/>
    <col min="19" max="19" width="13.5703125" style="249" bestFit="1" customWidth="1"/>
    <col min="20" max="20" width="9.28515625" style="289" bestFit="1" customWidth="1"/>
    <col min="21" max="21" width="18.7109375" style="249" bestFit="1" customWidth="1"/>
    <col min="22" max="22" width="10" style="249" bestFit="1" customWidth="1"/>
    <col min="23" max="23" width="9.28515625" style="289" bestFit="1" customWidth="1"/>
    <col min="24" max="24" width="17.42578125" style="249" bestFit="1" customWidth="1"/>
    <col min="25" max="25" width="10" style="249" bestFit="1" customWidth="1"/>
    <col min="26" max="26" width="9.28515625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9.28515625" style="289" bestFit="1" customWidth="1"/>
    <col min="37" max="37" width="17.42578125" style="249" bestFit="1" customWidth="1"/>
    <col min="38" max="38" width="11" style="249" bestFit="1" customWidth="1"/>
    <col min="39" max="39" width="9.28515625" style="289" bestFit="1" customWidth="1"/>
    <col min="40" max="40" width="16.42578125" style="249" bestFit="1" customWidth="1"/>
    <col min="41" max="41" width="12.7109375" style="249" bestFit="1" customWidth="1"/>
    <col min="42" max="42" width="9.28515625" style="289" bestFit="1" customWidth="1"/>
    <col min="43" max="43" width="16.42578125" style="249" bestFit="1" customWidth="1"/>
    <col min="44" max="44" width="9.5703125" style="249" bestFit="1" customWidth="1"/>
    <col min="45" max="45" width="9.28515625" style="289" bestFit="1" customWidth="1"/>
    <col min="46" max="46" width="17.42578125" style="249" bestFit="1" customWidth="1"/>
    <col min="47" max="47" width="11" style="249" bestFit="1" customWidth="1"/>
    <col min="48" max="48" width="9.28515625" style="289" bestFit="1" customWidth="1"/>
    <col min="49" max="49" width="16.42578125" style="249" bestFit="1" customWidth="1"/>
    <col min="50" max="50" width="12.7109375" style="249" bestFit="1" customWidth="1"/>
    <col min="51" max="51" width="9.28515625" style="289" bestFit="1" customWidth="1"/>
    <col min="52" max="52" width="16.42578125" style="249" bestFit="1" customWidth="1"/>
    <col min="53" max="53" width="9.5703125" style="249" bestFit="1" customWidth="1"/>
    <col min="54" max="54" width="9.28515625" style="289" bestFit="1" customWidth="1"/>
    <col min="55" max="55" width="17.42578125" style="249" bestFit="1" customWidth="1"/>
    <col min="56" max="56" width="11" style="249" bestFit="1" customWidth="1"/>
    <col min="57" max="57" width="9.28515625" style="289" bestFit="1" customWidth="1"/>
    <col min="58" max="58" width="16.42578125" style="249" bestFit="1" customWidth="1"/>
    <col min="59" max="59" width="12.7109375" style="249" bestFit="1" customWidth="1"/>
    <col min="60" max="60" width="9.28515625" style="289" bestFit="1" customWidth="1"/>
    <col min="61" max="61" width="16.42578125" style="249" bestFit="1" customWidth="1"/>
    <col min="62" max="62" width="11" style="249" bestFit="1" customWidth="1"/>
    <col min="63" max="63" width="9.28515625" style="289" bestFit="1" customWidth="1"/>
    <col min="64" max="64" width="17.42578125" style="249" bestFit="1" customWidth="1"/>
    <col min="65" max="65" width="12.42578125" style="249" bestFit="1" customWidth="1"/>
    <col min="66" max="66" width="9.28515625" style="289" bestFit="1" customWidth="1"/>
    <col min="67" max="67" width="16.42578125" style="249" bestFit="1" customWidth="1"/>
    <col min="68" max="68" width="13.5703125" style="249" bestFit="1" customWidth="1"/>
    <col min="69" max="69" width="9.28515625" style="289" bestFit="1" customWidth="1"/>
    <col min="70" max="70" width="16.42578125" style="249" bestFit="1" customWidth="1"/>
    <col min="71" max="71" width="10" style="249" bestFit="1" customWidth="1"/>
    <col min="72" max="72" width="9.28515625" style="289" bestFit="1" customWidth="1"/>
    <col min="73" max="73" width="17.42578125" style="249" bestFit="1" customWidth="1"/>
    <col min="74" max="74" width="11.5703125" style="249" bestFit="1" customWidth="1"/>
    <col min="75" max="75" width="9.28515625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9.28515625" style="289" bestFit="1" customWidth="1"/>
    <col min="82" max="82" width="17.42578125" style="249" bestFit="1" customWidth="1"/>
    <col min="83" max="83" width="12.42578125" style="249" bestFit="1" customWidth="1"/>
    <col min="84" max="84" width="9.28515625" style="289" bestFit="1" customWidth="1"/>
    <col min="85" max="85" width="16.42578125" style="249" bestFit="1" customWidth="1"/>
    <col min="86" max="86" width="13.5703125" style="249" bestFit="1" customWidth="1"/>
    <col min="87" max="87" width="9.28515625" style="289" bestFit="1" customWidth="1"/>
    <col min="88" max="88" width="16.42578125" style="249" bestFit="1" customWidth="1"/>
    <col min="89" max="89" width="8.7109375" style="249" bestFit="1" customWidth="1"/>
    <col min="90" max="90" width="9.28515625" style="289" bestFit="1" customWidth="1"/>
    <col min="91" max="91" width="8.85546875" style="249" bestFit="1" customWidth="1"/>
    <col min="92" max="92" width="12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.28515625" style="249" bestFit="1" customWidth="1"/>
    <col min="98" max="98" width="14.5703125" style="249" bestFit="1" customWidth="1"/>
    <col min="99" max="99" width="9.28515625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9.28515625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9.28515625" style="289" bestFit="1" customWidth="1"/>
    <col min="115" max="115" width="6.28515625" style="249" bestFit="1" customWidth="1"/>
    <col min="116" max="116" width="12.42578125" style="249" bestFit="1" customWidth="1"/>
    <col min="117" max="117" width="9.2851562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9.28515625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.28515625" style="249" bestFit="1" customWidth="1"/>
    <col min="128" max="128" width="12" style="249" bestFit="1" customWidth="1"/>
    <col min="129" max="129" width="9.28515625" style="289" bestFit="1" customWidth="1"/>
    <col min="130" max="130" width="6.285156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.28515625" style="249" bestFit="1" customWidth="1"/>
    <col min="143" max="143" width="12" style="249" bestFit="1" customWidth="1"/>
    <col min="144" max="144" width="9.28515625" style="289" bestFit="1" customWidth="1"/>
    <col min="145" max="145" width="6.28515625" style="249" bestFit="1" customWidth="1"/>
    <col min="146" max="146" width="12" style="249" bestFit="1" customWidth="1"/>
    <col min="147" max="147" width="9.28515625" style="289" bestFit="1" customWidth="1"/>
    <col min="148" max="148" width="6.285156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.28515625" style="249" bestFit="1" customWidth="1"/>
    <col min="158" max="158" width="8.5703125" style="249" bestFit="1" customWidth="1"/>
    <col min="159" max="159" width="9.28515625" style="289" bestFit="1" customWidth="1"/>
    <col min="160" max="160" width="6.285156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7.7109375" style="289" bestFit="1" customWidth="1"/>
    <col min="172" max="172" width="6.28515625" style="249" bestFit="1" customWidth="1"/>
    <col min="173" max="173" width="4.85546875" style="249" bestFit="1" customWidth="1"/>
    <col min="174" max="174" width="9.28515625" style="289" bestFit="1" customWidth="1"/>
    <col min="175" max="175" width="6.285156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285156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.28515625" style="249" bestFit="1" customWidth="1"/>
    <col min="188" max="188" width="12" style="249" bestFit="1" customWidth="1"/>
    <col min="189" max="189" width="9.28515625" style="289" bestFit="1" customWidth="1"/>
    <col min="190" max="190" width="6.285156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.28515625" style="249" bestFit="1" customWidth="1"/>
    <col min="203" max="203" width="12" style="249" bestFit="1" customWidth="1"/>
    <col min="204" max="204" width="9.28515625" style="289" bestFit="1" customWidth="1"/>
    <col min="205" max="205" width="6.285156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customHeight="1" thickTop="1" thickBot="1" x14ac:dyDescent="0.25">
      <c r="A1" s="694" t="s">
        <v>280</v>
      </c>
      <c r="B1" s="695"/>
      <c r="C1" s="696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1/((1/H12)+(1/H11))</f>
        <v>0.38819875739492032</v>
      </c>
      <c r="I2" s="625" t="s">
        <v>14</v>
      </c>
      <c r="J2" s="619" t="s">
        <v>507</v>
      </c>
      <c r="K2" s="623">
        <f>1/((1/K15)+1/K16)</f>
        <v>117537.12917943241</v>
      </c>
      <c r="L2" s="621" t="s">
        <v>13</v>
      </c>
      <c r="M2" s="617" t="s">
        <v>516</v>
      </c>
      <c r="N2" s="647">
        <f>(N5*N6*N7)/((1-EXP(-N7*N6))*N10*N15*(N9/365)*N13*(((N14/24)*N12)+((N16/24)*N11)))</f>
        <v>117567.57801071471</v>
      </c>
      <c r="O2" s="615" t="s">
        <v>13</v>
      </c>
      <c r="P2" s="639" t="s">
        <v>516</v>
      </c>
      <c r="Q2" s="647">
        <f>(Q5*Q6*Q7)/((1-EXP(-Q7*Q6))*Q10*Q15*(Q9/365)*Q13*(((Q14/24)*Q12)+((Q16/24)*Q11)))</f>
        <v>557561.8478457405</v>
      </c>
      <c r="R2" s="637" t="s">
        <v>13</v>
      </c>
      <c r="S2" s="641" t="s">
        <v>516</v>
      </c>
      <c r="T2" s="647">
        <f>(T5*T6*T7)/((1-EXP(-T7*T6))*T10*T15*(T9/365)*T13*(((T14/24)*T12)+((T16/24)*T11)))</f>
        <v>129146.20311783053</v>
      </c>
      <c r="U2" s="643" t="s">
        <v>13</v>
      </c>
      <c r="V2" s="55"/>
      <c r="W2" s="357"/>
      <c r="X2" s="56"/>
      <c r="Y2" s="57"/>
      <c r="Z2" s="357"/>
      <c r="AA2" s="58"/>
      <c r="AB2" s="650"/>
      <c r="AC2" s="660">
        <f>1/((1/AC33)+(1/AC34))</f>
        <v>171093.37629958929</v>
      </c>
      <c r="AD2" s="660">
        <f>1/((1/AD33)+(1/AD34))</f>
        <v>427538.22050347773</v>
      </c>
      <c r="AE2" s="660">
        <f>1/((1/AE33)+(1/AE34))</f>
        <v>190103.75144398806</v>
      </c>
      <c r="AF2" s="660">
        <f>1/((1/AF33)+(1/AF34))</f>
        <v>561252.44040481292</v>
      </c>
      <c r="AG2" s="660">
        <f>1/((1/AG33)+(1/AG34))</f>
        <v>5233519.0719333198</v>
      </c>
      <c r="AH2" s="652" t="s">
        <v>13</v>
      </c>
      <c r="AI2" s="381" t="s">
        <v>516</v>
      </c>
      <c r="AJ2" s="387">
        <f>(AJ5*AJ6*AJ7)/((1-EXP(-AJ7*AJ6))*AJ15*(AJ9/365)*AJ10*(AJ16/24)*AJ11*AJ13)</f>
        <v>427863.68665439409</v>
      </c>
      <c r="AK2" s="629" t="s">
        <v>13</v>
      </c>
      <c r="AL2" s="383" t="s">
        <v>516</v>
      </c>
      <c r="AM2" s="387">
        <f>(AM5*AM6*AM7)/((1-EXP(-AM7*AM6))*AM15*(AM9/365)*AM10*(AM16/24)*AM11*AM13)</f>
        <v>2029134.832865004</v>
      </c>
      <c r="AN2" s="629" t="s">
        <v>13</v>
      </c>
      <c r="AO2" s="383" t="s">
        <v>516</v>
      </c>
      <c r="AP2" s="387">
        <f>(AP5*AP6*AP7)/((1-EXP(-AP7*AP6))*AP15*(AP9/365)*AP10*(AP16/24)*AP11*AP13)</f>
        <v>470001.77700672066</v>
      </c>
      <c r="AQ2" s="635" t="s">
        <v>13</v>
      </c>
      <c r="AR2" s="381" t="s">
        <v>516</v>
      </c>
      <c r="AS2" s="387">
        <f>(AS5*AS6*AS7)/((1-EXP(-AS7*AS6))*AS15*(AS9/365)*AS10*(AS14/24)*AS12*AS13)</f>
        <v>190161.63851306404</v>
      </c>
      <c r="AT2" s="391" t="s">
        <v>13</v>
      </c>
      <c r="AU2" s="383" t="s">
        <v>516</v>
      </c>
      <c r="AV2" s="387">
        <f>(AV5*AV6*AV7)/((1-EXP(-AV7*AV6))*AV15*(AV9/365)*AV10*(AV14/24)*AV12*AV13)</f>
        <v>901837.7034955573</v>
      </c>
      <c r="AW2" s="391" t="s">
        <v>13</v>
      </c>
      <c r="AX2" s="383" t="s">
        <v>516</v>
      </c>
      <c r="AY2" s="387">
        <f>(AY5*AY6*AY7)/((1-EXP(-AY7*AY6))*AY15*(AY9/365)*AY10*(AY14/24)*AY12*AY13)</f>
        <v>208889.67866965366</v>
      </c>
      <c r="AZ2" s="385" t="s">
        <v>13</v>
      </c>
      <c r="BA2" s="381" t="s">
        <v>516</v>
      </c>
      <c r="BB2" s="387">
        <f>(BB5*BB6*BB7)/((1-EXP(-BB7*BB6))*BB15*(BB9/365)*BB10*((BB14+BB16)/24)*BB12*BB13)</f>
        <v>171145.47466175762</v>
      </c>
      <c r="BC2" s="391" t="s">
        <v>13</v>
      </c>
      <c r="BD2" s="383" t="s">
        <v>516</v>
      </c>
      <c r="BE2" s="387">
        <f>(BE5*BE6*BE7)/((1-EXP(-BE7*BE6))*BE15*(BE9/365)*BE10*((BE14+BE16)/24)*BE12*BE13)</f>
        <v>811653.93314600165</v>
      </c>
      <c r="BF2" s="391" t="s">
        <v>13</v>
      </c>
      <c r="BG2" s="383" t="s">
        <v>516</v>
      </c>
      <c r="BH2" s="387">
        <f>(BH5*BH6*BH7)/((1-EXP(-BH7*BH6))*BH15*(BH9/365)*BH10*((BH14+BH16)/24)*BH12*BH13)</f>
        <v>188000.71080268829</v>
      </c>
      <c r="BI2" s="385" t="s">
        <v>13</v>
      </c>
      <c r="BJ2" s="381" t="s">
        <v>558</v>
      </c>
      <c r="BK2" s="389">
        <f>(BK5*BK6*BK7)/((1-EXP(-BK7*BK6))*BK12*BK16*(BK9/365)*BK14*(BK15/24)*BK13)</f>
        <v>6402231.419449742</v>
      </c>
      <c r="BL2" s="391" t="s">
        <v>13</v>
      </c>
      <c r="BM2" s="383" t="s">
        <v>559</v>
      </c>
      <c r="BN2" s="389">
        <f>(BN5*BN6*BN7)/((1-EXP(-BN7*BN6))*BN12*BN16*(BN9/365)*BN14*(BN15/24)*BN13)</f>
        <v>64726226.346991301</v>
      </c>
      <c r="BO2" s="391" t="s">
        <v>13</v>
      </c>
      <c r="BP2" s="383" t="s">
        <v>560</v>
      </c>
      <c r="BQ2" s="389">
        <f>(BQ5*BQ6*BQ7)/((1-EXP(-BQ7*BQ6))*BQ12*BQ16*(BQ9/365)*BQ14*(BQ15/24)*BQ13)</f>
        <v>8831313.106196342</v>
      </c>
      <c r="BR2" s="385" t="s">
        <v>13</v>
      </c>
      <c r="BS2" s="59"/>
      <c r="BT2" s="110"/>
      <c r="BU2" s="250"/>
      <c r="BV2" s="402" t="s">
        <v>563</v>
      </c>
      <c r="BW2" s="400">
        <f>1/((1/BW11))</f>
        <v>1278195570.0950336</v>
      </c>
      <c r="BX2" s="404" t="s">
        <v>14</v>
      </c>
      <c r="BY2" s="402" t="s">
        <v>563</v>
      </c>
      <c r="BZ2" s="400">
        <f>1/((1/BZ14)+(1/BZ15))</f>
        <v>88622820.418486997</v>
      </c>
      <c r="CA2" s="398" t="s">
        <v>13</v>
      </c>
      <c r="CB2" s="410" t="s">
        <v>558</v>
      </c>
      <c r="CC2" s="400">
        <f>(CC5*CC6*CC7)/((1-EXP(-CC7*CC6))*CC10*CC14*(CC9/365)*CC12*(CC13/24)*CC11)</f>
        <v>88777609.016369745</v>
      </c>
      <c r="CD2" s="404" t="s">
        <v>13</v>
      </c>
      <c r="CE2" s="402" t="s">
        <v>559</v>
      </c>
      <c r="CF2" s="400">
        <f>(CF5*CF6*CF7)/((1-EXP(-CF7*CF6))*CF10*CF14*(CF9/365)*CF12*(CF13/24)*CF11)</f>
        <v>897537005.34494591</v>
      </c>
      <c r="CG2" s="404" t="s">
        <v>13</v>
      </c>
      <c r="CH2" s="402" t="s">
        <v>560</v>
      </c>
      <c r="CI2" s="400">
        <f>(CI5*CI6*CI7)/((1-EXP(-CI7*CI6))*CI10*CI14*(CI9/365)*CI12*(CI13/24)*CI11)</f>
        <v>122460875.07258926</v>
      </c>
      <c r="CJ2" s="398" t="s">
        <v>13</v>
      </c>
      <c r="CK2" s="410" t="s">
        <v>510</v>
      </c>
      <c r="CL2" s="400" t="e">
        <f>CL5/(CL6*CL7*CL8*CL9)</f>
        <v>#DIV/0!</v>
      </c>
      <c r="CM2" s="404" t="s">
        <v>13</v>
      </c>
      <c r="CN2" s="402" t="s">
        <v>7</v>
      </c>
      <c r="CO2" s="400" t="e">
        <f>(CL2/(CO5*((CO10*CO12*CO13*(CO6+CO7))+(CO11*CO12))))*CL12</f>
        <v>#DIV/0!</v>
      </c>
      <c r="CP2" s="412" t="s">
        <v>13</v>
      </c>
      <c r="CQ2" s="402" t="s">
        <v>6</v>
      </c>
      <c r="CR2" s="400" t="e">
        <f>CL2/(CR5*CR6*(1/CR7))</f>
        <v>#DIV/0!</v>
      </c>
      <c r="CS2" s="415" t="s">
        <v>14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 t="e">
        <f>(DD5)/(DD6*(DD7+DD10)*DD20)</f>
        <v>#DIV/0!</v>
      </c>
      <c r="DE2" s="672" t="s">
        <v>13</v>
      </c>
      <c r="DF2" s="670" t="s">
        <v>510</v>
      </c>
      <c r="DG2" s="668" t="e">
        <f>(DD2/((1/DG24)*(DG5+DG6+DG7)))</f>
        <v>#DIV/0!</v>
      </c>
      <c r="DH2" s="666" t="s">
        <v>14</v>
      </c>
      <c r="DI2" s="680" t="s">
        <v>510</v>
      </c>
      <c r="DJ2" s="668" t="e">
        <f>(DD2/(DJ5+DJ6))*CU11</f>
        <v>#DIV/0!</v>
      </c>
      <c r="DK2" s="666" t="s">
        <v>14</v>
      </c>
      <c r="DL2" s="680" t="s">
        <v>554</v>
      </c>
      <c r="DM2" s="668" t="e">
        <f>(DD2/(DM5+DM6))*((DM9*DD21)/(1-EXP(-DD21*DM9)))</f>
        <v>#DIV/0!</v>
      </c>
      <c r="DN2" s="666" t="s">
        <v>14</v>
      </c>
      <c r="DO2" s="680" t="s">
        <v>553</v>
      </c>
      <c r="DP2" s="668">
        <f>-(DP5+DP6+DP7)/(DP23+DP24)</f>
        <v>-3.186299176558379</v>
      </c>
      <c r="DQ2" s="678" t="s">
        <v>14</v>
      </c>
      <c r="DR2" s="556" t="s">
        <v>510</v>
      </c>
      <c r="DS2" s="460" t="e">
        <f>DS5/(DS6*DS7*DS16)</f>
        <v>#DIV/0!</v>
      </c>
      <c r="DT2" s="466" t="s">
        <v>13</v>
      </c>
      <c r="DU2" s="464" t="s">
        <v>510</v>
      </c>
      <c r="DV2" s="462" t="e">
        <f>DS2/(DV5*(1/DV8)*DV6*(1/DV7))</f>
        <v>#DIV/0!</v>
      </c>
      <c r="DW2" s="480" t="s">
        <v>14</v>
      </c>
      <c r="DX2" s="478" t="s">
        <v>510</v>
      </c>
      <c r="DY2" s="462" t="e">
        <f>(DS2/(DY9*(1/DY14)*((DY10*DY12*DY13*(DY5+DY6))+(DY11*DY12))))*CU11</f>
        <v>#DIV/0!</v>
      </c>
      <c r="DZ2" s="480" t="s">
        <v>14</v>
      </c>
      <c r="EA2" s="478" t="s">
        <v>554</v>
      </c>
      <c r="EB2" s="462" t="e">
        <f>(DS2/(EB9*(1/EB14)*((EB10*EB12*EB13*(EB5+EB6))+(EB11*EB12))))*((EB15*DS18)/(1-EXP(-DS18*EB15)))</f>
        <v>#DIV/0!</v>
      </c>
      <c r="EC2" s="480" t="s">
        <v>14</v>
      </c>
      <c r="ED2" s="478" t="s">
        <v>553</v>
      </c>
      <c r="EE2" s="462">
        <f>-EE15/((EE10*EE12*EE13*(EE5+EE6))+(EE11*EE12))</f>
        <v>-16.803652968036527</v>
      </c>
      <c r="EF2" s="476" t="s">
        <v>14</v>
      </c>
      <c r="EG2" s="474" t="s">
        <v>510</v>
      </c>
      <c r="EH2" s="472" t="e">
        <f>EH5/(EH6*EH7*EH16)</f>
        <v>#DIV/0!</v>
      </c>
      <c r="EI2" s="470" t="s">
        <v>13</v>
      </c>
      <c r="EJ2" s="468" t="s">
        <v>510</v>
      </c>
      <c r="EK2" s="502" t="e">
        <f>EH2/(EK5*EK6*(1/EK7))</f>
        <v>#DIV/0!</v>
      </c>
      <c r="EL2" s="500" t="s">
        <v>14</v>
      </c>
      <c r="EM2" s="504" t="s">
        <v>510</v>
      </c>
      <c r="EN2" s="502" t="e">
        <f>(EH2/(EN9*((EN10*EN12*EN13*(EN5+EN6))+(EN11*EN12))))*CU11</f>
        <v>#DIV/0!</v>
      </c>
      <c r="EO2" s="500" t="s">
        <v>13</v>
      </c>
      <c r="EP2" s="504" t="s">
        <v>554</v>
      </c>
      <c r="EQ2" s="502" t="e">
        <f>(EH2/(EQ9*((EQ10*EQ12*EQ13*(EQ5+EQ6))+(EQ11*EQ12))))*((EQ14*EH18)/(1-EXP(-EH18*EQ14)))</f>
        <v>#DIV/0!</v>
      </c>
      <c r="ER2" s="500" t="s">
        <v>14</v>
      </c>
      <c r="ES2" s="504" t="s">
        <v>553</v>
      </c>
      <c r="ET2" s="502">
        <f>-ET15/((ET10*ET12*ET13*(ET5+ET6))+(ET11*ET12))</f>
        <v>-15.395787944807553</v>
      </c>
      <c r="EU2" s="514" t="s">
        <v>19</v>
      </c>
      <c r="EV2" s="512" t="s">
        <v>510</v>
      </c>
      <c r="EW2" s="510" t="e">
        <f>EW5/(EW6*EW7*EW16)</f>
        <v>#DIV/0!</v>
      </c>
      <c r="EX2" s="508" t="s">
        <v>13</v>
      </c>
      <c r="EY2" s="506" t="s">
        <v>510</v>
      </c>
      <c r="EZ2" s="494" t="e">
        <f>EW2/(EZ5*EZ6*(1/EZ7))</f>
        <v>#DIV/0!</v>
      </c>
      <c r="FA2" s="498" t="s">
        <v>14</v>
      </c>
      <c r="FB2" s="496" t="s">
        <v>510</v>
      </c>
      <c r="FC2" s="494" t="e">
        <f>(EW2/(FC9*((FC10*FC12*FC13*(FC5+FC6))+(FC11*FC12))))*CU11</f>
        <v>#DIV/0!</v>
      </c>
      <c r="FD2" s="498" t="s">
        <v>13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14</v>
      </c>
      <c r="FH2" s="496" t="s">
        <v>553</v>
      </c>
      <c r="FI2" s="494">
        <f>-FI15/((FI10*FI12*FI13*(FI5+FI6))+(FI11*FI12))</f>
        <v>-5.5555555555555554</v>
      </c>
      <c r="FJ2" s="492" t="s">
        <v>19</v>
      </c>
      <c r="FK2" s="490" t="s">
        <v>510</v>
      </c>
      <c r="FL2" s="488" t="e">
        <f>FL5/(FL6*FL7*FL16)</f>
        <v>#DIV/0!</v>
      </c>
      <c r="FM2" s="486" t="s">
        <v>13</v>
      </c>
      <c r="FN2" s="484" t="s">
        <v>510</v>
      </c>
      <c r="FO2" s="430" t="e">
        <f>FL2/(FO5*(1/FO6))</f>
        <v>#DIV/0!</v>
      </c>
      <c r="FP2" s="428" t="s">
        <v>14</v>
      </c>
      <c r="FQ2" s="482" t="s">
        <v>510</v>
      </c>
      <c r="FR2" s="430" t="e">
        <f>((FL2*FR6)/FR5)*CU11</f>
        <v>#DIV/0!</v>
      </c>
      <c r="FS2" s="428" t="s">
        <v>13</v>
      </c>
      <c r="FT2" s="426" t="s">
        <v>554</v>
      </c>
      <c r="FU2" s="430" t="e">
        <f>((FL2*FU6)/FU5)*((FU7*FL18)/(1-EXP(-FL18*FU7)))</f>
        <v>#DIV/0!</v>
      </c>
      <c r="FV2" s="428" t="s">
        <v>14</v>
      </c>
      <c r="FW2" s="426" t="s">
        <v>553</v>
      </c>
      <c r="FX2" s="430">
        <f>-FX5/FX6</f>
        <v>0</v>
      </c>
      <c r="FY2" s="438" t="s">
        <v>19</v>
      </c>
      <c r="FZ2" s="436" t="s">
        <v>510</v>
      </c>
      <c r="GA2" s="434" t="e">
        <f>GA5/(GA6*GA7*GA16)</f>
        <v>#DIV/0!</v>
      </c>
      <c r="GB2" s="432" t="s">
        <v>13</v>
      </c>
      <c r="GC2" s="458" t="s">
        <v>510</v>
      </c>
      <c r="GD2" s="417" t="e">
        <f>(GA2/(GD5*GD6*(1/GD7)))</f>
        <v>#DIV/0!</v>
      </c>
      <c r="GE2" s="421" t="s">
        <v>14</v>
      </c>
      <c r="GF2" s="419" t="s">
        <v>510</v>
      </c>
      <c r="GG2" s="417" t="e">
        <f>(GA2/((GG9)*((GG10*GG12*GG13*(GG5+GG6))+(GG11*GG12))))*CU11</f>
        <v>#DIV/0!</v>
      </c>
      <c r="GH2" s="421" t="s">
        <v>13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14</v>
      </c>
      <c r="GL2" s="419" t="s">
        <v>553</v>
      </c>
      <c r="GM2" s="417">
        <f>-GM15/((GM10*GM12*GM13*(GM5+GM6))+(GM11*GM12))</f>
        <v>-5.5555555555555554</v>
      </c>
      <c r="GN2" s="456" t="s">
        <v>19</v>
      </c>
      <c r="GO2" s="454" t="s">
        <v>510</v>
      </c>
      <c r="GP2" s="452" t="e">
        <f>GP5/(GP6*GP7*GP15)</f>
        <v>#DIV/0!</v>
      </c>
      <c r="GQ2" s="450" t="s">
        <v>13</v>
      </c>
      <c r="GR2" s="448" t="s">
        <v>510</v>
      </c>
      <c r="GS2" s="442" t="e">
        <f>GP2/(GS5*GS6*(1/GS7))</f>
        <v>#DIV/0!</v>
      </c>
      <c r="GT2" s="446" t="s">
        <v>14</v>
      </c>
      <c r="GU2" s="444" t="s">
        <v>510</v>
      </c>
      <c r="GV2" s="442" t="e">
        <f>(GP2/((GV9)*((GV10*GV12*GV13*(GV5+GV6))+(GV11*GV12))))*CU11</f>
        <v>#DIV/0!</v>
      </c>
      <c r="GW2" s="446" t="s">
        <v>13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14</v>
      </c>
      <c r="HA2" s="444" t="s">
        <v>553</v>
      </c>
      <c r="HB2" s="442">
        <f>-HB15/((HB10*HB12*HB13*(HB5+HB6))+(HB11*HB12))</f>
        <v>-7.3786407766990294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54">
        <v>6.8000000000000005E-2</v>
      </c>
      <c r="C3" s="240"/>
      <c r="D3" s="317" t="s">
        <v>15</v>
      </c>
      <c r="E3" s="285">
        <f>1/((1/E20)+(1/E21))</f>
        <v>0.19409785442947786</v>
      </c>
      <c r="F3" s="253" t="s">
        <v>10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459.41112231774758</v>
      </c>
      <c r="X3" s="254" t="s">
        <v>10</v>
      </c>
      <c r="Y3" s="321" t="s">
        <v>16</v>
      </c>
      <c r="Z3" s="358">
        <f>1/((1/Z18)+(1/Z19))</f>
        <v>413.47001008597277</v>
      </c>
      <c r="AA3" s="255" t="s">
        <v>10</v>
      </c>
      <c r="AB3" s="650"/>
      <c r="AC3" s="661"/>
      <c r="AD3" s="661"/>
      <c r="AE3" s="661"/>
      <c r="AF3" s="661"/>
      <c r="AG3" s="661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42" t="s">
        <v>15</v>
      </c>
      <c r="BT3" s="340">
        <f>1/((1/BT21)+(1/BT22))</f>
        <v>21.738959696101517</v>
      </c>
      <c r="BU3" s="250" t="s">
        <v>10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1/((1/CU15)+(1/CU16))</f>
        <v>60467.861851255897</v>
      </c>
      <c r="CV3" s="71" t="s">
        <v>13</v>
      </c>
      <c r="CW3" s="326" t="s">
        <v>15</v>
      </c>
      <c r="CX3" s="117">
        <f>1/((1/CX20)+(1/CX21))</f>
        <v>0.12065546439615359</v>
      </c>
      <c r="CY3" s="256" t="s">
        <v>10</v>
      </c>
      <c r="CZ3" s="338" t="s">
        <v>285</v>
      </c>
      <c r="DA3" s="336">
        <f>1/((1/DA15)+(1/DA14))</f>
        <v>0.2413127410888537</v>
      </c>
      <c r="DB3" s="72" t="s">
        <v>13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0</v>
      </c>
      <c r="HF3" s="252" t="s">
        <v>13</v>
      </c>
    </row>
    <row r="4" spans="1:214" ht="13.5" customHeight="1" thickBot="1" x14ac:dyDescent="0.25">
      <c r="A4" s="279" t="s">
        <v>457</v>
      </c>
      <c r="B4" s="70">
        <v>0.75600000000000001</v>
      </c>
      <c r="C4" s="241"/>
      <c r="D4" s="318" t="s">
        <v>16</v>
      </c>
      <c r="E4" s="286">
        <f>1/((1/E22)+(1/E23))</f>
        <v>333.85592319395107</v>
      </c>
      <c r="F4" s="257" t="s">
        <v>10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0.27777713446394231</v>
      </c>
      <c r="X4" s="258" t="s">
        <v>10</v>
      </c>
      <c r="Y4" s="322" t="s">
        <v>15</v>
      </c>
      <c r="Z4" s="359">
        <f>1/((1/Z16)+(1/Z17))</f>
        <v>0.24999942101754816</v>
      </c>
      <c r="AA4" s="259" t="s">
        <v>10</v>
      </c>
      <c r="AB4" s="651"/>
      <c r="AC4" s="662"/>
      <c r="AD4" s="662"/>
      <c r="AE4" s="662"/>
      <c r="AF4" s="662"/>
      <c r="AG4" s="662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43" t="s">
        <v>16</v>
      </c>
      <c r="BT4" s="341">
        <f>1/((1/BT23)+(1/BT24))</f>
        <v>37391.863397722518</v>
      </c>
      <c r="BU4" s="260" t="s">
        <v>10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1/((1/CU15)+(1/CU16))</f>
        <v>60467.861851255897</v>
      </c>
      <c r="CV4" s="73" t="s">
        <v>13</v>
      </c>
      <c r="CW4" s="327" t="s">
        <v>16</v>
      </c>
      <c r="CX4" s="106">
        <f>1/((1/CX22)+(1/CX23))</f>
        <v>319.2802023476919</v>
      </c>
      <c r="CY4" s="261" t="s">
        <v>10</v>
      </c>
      <c r="CZ4" s="339" t="s">
        <v>11</v>
      </c>
      <c r="DA4" s="337">
        <f>1/((1/DA15)+(1/DA14))</f>
        <v>0.2413127410888537</v>
      </c>
      <c r="DB4" s="74" t="s">
        <v>13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0.13354341799786829</v>
      </c>
      <c r="HF4" s="75" t="s">
        <v>13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</v>
      </c>
      <c r="DH5" s="249" t="s">
        <v>19</v>
      </c>
      <c r="DI5" s="262" t="s">
        <v>20</v>
      </c>
      <c r="DJ5" s="305">
        <f>DJ7</f>
        <v>0</v>
      </c>
      <c r="DK5" s="262"/>
      <c r="DL5" s="262" t="s">
        <v>20</v>
      </c>
      <c r="DM5" s="305">
        <f>DM7</f>
        <v>0</v>
      </c>
      <c r="DO5" s="249" t="s">
        <v>18</v>
      </c>
      <c r="DP5" s="118">
        <f>(DP8*DP9*DP10*((1-EXP(-DP11*DP12))))/(DP13*DP11)</f>
        <v>0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0</v>
      </c>
      <c r="DW5" s="262"/>
      <c r="DX5" s="262" t="s">
        <v>21</v>
      </c>
      <c r="DY5" s="305">
        <f>DY7</f>
        <v>0</v>
      </c>
      <c r="DZ5" s="262"/>
      <c r="EA5" s="262" t="s">
        <v>21</v>
      </c>
      <c r="EB5" s="305">
        <f>EB7</f>
        <v>0</v>
      </c>
      <c r="EC5" s="263"/>
      <c r="ED5" s="262" t="s">
        <v>21</v>
      </c>
      <c r="EE5" s="305">
        <f>EE7</f>
        <v>0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0</v>
      </c>
      <c r="EL5" s="262"/>
      <c r="EM5" s="262" t="s">
        <v>21</v>
      </c>
      <c r="EN5" s="305">
        <f>EN7</f>
        <v>0</v>
      </c>
      <c r="EO5" s="262"/>
      <c r="EP5" s="262" t="s">
        <v>21</v>
      </c>
      <c r="EQ5" s="305">
        <f>EQ7</f>
        <v>0</v>
      </c>
      <c r="ER5" s="263"/>
      <c r="ES5" s="262" t="s">
        <v>21</v>
      </c>
      <c r="ET5" s="305">
        <f>ET7</f>
        <v>0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0</v>
      </c>
      <c r="FD5" s="262"/>
      <c r="FE5" s="262" t="s">
        <v>21</v>
      </c>
      <c r="FF5" s="305">
        <f>FF7</f>
        <v>0</v>
      </c>
      <c r="FG5" s="263"/>
      <c r="FH5" s="263" t="s">
        <v>21</v>
      </c>
      <c r="FI5" s="290">
        <f>FI7</f>
        <v>0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0</v>
      </c>
      <c r="FP5" s="263"/>
      <c r="FQ5" s="263" t="s">
        <v>122</v>
      </c>
      <c r="FR5" s="298">
        <f>B36</f>
        <v>0</v>
      </c>
      <c r="FS5" s="263"/>
      <c r="FT5" s="263" t="s">
        <v>122</v>
      </c>
      <c r="FU5" s="298">
        <f>B36</f>
        <v>0</v>
      </c>
      <c r="FV5" s="263"/>
      <c r="FW5" s="262" t="s">
        <v>181</v>
      </c>
      <c r="FX5" s="305">
        <f>B46</f>
        <v>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0</v>
      </c>
      <c r="GH5" s="262"/>
      <c r="GI5" s="262" t="s">
        <v>21</v>
      </c>
      <c r="GJ5" s="305">
        <f>GJ7</f>
        <v>0</v>
      </c>
      <c r="GK5" s="262"/>
      <c r="GL5" s="262" t="s">
        <v>21</v>
      </c>
      <c r="GM5" s="305">
        <f>GM7</f>
        <v>0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0</v>
      </c>
      <c r="GW5" s="262"/>
      <c r="GX5" s="262" t="s">
        <v>21</v>
      </c>
      <c r="GY5" s="305">
        <f>GY7</f>
        <v>0</v>
      </c>
      <c r="GZ5" s="262"/>
      <c r="HA5" s="262" t="s">
        <v>21</v>
      </c>
      <c r="HB5" s="305">
        <f>HB7</f>
        <v>0</v>
      </c>
      <c r="HC5" s="263"/>
      <c r="HD5" s="265" t="s">
        <v>22</v>
      </c>
      <c r="HE5" s="293">
        <f>B47</f>
        <v>0</v>
      </c>
      <c r="HF5" s="262" t="s">
        <v>14</v>
      </c>
    </row>
    <row r="6" spans="1:214" ht="13.5" thickTop="1" x14ac:dyDescent="0.2">
      <c r="A6" s="278" t="s">
        <v>454</v>
      </c>
      <c r="B6" s="54">
        <v>3.7100000000000001E-2</v>
      </c>
      <c r="C6" s="240"/>
      <c r="D6" s="262" t="s">
        <v>23</v>
      </c>
      <c r="E6" s="288">
        <f>0.693/E7</f>
        <v>66.155354824913829</v>
      </c>
      <c r="G6" s="262" t="s">
        <v>439</v>
      </c>
      <c r="H6" s="287">
        <f>B20</f>
        <v>0</v>
      </c>
      <c r="I6" s="262" t="s">
        <v>35</v>
      </c>
      <c r="J6" s="262" t="s">
        <v>316</v>
      </c>
      <c r="K6" s="287">
        <f>B21</f>
        <v>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66.155354824913829</v>
      </c>
      <c r="Y6" s="262" t="s">
        <v>23</v>
      </c>
      <c r="Z6" s="288">
        <f>0.693/Z7</f>
        <v>66.155354824913829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BK12</f>
        <v>1</v>
      </c>
      <c r="BR6" s="249" t="s">
        <v>69</v>
      </c>
      <c r="BS6" s="262" t="s">
        <v>23</v>
      </c>
      <c r="BT6" s="288">
        <f>0.693/BT7</f>
        <v>66.155354824913829</v>
      </c>
      <c r="BV6" s="262" t="s">
        <v>163</v>
      </c>
      <c r="BW6" s="287">
        <f>B20</f>
        <v>0</v>
      </c>
      <c r="BX6" s="262" t="s">
        <v>35</v>
      </c>
      <c r="BY6" s="262" t="s">
        <v>45</v>
      </c>
      <c r="BZ6" s="287">
        <f>B21</f>
        <v>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0</v>
      </c>
      <c r="CM6" s="266" t="s">
        <v>13</v>
      </c>
      <c r="CN6" s="263" t="s">
        <v>21</v>
      </c>
      <c r="CO6" s="290">
        <f>CO8</f>
        <v>0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0</v>
      </c>
      <c r="CV6" s="262" t="s">
        <v>35</v>
      </c>
      <c r="CW6" s="262" t="s">
        <v>23</v>
      </c>
      <c r="CX6" s="288">
        <f>0.693/CX7</f>
        <v>66.155354824913829</v>
      </c>
      <c r="CZ6" s="262" t="s">
        <v>163</v>
      </c>
      <c r="DA6" s="287">
        <f>B20</f>
        <v>0</v>
      </c>
      <c r="DB6" s="262" t="s">
        <v>35</v>
      </c>
      <c r="DC6" s="262" t="s">
        <v>438</v>
      </c>
      <c r="DD6" s="287">
        <f>B30</f>
        <v>0</v>
      </c>
      <c r="DE6" s="267" t="s">
        <v>35</v>
      </c>
      <c r="DF6" s="249" t="s">
        <v>27</v>
      </c>
      <c r="DG6" s="118">
        <f>(DG8*DG9*DG14*((1-EXP(-DG11*DG12))))/(DG13*DG11)</f>
        <v>5.4035127681958941E-3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5.4035127681958941E-3</v>
      </c>
      <c r="DQ6" s="249" t="s">
        <v>19</v>
      </c>
      <c r="DR6" s="262" t="s">
        <v>438</v>
      </c>
      <c r="DS6" s="287">
        <f>B30</f>
        <v>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0</v>
      </c>
      <c r="FS6" s="249" t="s">
        <v>19</v>
      </c>
      <c r="FT6" s="262" t="s">
        <v>181</v>
      </c>
      <c r="FU6" s="305">
        <f>B46</f>
        <v>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0.38819875739492032</v>
      </c>
      <c r="HF6" s="262" t="s">
        <v>14</v>
      </c>
    </row>
    <row r="7" spans="1:214" x14ac:dyDescent="0.2">
      <c r="A7" s="279" t="s">
        <v>455</v>
      </c>
      <c r="B7" s="70">
        <v>0.65</v>
      </c>
      <c r="C7" s="241"/>
      <c r="D7" s="266" t="s">
        <v>270</v>
      </c>
      <c r="E7" s="287">
        <f>B31</f>
        <v>1.04753425E-2</v>
      </c>
      <c r="F7" s="249" t="s">
        <v>69</v>
      </c>
      <c r="G7" s="262" t="s">
        <v>43</v>
      </c>
      <c r="H7" s="290">
        <f>B19</f>
        <v>3.1999999999999999E-11</v>
      </c>
      <c r="I7" s="263" t="s">
        <v>35</v>
      </c>
      <c r="J7" s="262" t="s">
        <v>43</v>
      </c>
      <c r="K7" s="290">
        <f>B19</f>
        <v>3.1999999999999999E-11</v>
      </c>
      <c r="L7" s="263" t="s">
        <v>35</v>
      </c>
      <c r="M7" s="262" t="s">
        <v>23</v>
      </c>
      <c r="N7" s="288">
        <f>0.693/N8</f>
        <v>66.155354824913829</v>
      </c>
      <c r="P7" s="262" t="s">
        <v>23</v>
      </c>
      <c r="Q7" s="288">
        <f>0.693/Q8</f>
        <v>66.155354824913829</v>
      </c>
      <c r="S7" s="262" t="s">
        <v>23</v>
      </c>
      <c r="T7" s="288">
        <f>0.693/T8</f>
        <v>66.155354824913829</v>
      </c>
      <c r="V7" s="266" t="s">
        <v>270</v>
      </c>
      <c r="W7" s="287">
        <f>B31</f>
        <v>1.04753425E-2</v>
      </c>
      <c r="X7" s="249" t="s">
        <v>69</v>
      </c>
      <c r="Y7" s="266" t="s">
        <v>270</v>
      </c>
      <c r="Z7" s="287">
        <f>B31</f>
        <v>1.04753425E-2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66.155354824913829</v>
      </c>
      <c r="AL7" s="262" t="s">
        <v>23</v>
      </c>
      <c r="AM7" s="288">
        <f>0.693/AM8</f>
        <v>66.155354824913829</v>
      </c>
      <c r="AO7" s="262" t="s">
        <v>23</v>
      </c>
      <c r="AP7" s="288">
        <f>0.693/AP8</f>
        <v>66.155354824913829</v>
      </c>
      <c r="AR7" s="262" t="s">
        <v>23</v>
      </c>
      <c r="AS7" s="288">
        <f>0.693/AS8</f>
        <v>66.155354824913829</v>
      </c>
      <c r="AU7" s="262" t="s">
        <v>23</v>
      </c>
      <c r="AV7" s="288">
        <f>0.693/AV8</f>
        <v>66.155354824913829</v>
      </c>
      <c r="AX7" s="262" t="s">
        <v>23</v>
      </c>
      <c r="AY7" s="288">
        <f>0.693/AY8</f>
        <v>66.155354824913829</v>
      </c>
      <c r="BA7" s="262" t="s">
        <v>23</v>
      </c>
      <c r="BB7" s="288">
        <f>0.693/BB8</f>
        <v>66.155354824913829</v>
      </c>
      <c r="BD7" s="262" t="s">
        <v>23</v>
      </c>
      <c r="BE7" s="288">
        <f>0.693/BE8</f>
        <v>66.155354824913829</v>
      </c>
      <c r="BG7" s="262" t="s">
        <v>23</v>
      </c>
      <c r="BH7" s="288">
        <f>0.693/BH8</f>
        <v>66.155354824913829</v>
      </c>
      <c r="BJ7" s="262" t="s">
        <v>23</v>
      </c>
      <c r="BK7" s="288">
        <f>0.693/BK8</f>
        <v>66.155354824913829</v>
      </c>
      <c r="BM7" s="262" t="s">
        <v>23</v>
      </c>
      <c r="BN7" s="288">
        <f>0.693/BN8</f>
        <v>66.155354824913829</v>
      </c>
      <c r="BP7" s="262" t="s">
        <v>23</v>
      </c>
      <c r="BQ7" s="288">
        <f>0.693/BQ8</f>
        <v>66.155354824913829</v>
      </c>
      <c r="BS7" s="266" t="s">
        <v>270</v>
      </c>
      <c r="BT7" s="287">
        <f>B31</f>
        <v>1.04753425E-2</v>
      </c>
      <c r="BU7" s="249" t="s">
        <v>69</v>
      </c>
      <c r="BV7" s="262" t="s">
        <v>43</v>
      </c>
      <c r="BW7" s="290">
        <f>E10</f>
        <v>3.1999999999999999E-11</v>
      </c>
      <c r="BX7" s="263" t="s">
        <v>35</v>
      </c>
      <c r="BY7" s="262" t="s">
        <v>43</v>
      </c>
      <c r="BZ7" s="290">
        <f>B19</f>
        <v>3.1999999999999999E-11</v>
      </c>
      <c r="CA7" s="263" t="s">
        <v>35</v>
      </c>
      <c r="CB7" s="262" t="s">
        <v>23</v>
      </c>
      <c r="CC7" s="288">
        <f>0.693/CC8</f>
        <v>66.155354824913829</v>
      </c>
      <c r="CE7" s="262" t="s">
        <v>23</v>
      </c>
      <c r="CF7" s="288">
        <f>0.693/CF8</f>
        <v>66.155354824913829</v>
      </c>
      <c r="CH7" s="262" t="s">
        <v>23</v>
      </c>
      <c r="CI7" s="288">
        <f>0.693/CI8</f>
        <v>66.155354824913829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3.1999999999999999E-11</v>
      </c>
      <c r="CV7" s="263" t="s">
        <v>35</v>
      </c>
      <c r="CW7" s="266" t="s">
        <v>270</v>
      </c>
      <c r="CX7" s="287">
        <f>B31</f>
        <v>1.04753425E-2</v>
      </c>
      <c r="CY7" s="249" t="s">
        <v>69</v>
      </c>
      <c r="CZ7" s="263" t="s">
        <v>43</v>
      </c>
      <c r="DA7" s="290">
        <f>B19</f>
        <v>3.1999999999999999E-11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0.82303427313698274</v>
      </c>
      <c r="DH7" s="249" t="s">
        <v>19</v>
      </c>
      <c r="DI7" s="262" t="s">
        <v>37</v>
      </c>
      <c r="DJ7" s="287">
        <f>B44</f>
        <v>0</v>
      </c>
      <c r="DL7" s="262" t="s">
        <v>37</v>
      </c>
      <c r="DM7" s="287">
        <f>B44</f>
        <v>0</v>
      </c>
      <c r="DO7" s="249" t="s">
        <v>36</v>
      </c>
      <c r="DP7" s="118">
        <f>(DP8*DP9*DP15*DP21*((1-EXP(-DP16*DP17))))/(DP18*DP16)</f>
        <v>0.82303427313698274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0</v>
      </c>
      <c r="EA7" s="262" t="s">
        <v>38</v>
      </c>
      <c r="EB7" s="287">
        <f>B45</f>
        <v>0</v>
      </c>
      <c r="EC7" s="263"/>
      <c r="ED7" s="262" t="s">
        <v>38</v>
      </c>
      <c r="EE7" s="287">
        <f>B45</f>
        <v>0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0</v>
      </c>
      <c r="EP7" s="262" t="s">
        <v>38</v>
      </c>
      <c r="EQ7" s="287">
        <f>B45</f>
        <v>0</v>
      </c>
      <c r="ER7" s="263"/>
      <c r="ES7" s="262" t="s">
        <v>38</v>
      </c>
      <c r="ET7" s="287">
        <f>B45</f>
        <v>0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0</v>
      </c>
      <c r="FD7" s="262"/>
      <c r="FE7" s="262" t="s">
        <v>38</v>
      </c>
      <c r="FF7" s="305">
        <f>B45</f>
        <v>0</v>
      </c>
      <c r="FG7" s="263"/>
      <c r="FH7" s="263" t="s">
        <v>38</v>
      </c>
      <c r="FI7" s="290">
        <f>B45</f>
        <v>0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0</v>
      </c>
      <c r="GH7" s="262"/>
      <c r="GI7" s="262" t="s">
        <v>38</v>
      </c>
      <c r="GJ7" s="305">
        <f>B45</f>
        <v>0</v>
      </c>
      <c r="GK7" s="262"/>
      <c r="GL7" s="262" t="s">
        <v>38</v>
      </c>
      <c r="GM7" s="305">
        <f>B45</f>
        <v>0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0</v>
      </c>
      <c r="GW7" s="262"/>
      <c r="GX7" s="262" t="s">
        <v>38</v>
      </c>
      <c r="GY7" s="305">
        <f>B45</f>
        <v>0</v>
      </c>
      <c r="GZ7" s="262"/>
      <c r="HA7" s="262" t="s">
        <v>38</v>
      </c>
      <c r="HB7" s="305">
        <f>B45</f>
        <v>0</v>
      </c>
      <c r="HC7" s="263"/>
      <c r="HD7" s="262" t="s">
        <v>23</v>
      </c>
      <c r="HE7" s="288">
        <f>0.693/HE8</f>
        <v>66.155354824913829</v>
      </c>
    </row>
    <row r="8" spans="1:214" x14ac:dyDescent="0.2">
      <c r="A8" s="279" t="s">
        <v>458</v>
      </c>
      <c r="B8" s="70">
        <v>4.2700000000000002E-2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3.5145699120000001E-15</v>
      </c>
      <c r="I8" s="263" t="s">
        <v>35</v>
      </c>
      <c r="J8" s="262" t="s">
        <v>71</v>
      </c>
      <c r="K8" s="287">
        <f>B23</f>
        <v>1.6930652399999999E-9</v>
      </c>
      <c r="L8" s="262" t="s">
        <v>445</v>
      </c>
      <c r="M8" s="266" t="s">
        <v>270</v>
      </c>
      <c r="N8" s="287">
        <f>B31</f>
        <v>1.04753425E-2</v>
      </c>
      <c r="O8" s="249" t="s">
        <v>69</v>
      </c>
      <c r="P8" s="266" t="s">
        <v>270</v>
      </c>
      <c r="Q8" s="287">
        <f>B31</f>
        <v>1.04753425E-2</v>
      </c>
      <c r="R8" s="249" t="s">
        <v>69</v>
      </c>
      <c r="S8" s="266" t="s">
        <v>270</v>
      </c>
      <c r="T8" s="287">
        <f>B31</f>
        <v>1.04753425E-2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1.04753425E-2</v>
      </c>
      <c r="AK8" s="249" t="s">
        <v>69</v>
      </c>
      <c r="AL8" s="266" t="s">
        <v>270</v>
      </c>
      <c r="AM8" s="287">
        <f>B31</f>
        <v>1.04753425E-2</v>
      </c>
      <c r="AN8" s="249" t="s">
        <v>69</v>
      </c>
      <c r="AO8" s="266" t="s">
        <v>270</v>
      </c>
      <c r="AP8" s="287">
        <f>B31</f>
        <v>1.04753425E-2</v>
      </c>
      <c r="AQ8" s="249" t="s">
        <v>69</v>
      </c>
      <c r="AR8" s="266" t="s">
        <v>270</v>
      </c>
      <c r="AS8" s="287">
        <f>B31</f>
        <v>1.04753425E-2</v>
      </c>
      <c r="AT8" s="249" t="s">
        <v>69</v>
      </c>
      <c r="AU8" s="266" t="s">
        <v>270</v>
      </c>
      <c r="AV8" s="287">
        <f>B31</f>
        <v>1.04753425E-2</v>
      </c>
      <c r="AW8" s="249" t="s">
        <v>69</v>
      </c>
      <c r="AX8" s="266" t="s">
        <v>270</v>
      </c>
      <c r="AY8" s="287">
        <f>B31</f>
        <v>1.04753425E-2</v>
      </c>
      <c r="AZ8" s="249" t="s">
        <v>69</v>
      </c>
      <c r="BA8" s="266" t="s">
        <v>270</v>
      </c>
      <c r="BB8" s="287">
        <f>B31</f>
        <v>1.04753425E-2</v>
      </c>
      <c r="BC8" s="249" t="s">
        <v>69</v>
      </c>
      <c r="BD8" s="266" t="s">
        <v>270</v>
      </c>
      <c r="BE8" s="287">
        <f>B31</f>
        <v>1.04753425E-2</v>
      </c>
      <c r="BF8" s="249" t="s">
        <v>69</v>
      </c>
      <c r="BG8" s="266" t="s">
        <v>270</v>
      </c>
      <c r="BH8" s="287">
        <f>B31</f>
        <v>1.04753425E-2</v>
      </c>
      <c r="BI8" s="249" t="s">
        <v>69</v>
      </c>
      <c r="BJ8" s="266" t="s">
        <v>270</v>
      </c>
      <c r="BK8" s="287">
        <f>B31</f>
        <v>1.04753425E-2</v>
      </c>
      <c r="BL8" s="249" t="s">
        <v>69</v>
      </c>
      <c r="BM8" s="266" t="s">
        <v>270</v>
      </c>
      <c r="BN8" s="287">
        <f>B31</f>
        <v>1.04753425E-2</v>
      </c>
      <c r="BO8" s="249" t="s">
        <v>69</v>
      </c>
      <c r="BP8" s="266" t="s">
        <v>270</v>
      </c>
      <c r="BQ8" s="287">
        <f>B31</f>
        <v>1.04753425E-2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3.5145699120000001E-15</v>
      </c>
      <c r="BX8" s="263" t="s">
        <v>35</v>
      </c>
      <c r="BY8" s="262" t="s">
        <v>71</v>
      </c>
      <c r="BZ8" s="287">
        <f>B23</f>
        <v>1.6930652399999999E-9</v>
      </c>
      <c r="CA8" s="262" t="s">
        <v>95</v>
      </c>
      <c r="CB8" s="266" t="s">
        <v>270</v>
      </c>
      <c r="CC8" s="287">
        <f>B31</f>
        <v>1.04753425E-2</v>
      </c>
      <c r="CD8" s="249" t="s">
        <v>69</v>
      </c>
      <c r="CE8" s="266" t="s">
        <v>270</v>
      </c>
      <c r="CF8" s="287">
        <f>B31</f>
        <v>1.04753425E-2</v>
      </c>
      <c r="CG8" s="249" t="s">
        <v>69</v>
      </c>
      <c r="CH8" s="266" t="s">
        <v>270</v>
      </c>
      <c r="CI8" s="287">
        <f>B31</f>
        <v>1.04753425E-2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0</v>
      </c>
      <c r="CT8" s="262" t="s">
        <v>71</v>
      </c>
      <c r="CU8" s="287">
        <f>B23</f>
        <v>1.6930652399999999E-9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3.5145699120000001E-15</v>
      </c>
      <c r="DB8" s="262" t="s">
        <v>35</v>
      </c>
      <c r="DC8" s="262" t="s">
        <v>380</v>
      </c>
      <c r="DD8" s="297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1.04753425E-2</v>
      </c>
      <c r="HF8" s="249" t="s">
        <v>69</v>
      </c>
    </row>
    <row r="9" spans="1:214" x14ac:dyDescent="0.2">
      <c r="A9" s="279" t="s">
        <v>459</v>
      </c>
      <c r="B9" s="70">
        <v>0.72299999999999998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0</v>
      </c>
      <c r="I9" s="267" t="s">
        <v>35</v>
      </c>
      <c r="J9" s="262" t="s">
        <v>438</v>
      </c>
      <c r="K9" s="287">
        <f>B30</f>
        <v>0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0</v>
      </c>
      <c r="AD9" s="287">
        <f>B22</f>
        <v>0</v>
      </c>
      <c r="AE9" s="287">
        <f>B22</f>
        <v>0</v>
      </c>
      <c r="AF9" s="287">
        <f>B22</f>
        <v>0</v>
      </c>
      <c r="AG9" s="287">
        <f>B22</f>
        <v>0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331</v>
      </c>
      <c r="CO9" s="306">
        <f>B49</f>
        <v>0.25</v>
      </c>
      <c r="CT9" s="262" t="s">
        <v>256</v>
      </c>
      <c r="CU9" s="287">
        <f>B30</f>
        <v>0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0</v>
      </c>
      <c r="DB9" s="263" t="s">
        <v>35</v>
      </c>
      <c r="DC9" s="262" t="s">
        <v>381</v>
      </c>
      <c r="DD9" s="297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0</v>
      </c>
      <c r="EA9" s="262" t="s">
        <v>278</v>
      </c>
      <c r="EB9" s="287">
        <f>B37</f>
        <v>0</v>
      </c>
      <c r="EC9" s="263"/>
      <c r="ED9" s="262" t="s">
        <v>278</v>
      </c>
      <c r="EE9" s="287">
        <f>B37</f>
        <v>0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0</v>
      </c>
      <c r="EP9" s="262" t="s">
        <v>275</v>
      </c>
      <c r="EQ9" s="310">
        <f>B38</f>
        <v>0</v>
      </c>
      <c r="ER9" s="263"/>
      <c r="ES9" s="262" t="s">
        <v>275</v>
      </c>
      <c r="ET9" s="310">
        <f>B38</f>
        <v>0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5.8400000000000001E-2</v>
      </c>
      <c r="C10" s="241"/>
      <c r="D10" s="88" t="s">
        <v>43</v>
      </c>
      <c r="E10" s="187">
        <f>B19</f>
        <v>3.1999999999999999E-11</v>
      </c>
      <c r="F10" s="188" t="s">
        <v>35</v>
      </c>
      <c r="G10" s="266" t="s">
        <v>80</v>
      </c>
      <c r="H10" s="294" t="e">
        <f>H5/(H6*H15)</f>
        <v>#DIV/0!</v>
      </c>
      <c r="I10" s="271" t="s">
        <v>14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3.1999999999999999E-11</v>
      </c>
      <c r="X10" s="263" t="s">
        <v>44</v>
      </c>
      <c r="Y10" s="249" t="s">
        <v>43</v>
      </c>
      <c r="Z10" s="290">
        <f>B19</f>
        <v>3.1999999999999999E-11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3.1999999999999999E-11</v>
      </c>
      <c r="BU10" s="263" t="s">
        <v>35</v>
      </c>
      <c r="BV10" s="266" t="s">
        <v>80</v>
      </c>
      <c r="BW10" s="294" t="e">
        <f>BW5/(BW6*BW12)</f>
        <v>#DIV/0!</v>
      </c>
      <c r="BX10" s="271" t="s">
        <v>12</v>
      </c>
      <c r="BY10" s="188" t="s">
        <v>16</v>
      </c>
      <c r="BZ10" s="109">
        <f>(BZ33*BZ11)/(1-EXP(-BZ11*BZ33))</f>
        <v>1720.0392254477595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266" t="s">
        <v>270</v>
      </c>
      <c r="CL10" s="287">
        <f>B31</f>
        <v>1.04753425E-2</v>
      </c>
      <c r="CM10" s="249" t="s">
        <v>69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3.1999999999999999E-11</v>
      </c>
      <c r="CY10" s="263" t="s">
        <v>35</v>
      </c>
      <c r="CZ10" s="263" t="s">
        <v>16</v>
      </c>
      <c r="DA10" s="288">
        <f>(DA38*DA11)/(1-EXP(-DA11*DA38))</f>
        <v>2646.2141929965533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0</v>
      </c>
      <c r="DL10" s="267"/>
      <c r="DO10" s="267" t="s">
        <v>37</v>
      </c>
      <c r="DP10" s="287">
        <f>B44</f>
        <v>0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0.70099999999999996</v>
      </c>
      <c r="C11" s="241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H5/(H7*H16*H28)</f>
        <v>0.38819875776397517</v>
      </c>
      <c r="I11" s="271" t="s">
        <v>14</v>
      </c>
      <c r="J11" s="188" t="s">
        <v>16</v>
      </c>
      <c r="K11" s="109">
        <f>(K46*K12)/(1-EXP(-K12*K46))</f>
        <v>1720.0392254477595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BW5/(BW8*(1/BW31)*BW15)</f>
        <v>1278195570.0950336</v>
      </c>
      <c r="BX11" s="271" t="s">
        <v>12</v>
      </c>
      <c r="BY11" s="266" t="s">
        <v>23</v>
      </c>
      <c r="BZ11" s="109">
        <f>0.693/BZ12</f>
        <v>66.155354824913829</v>
      </c>
      <c r="CA11" s="88"/>
      <c r="CB11" s="249" t="s">
        <v>456</v>
      </c>
      <c r="CC11" s="287">
        <f>B3</f>
        <v>6.8000000000000005E-2</v>
      </c>
      <c r="CE11" s="249" t="s">
        <v>454</v>
      </c>
      <c r="CF11" s="287">
        <f>B6</f>
        <v>3.7100000000000001E-2</v>
      </c>
      <c r="CH11" s="249" t="s">
        <v>460</v>
      </c>
      <c r="CI11" s="287">
        <f>B10</f>
        <v>5.8400000000000001E-2</v>
      </c>
      <c r="CK11" s="249" t="s">
        <v>23</v>
      </c>
      <c r="CL11" s="288">
        <f>0.693/CL10</f>
        <v>66.155354824913829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2646.2141929965533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66.155354824913829</v>
      </c>
      <c r="DC11" s="262" t="s">
        <v>382</v>
      </c>
      <c r="DD11" s="297">
        <f>B141</f>
        <v>41.7</v>
      </c>
      <c r="DE11" s="267" t="s">
        <v>254</v>
      </c>
      <c r="DF11" s="267" t="s">
        <v>55</v>
      </c>
      <c r="DG11" s="288">
        <f>DG19+DG20</f>
        <v>0.18144061256544503</v>
      </c>
      <c r="DL11" s="267"/>
      <c r="DO11" s="267" t="s">
        <v>55</v>
      </c>
      <c r="DP11" s="288">
        <f>DP19+DP20</f>
        <v>0.18144061256544503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2.2499999999999999E-2</v>
      </c>
      <c r="C12" s="241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H5/(H8*(1/H45)*H21)</f>
        <v>408335740.77413428</v>
      </c>
      <c r="I12" s="271" t="s">
        <v>14</v>
      </c>
      <c r="J12" s="266" t="s">
        <v>23</v>
      </c>
      <c r="K12" s="109">
        <f>0.693/K13</f>
        <v>66.155354824913829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1.04753425E-2</v>
      </c>
      <c r="CA12" s="88" t="s">
        <v>69</v>
      </c>
      <c r="CB12" s="249" t="s">
        <v>457</v>
      </c>
      <c r="CC12" s="287">
        <f>B4</f>
        <v>0.75600000000000001</v>
      </c>
      <c r="CE12" s="249" t="s">
        <v>455</v>
      </c>
      <c r="CF12" s="287">
        <f>B7</f>
        <v>0.65</v>
      </c>
      <c r="CH12" s="249" t="s">
        <v>461</v>
      </c>
      <c r="CI12" s="287">
        <f>B11</f>
        <v>0.70099999999999996</v>
      </c>
      <c r="CK12" s="249" t="s">
        <v>16</v>
      </c>
      <c r="CL12" s="288">
        <f>(CL13*CL11)/(1-EXP(-CL11*CL13))</f>
        <v>1720.0392254477595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66.155354824913829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1.04753425E-2</v>
      </c>
      <c r="DB12" s="249" t="s">
        <v>69</v>
      </c>
      <c r="DC12" s="262" t="s">
        <v>383</v>
      </c>
      <c r="DD12" s="297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0.46300000000000002</v>
      </c>
      <c r="C13" s="242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 t="e">
        <f>H14/((1/H42)*(H50+H51+H52))</f>
        <v>#DIV/0!</v>
      </c>
      <c r="I13" s="271" t="s">
        <v>14</v>
      </c>
      <c r="J13" s="266" t="s">
        <v>270</v>
      </c>
      <c r="K13" s="189">
        <f>B31</f>
        <v>1.04753425E-2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6.8000000000000005E-2</v>
      </c>
      <c r="BM13" s="249" t="s">
        <v>454</v>
      </c>
      <c r="BN13" s="287">
        <f>B6</f>
        <v>3.7100000000000001E-2</v>
      </c>
      <c r="BP13" s="249" t="s">
        <v>460</v>
      </c>
      <c r="BQ13" s="287">
        <f>B10</f>
        <v>5.8400000000000001E-2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 t="e">
        <f>(BZ5/(BZ6*BZ16*(1/BZ36)))*BZ10</f>
        <v>#DIV/0!</v>
      </c>
      <c r="CA13" s="271" t="s">
        <v>13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111</v>
      </c>
      <c r="CL13" s="289">
        <f>B109</f>
        <v>26</v>
      </c>
      <c r="CM13" s="249" t="s">
        <v>69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1.04753425E-2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 t="e">
        <f>DA5/(DA6*DA23)</f>
        <v>#DIV/0!</v>
      </c>
      <c r="DB13" s="266" t="s">
        <v>14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thickTop="1" x14ac:dyDescent="0.2">
      <c r="A14" s="583" t="s">
        <v>272</v>
      </c>
      <c r="B14" s="584"/>
      <c r="C14" s="685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 t="e">
        <f>H5/(H9*(H22+H25)*H43)</f>
        <v>#DIV/0!</v>
      </c>
      <c r="I14" s="271" t="s">
        <v>13</v>
      </c>
      <c r="J14" s="266" t="s">
        <v>80</v>
      </c>
      <c r="K14" s="294" t="e">
        <f>(K5/(K6*K19*(1/K49)))*K11</f>
        <v>#DIV/0!</v>
      </c>
      <c r="L14" s="271" t="s">
        <v>13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1.6230073680000001E-12</v>
      </c>
      <c r="X14" s="262" t="s">
        <v>64</v>
      </c>
      <c r="Y14" s="262" t="s">
        <v>63</v>
      </c>
      <c r="Z14" s="287">
        <f>B28</f>
        <v>1.6230073680000001E-12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0.75600000000000001</v>
      </c>
      <c r="BM14" s="249" t="s">
        <v>455</v>
      </c>
      <c r="BN14" s="287">
        <f>B7</f>
        <v>0.65</v>
      </c>
      <c r="BP14" s="249" t="s">
        <v>461</v>
      </c>
      <c r="BQ14" s="287">
        <f>B11</f>
        <v>0.70099999999999996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(BZ5/(BZ7*BZ17*(1/BZ9)*BZ35))*BZ10</f>
        <v>50828822075.123947</v>
      </c>
      <c r="CA14" s="271" t="s">
        <v>13</v>
      </c>
      <c r="CB14" s="249" t="s">
        <v>71</v>
      </c>
      <c r="CC14" s="290">
        <f>B23</f>
        <v>1.6930652399999999E-9</v>
      </c>
      <c r="CD14" s="263" t="s">
        <v>72</v>
      </c>
      <c r="CE14" s="249" t="s">
        <v>71</v>
      </c>
      <c r="CF14" s="290">
        <f>B25</f>
        <v>3.5700000000000001E-10</v>
      </c>
      <c r="CG14" s="263" t="s">
        <v>72</v>
      </c>
      <c r="CH14" s="249" t="s">
        <v>71</v>
      </c>
      <c r="CI14" s="290">
        <f>B27</f>
        <v>1.5412731840000001E-9</v>
      </c>
      <c r="CJ14" s="263" t="s">
        <v>72</v>
      </c>
      <c r="CK14" s="263"/>
      <c r="CL14" s="307"/>
      <c r="CM14" s="263"/>
      <c r="CO14" s="308"/>
      <c r="CQ14" s="263"/>
      <c r="CR14" s="307"/>
      <c r="CS14" s="263"/>
      <c r="CT14" s="266" t="s">
        <v>80</v>
      </c>
      <c r="CU14" s="294" t="e">
        <f>(CU5/(CU6*CU24*(1/CU47)))*CU11</f>
        <v>#DIV/0!</v>
      </c>
      <c r="CV14" s="271" t="s">
        <v>13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DA5/(DA7*DA24*DA46)</f>
        <v>0.24131274131274133</v>
      </c>
      <c r="DB14" s="266" t="s">
        <v>14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(K5/(K7*K20*(1/K10)*K48))*K11</f>
        <v>453828768.52789235</v>
      </c>
      <c r="L15" s="271" t="s">
        <v>13</v>
      </c>
      <c r="M15" s="249" t="s">
        <v>448</v>
      </c>
      <c r="N15" s="290">
        <f>B23</f>
        <v>1.6930652399999999E-9</v>
      </c>
      <c r="O15" s="263" t="s">
        <v>446</v>
      </c>
      <c r="P15" s="249" t="s">
        <v>449</v>
      </c>
      <c r="Q15" s="290">
        <f>B25</f>
        <v>3.5700000000000001E-10</v>
      </c>
      <c r="R15" s="263" t="s">
        <v>446</v>
      </c>
      <c r="S15" s="249" t="s">
        <v>453</v>
      </c>
      <c r="T15" s="290">
        <f>B27</f>
        <v>1.5412731840000001E-9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1.6930652399999999E-9</v>
      </c>
      <c r="AK15" s="263" t="s">
        <v>72</v>
      </c>
      <c r="AL15" s="262" t="s">
        <v>449</v>
      </c>
      <c r="AM15" s="290">
        <f>B25</f>
        <v>3.5700000000000001E-10</v>
      </c>
      <c r="AN15" s="263" t="s">
        <v>72</v>
      </c>
      <c r="AO15" s="262" t="s">
        <v>452</v>
      </c>
      <c r="AP15" s="290">
        <f>B27</f>
        <v>1.5412731840000001E-9</v>
      </c>
      <c r="AQ15" s="263" t="s">
        <v>72</v>
      </c>
      <c r="AR15" s="249" t="s">
        <v>448</v>
      </c>
      <c r="AS15" s="290">
        <f>B23</f>
        <v>1.6930652399999999E-9</v>
      </c>
      <c r="AT15" s="263" t="s">
        <v>72</v>
      </c>
      <c r="AU15" s="262" t="s">
        <v>449</v>
      </c>
      <c r="AV15" s="290">
        <f>B25</f>
        <v>3.5700000000000001E-10</v>
      </c>
      <c r="AW15" s="263" t="s">
        <v>72</v>
      </c>
      <c r="AX15" s="262" t="s">
        <v>452</v>
      </c>
      <c r="AY15" s="290">
        <f>B27</f>
        <v>1.5412731840000001E-9</v>
      </c>
      <c r="AZ15" s="263" t="s">
        <v>72</v>
      </c>
      <c r="BA15" s="249" t="s">
        <v>448</v>
      </c>
      <c r="BB15" s="290">
        <f>B23</f>
        <v>1.6930652399999999E-9</v>
      </c>
      <c r="BC15" s="263" t="s">
        <v>72</v>
      </c>
      <c r="BD15" s="262" t="s">
        <v>449</v>
      </c>
      <c r="BE15" s="290">
        <f>B25</f>
        <v>3.5700000000000001E-10</v>
      </c>
      <c r="BF15" s="263" t="s">
        <v>72</v>
      </c>
      <c r="BG15" s="262" t="s">
        <v>452</v>
      </c>
      <c r="BH15" s="290">
        <f>B27</f>
        <v>1.5412731840000001E-9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((BZ5)/(BZ8*BZ22*(1/BZ34)*BZ25*BZ28*(1/24)*BZ31*BZ32))*BZ10</f>
        <v>88777609.016369745</v>
      </c>
      <c r="CA15" s="271" t="s">
        <v>13</v>
      </c>
      <c r="CT15" s="266" t="s">
        <v>74</v>
      </c>
      <c r="CU15" s="295">
        <f>(CU5/(CU7*CU25*(1/CU10)*CU46))*CU11</f>
        <v>434015038.50900316</v>
      </c>
      <c r="CV15" s="271" t="s">
        <v>13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DA5/(DA8*DA25*(DA47/DA48))</f>
        <v>260094058.40397739</v>
      </c>
      <c r="DB15" s="266" t="s">
        <v>14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s="51" customFormat="1" x14ac:dyDescent="0.2">
      <c r="A16" s="585"/>
      <c r="B16" s="586"/>
      <c r="C16" s="6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(K5/(K8*K45*((K40*K44*(1/24))+(K41*K43*(1/24)))*K32*(1/K47)*K34))*K11</f>
        <v>117567.57801071471</v>
      </c>
      <c r="L16" s="271" t="s">
        <v>13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(W5)/((W11/W12)*W8*W9*W10*W13)</f>
        <v>0.27777777777777779</v>
      </c>
      <c r="X16" s="88" t="s">
        <v>15</v>
      </c>
      <c r="Y16" s="88" t="s">
        <v>74</v>
      </c>
      <c r="Z16" s="294">
        <f>(Z5)/((Z11/Z12)*Z8*Z9*Z10*Z13)</f>
        <v>0.25000000000000006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6.8000000000000005E-2</v>
      </c>
      <c r="AG16" s="305">
        <f>B3</f>
        <v>6.8000000000000005E-2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1.6930652399999999E-9</v>
      </c>
      <c r="BL16" s="263" t="s">
        <v>72</v>
      </c>
      <c r="BM16" s="262" t="s">
        <v>449</v>
      </c>
      <c r="BN16" s="290">
        <f>B25</f>
        <v>3.5700000000000001E-10</v>
      </c>
      <c r="BO16" s="263" t="s">
        <v>72</v>
      </c>
      <c r="BP16" s="262" t="s">
        <v>452</v>
      </c>
      <c r="BQ16" s="290">
        <f>B27</f>
        <v>1.5412731840000001E-9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2"/>
      <c r="CC16" s="293"/>
      <c r="CD16" s="262"/>
      <c r="CE16" s="262"/>
      <c r="CF16" s="293"/>
      <c r="CG16" s="262"/>
      <c r="CH16" s="249"/>
      <c r="CI16" s="289"/>
      <c r="CJ16" s="249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(CU5*CU44*CU12)/((1-EXP(-CU12*CU44))*CU8*CU31*(1/365)*CU32*((CU38*(1/24)*CU42)+(CU39*(1/24)*CU41))*CU43)</f>
        <v>60476.287531186885</v>
      </c>
      <c r="CV16" s="271" t="s">
        <v>13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 t="e">
        <f>DG2</f>
        <v>#DIV/0!</v>
      </c>
      <c r="DB16" s="266" t="s">
        <v>14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0.23091361256544501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0.23091361256544501</v>
      </c>
      <c r="DQ16" s="262" t="s">
        <v>82</v>
      </c>
      <c r="DR16" s="267" t="s">
        <v>400</v>
      </c>
      <c r="DS16" s="297">
        <f>B175</f>
        <v>1</v>
      </c>
      <c r="DT16" s="249"/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0.23091361256544501</v>
      </c>
      <c r="EF16" s="262" t="s">
        <v>82</v>
      </c>
      <c r="EG16" s="267" t="s">
        <v>401</v>
      </c>
      <c r="EH16" s="297">
        <f>B176</f>
        <v>1</v>
      </c>
      <c r="EI16" s="249"/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0.23091361256544501</v>
      </c>
      <c r="EU16" s="262" t="s">
        <v>82</v>
      </c>
      <c r="EV16" s="267" t="s">
        <v>402</v>
      </c>
      <c r="EW16" s="297">
        <f>B177</f>
        <v>1</v>
      </c>
      <c r="EX16" s="249"/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0.23091361256544501</v>
      </c>
      <c r="FJ16" s="262" t="s">
        <v>82</v>
      </c>
      <c r="FK16" s="267" t="s">
        <v>403</v>
      </c>
      <c r="FL16" s="297">
        <f>B178</f>
        <v>1</v>
      </c>
      <c r="FM16" s="249"/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B16" s="249"/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0.23091361256544501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0.23091361256544501</v>
      </c>
      <c r="HC16" s="262" t="s">
        <v>82</v>
      </c>
      <c r="HD16" s="262"/>
      <c r="HE16" s="293"/>
      <c r="HF16" s="262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 t="e">
        <f>(K18/(K50+K51))*K11</f>
        <v>#DIV/0!</v>
      </c>
      <c r="L17" s="271" t="s">
        <v>13</v>
      </c>
      <c r="M17" s="262"/>
      <c r="N17" s="293"/>
      <c r="O17" s="262"/>
      <c r="P17" s="262"/>
      <c r="Q17" s="293"/>
      <c r="R17" s="262"/>
      <c r="S17" s="262"/>
      <c r="T17" s="293"/>
      <c r="U17" s="262"/>
      <c r="V17" s="88" t="s">
        <v>78</v>
      </c>
      <c r="W17" s="296">
        <f>(W5)/((W11/W12)*W8*W9*W14*(1/365))</f>
        <v>119941.94881970901</v>
      </c>
      <c r="X17" s="88" t="s">
        <v>15</v>
      </c>
      <c r="Y17" s="88" t="s">
        <v>78</v>
      </c>
      <c r="Z17" s="296">
        <f>(Z5)/((Z11/Z12)*Z8*Z9*Z14*(1/365))</f>
        <v>107947.75393773813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262"/>
      <c r="AJ17" s="293"/>
      <c r="AK17" s="262"/>
      <c r="AL17" s="262"/>
      <c r="AM17" s="293"/>
      <c r="AN17" s="262"/>
      <c r="AO17" s="262"/>
      <c r="AP17" s="293"/>
      <c r="AQ17" s="262"/>
      <c r="AR17" s="262"/>
      <c r="AS17" s="293"/>
      <c r="AT17" s="262"/>
      <c r="AU17" s="262"/>
      <c r="AV17" s="293"/>
      <c r="AW17" s="262"/>
      <c r="AX17" s="262"/>
      <c r="AY17" s="293"/>
      <c r="AZ17" s="262"/>
      <c r="BA17" s="262"/>
      <c r="BB17" s="293"/>
      <c r="BC17" s="262"/>
      <c r="BD17" s="262"/>
      <c r="BE17" s="293"/>
      <c r="BF17" s="262"/>
      <c r="BG17" s="262"/>
      <c r="BH17" s="293"/>
      <c r="BI17" s="262"/>
      <c r="BJ17" s="262"/>
      <c r="BK17" s="293"/>
      <c r="BL17" s="262"/>
      <c r="BM17" s="262"/>
      <c r="BN17" s="293"/>
      <c r="BO17" s="262"/>
      <c r="BP17" s="262"/>
      <c r="BQ17" s="293"/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 t="e">
        <f>DJ2</f>
        <v>#DIV/0!</v>
      </c>
      <c r="CV17" s="271" t="s">
        <v>13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66.155354824913829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1.6230073680000001E-12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 t="e">
        <f>K5/(K9*(K25+K28)*K39)</f>
        <v>#DIV/0!</v>
      </c>
      <c r="L18" s="271" t="s">
        <v>13</v>
      </c>
      <c r="V18" s="88" t="s">
        <v>74</v>
      </c>
      <c r="W18" s="294">
        <f>(W5*W6*W9)/((W11/W12)*(1-EXP(-W6*W9))*W10*W13*W8*W9)</f>
        <v>459.41218628412378</v>
      </c>
      <c r="X18" s="88" t="s">
        <v>16</v>
      </c>
      <c r="Y18" s="88" t="s">
        <v>74</v>
      </c>
      <c r="Z18" s="294">
        <f>(Z5*Z6*Z9)/((Z11/Z12)*(1-EXP(-Z6*Z9))*Z10*Z13*Z8*Z9)</f>
        <v>413.47096765571143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13</v>
      </c>
      <c r="CW18" s="266" t="s">
        <v>63</v>
      </c>
      <c r="CX18" s="189">
        <f>B28</f>
        <v>1.6230073680000001E-12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66.155354824913829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66.155354824913829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66.155354824913829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66.155354824913829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66.155354824913829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1.04753425E-2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3.1999999999999999E-11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(W5*W6*W9)/((W11/W12)*(1-EXP(-W6*W9))*W14*W8*W9*(1/365))</f>
        <v>198370054.56398761</v>
      </c>
      <c r="X19" s="88" t="s">
        <v>16</v>
      </c>
      <c r="Y19" s="88" t="s">
        <v>78</v>
      </c>
      <c r="Z19" s="296">
        <f>(Z5*Z6*Z9)/((Z11/Z12)*(1-EXP(-Z6*Z9))*Z14*Z8*Z9*(1/365))</f>
        <v>178533049.10758886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0.75600000000000001</v>
      </c>
      <c r="AG19" s="305">
        <f>B4</f>
        <v>0.75600000000000001</v>
      </c>
      <c r="AH19" s="267"/>
      <c r="BS19" s="262" t="s">
        <v>63</v>
      </c>
      <c r="BT19" s="287">
        <f>E18</f>
        <v>1.6230073680000001E-12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(CC22*CC23*CC24)/((1-EXP(-CC24*CC23))*CC27*CC31*(CC26/365)*CC29*(CC30/24)*CC28)</f>
        <v>2117470608.8327749</v>
      </c>
      <c r="CD19" s="404" t="s">
        <v>94</v>
      </c>
      <c r="CE19" s="402" t="s">
        <v>562</v>
      </c>
      <c r="CF19" s="400">
        <f>(CF22*CF23*CF24)/((1-EXP(-CF24*CF23))*CF27*CF31*(CF26/365)*CF29*(CF30/24)*CF28)</f>
        <v>248557707.44814008</v>
      </c>
      <c r="CG19" s="398" t="s">
        <v>13</v>
      </c>
      <c r="CK19" s="410" t="s">
        <v>510</v>
      </c>
      <c r="CL19" s="400" t="e">
        <f>CL22/(CL23*CL24*CL25*CL26)</f>
        <v>#DIV/0!</v>
      </c>
      <c r="CM19" s="404" t="s">
        <v>13</v>
      </c>
      <c r="CN19" s="402" t="s">
        <v>7</v>
      </c>
      <c r="CO19" s="400" t="e">
        <f>(CL19/(CO22*((CO27*CO29*CO30*(CO23+CO24))+(CO28*CO29))))*CL29</f>
        <v>#DIV/0!</v>
      </c>
      <c r="CP19" s="412" t="s">
        <v>13</v>
      </c>
      <c r="CQ19" s="402" t="s">
        <v>6</v>
      </c>
      <c r="CR19" s="400" t="e">
        <f>CL19/(CR22*CR23*(1/CR24))</f>
        <v>#DIV/0!</v>
      </c>
      <c r="CS19" s="415" t="s">
        <v>14</v>
      </c>
      <c r="CT19" s="266" t="s">
        <v>258</v>
      </c>
      <c r="CU19" s="295" t="e">
        <f>GV2</f>
        <v>#DIV/0!</v>
      </c>
      <c r="CV19" s="271" t="s">
        <v>13</v>
      </c>
      <c r="CW19" s="266" t="s">
        <v>255</v>
      </c>
      <c r="CX19" s="304">
        <f>B173</f>
        <v>1</v>
      </c>
      <c r="CY19" s="88"/>
      <c r="CZ19" s="266" t="s">
        <v>184</v>
      </c>
      <c r="DA19" s="295" t="e">
        <f>EK2</f>
        <v>#DIV/0!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1.04753425E-2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1.04753425E-2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1.04753425E-2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1.04753425E-2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1.04753425E-2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267"/>
      <c r="GP19" s="292"/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0</v>
      </c>
      <c r="C20" s="263" t="s">
        <v>35</v>
      </c>
      <c r="D20" s="88" t="s">
        <v>74</v>
      </c>
      <c r="E20" s="294">
        <f>(E5)/(E10*E11)</f>
        <v>0.19409937888198758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AB20" s="262" t="s">
        <v>71</v>
      </c>
      <c r="AC20" s="287">
        <f>B23</f>
        <v>1.6930652399999999E-9</v>
      </c>
      <c r="AD20" s="287">
        <f>B23</f>
        <v>1.6930652399999999E-9</v>
      </c>
      <c r="AE20" s="287">
        <f>B23</f>
        <v>1.6930652399999999E-9</v>
      </c>
      <c r="AF20" s="287">
        <f>B23</f>
        <v>1.6930652399999999E-9</v>
      </c>
      <c r="AG20" s="287">
        <f>B23</f>
        <v>1.6930652399999999E-9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 t="e">
        <f>EN2</f>
        <v>#DIV/0!</v>
      </c>
      <c r="CV20" s="271" t="s">
        <v>13</v>
      </c>
      <c r="CW20" s="88" t="s">
        <v>74</v>
      </c>
      <c r="CX20" s="294">
        <f>(CX5)/((CX14/CX15)*CX10*CX11)</f>
        <v>0.12065637065637067</v>
      </c>
      <c r="CY20" s="88" t="s">
        <v>15</v>
      </c>
      <c r="CZ20" s="266" t="s">
        <v>493</v>
      </c>
      <c r="DA20" s="295" t="e">
        <f>DV2</f>
        <v>#DIV/0!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0.18141361256544503</v>
      </c>
      <c r="DH20" s="249" t="s">
        <v>82</v>
      </c>
      <c r="DL20" s="267"/>
      <c r="DO20" s="267" t="s">
        <v>90</v>
      </c>
      <c r="DP20" s="288">
        <f>0.693/B35</f>
        <v>0.18141361256544503</v>
      </c>
      <c r="DQ20" s="249" t="s">
        <v>82</v>
      </c>
      <c r="DU20" s="267"/>
      <c r="EA20" s="267"/>
      <c r="EB20" s="307"/>
      <c r="EC20" s="263"/>
      <c r="ED20" s="267" t="s">
        <v>90</v>
      </c>
      <c r="EE20" s="299">
        <f>0.693/B35</f>
        <v>0.18141361256544503</v>
      </c>
      <c r="EF20" s="263" t="s">
        <v>82</v>
      </c>
      <c r="EJ20" s="267"/>
      <c r="EP20" s="267"/>
      <c r="EQ20" s="307"/>
      <c r="ER20" s="263"/>
      <c r="ES20" s="267" t="s">
        <v>90</v>
      </c>
      <c r="ET20" s="299">
        <f>0.693/B35</f>
        <v>0.18141361256544503</v>
      </c>
      <c r="EU20" s="263" t="s">
        <v>82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0.18141361256544503</v>
      </c>
      <c r="FJ20" s="263" t="s">
        <v>82</v>
      </c>
      <c r="FK20" s="267"/>
      <c r="FL20" s="292"/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267"/>
      <c r="GA20" s="292"/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0.18141361256544503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0.18141361256544503</v>
      </c>
      <c r="HC20" s="263" t="s">
        <v>82</v>
      </c>
    </row>
    <row r="21" spans="1:214" ht="15" thickTop="1" thickBot="1" x14ac:dyDescent="0.25">
      <c r="A21" s="262" t="s">
        <v>316</v>
      </c>
      <c r="B21" s="315">
        <v>0</v>
      </c>
      <c r="C21" s="262" t="s">
        <v>35</v>
      </c>
      <c r="D21" s="88" t="s">
        <v>78</v>
      </c>
      <c r="E21" s="295">
        <f>(E5)/((E14/E15)*E8*E9*E18*(1/365)*E19)</f>
        <v>24713.31363043455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(N24*N25*N26)/((1-EXP(-N26*N25))*N29*N34*(N28/365)*N32*(((N33/24)*N31)+((N35/24)*N30)))</f>
        <v>568243.29371845443</v>
      </c>
      <c r="O21" s="637" t="s">
        <v>94</v>
      </c>
      <c r="P21" s="639" t="s">
        <v>516</v>
      </c>
      <c r="Q21" s="647">
        <f>(Q24*Q25*Q26)/((1-EXP(-Q26*Q25))*Q29*Q34*(Q28/365)*Q32*(((Q33/24)*Q31)+((Q35/24)*Q30)))</f>
        <v>197672.7598742304</v>
      </c>
      <c r="R21" s="643" t="s">
        <v>13</v>
      </c>
      <c r="AB21" s="262" t="s">
        <v>43</v>
      </c>
      <c r="AC21" s="290">
        <f>B19</f>
        <v>3.1999999999999999E-11</v>
      </c>
      <c r="AD21" s="290">
        <f>B19</f>
        <v>3.1999999999999999E-11</v>
      </c>
      <c r="AE21" s="290">
        <f>B19</f>
        <v>3.1999999999999999E-11</v>
      </c>
      <c r="AF21" s="290">
        <f>B19</f>
        <v>3.1999999999999999E-11</v>
      </c>
      <c r="AG21" s="290">
        <f>B19</f>
        <v>3.1999999999999999E-11</v>
      </c>
      <c r="AH21" s="263" t="s">
        <v>35</v>
      </c>
      <c r="AI21" s="381" t="s">
        <v>516</v>
      </c>
      <c r="AJ21" s="387">
        <f>(AJ24*AJ25*AJ26)/((1-EXP(-AJ26*AJ25))*AJ34*(AJ28/365)*AJ29*(AJ35/24)*AJ30*AJ32)</f>
        <v>2068007.8188295714</v>
      </c>
      <c r="AK21" s="629" t="s">
        <v>94</v>
      </c>
      <c r="AL21" s="383" t="s">
        <v>516</v>
      </c>
      <c r="AM21" s="387">
        <f>(AM24*AM25*AM26)/((1-EXP(-AM26*AM25))*AM34*(AM28/365)*AM29*(AM35/24)*AM30*AM32)</f>
        <v>719390.47501028667</v>
      </c>
      <c r="AN21" s="635" t="s">
        <v>13</v>
      </c>
      <c r="AR21" s="381" t="s">
        <v>516</v>
      </c>
      <c r="AS21" s="387">
        <f>(AS24*AS25*AS26)/((1-EXP(-AS26*AS25))*AS34*(AS28/365)*AS29*(AS33/24)*AS31*AS32)</f>
        <v>919114.5861464761</v>
      </c>
      <c r="AT21" s="391" t="s">
        <v>94</v>
      </c>
      <c r="AU21" s="383" t="s">
        <v>516</v>
      </c>
      <c r="AV21" s="387">
        <f>(AV24*AV25*AV26)/((1-EXP(-AV26*AV25))*AV34*(AV28/365)*AV29*(AV33/24)*AV31*AV32)</f>
        <v>319729.1000045719</v>
      </c>
      <c r="AW21" s="385" t="s">
        <v>13</v>
      </c>
      <c r="BA21" s="381" t="s">
        <v>516</v>
      </c>
      <c r="BB21" s="387">
        <f>(BB24*BB25*BB26)/((1-EXP(-BB26*BB25))*BB34*(BB28/365)*BB29*((BB33+BB35)/24)*BB31*BB32)</f>
        <v>827203.12753182848</v>
      </c>
      <c r="BC21" s="391" t="s">
        <v>94</v>
      </c>
      <c r="BD21" s="383" t="s">
        <v>516</v>
      </c>
      <c r="BE21" s="387">
        <f>(BE24*BE25*BE26)/((1-EXP(-BE26*BE25))*BE34*(BE28/365)*BE29*((BE33+BE35)/24)*BE31*BE32)</f>
        <v>287756.1900041147</v>
      </c>
      <c r="BF21" s="385" t="s">
        <v>13</v>
      </c>
      <c r="BJ21" s="381" t="s">
        <v>561</v>
      </c>
      <c r="BK21" s="389">
        <f>(BK24*BK25*BK26)/((1-EXP(-BK26*BK25))*BK31*BK35*(BK28/365)*BK33*(BK34/24)*BK32)</f>
        <v>152702207.36774817</v>
      </c>
      <c r="BL21" s="391" t="s">
        <v>94</v>
      </c>
      <c r="BM21" s="383" t="s">
        <v>562</v>
      </c>
      <c r="BN21" s="389">
        <f>(BN24*BN25*BN26)/((1-EXP(-BN26*BN25))*BN31*BN35*(BN28/365)*BN33*(BN34/24)*BN32)</f>
        <v>17924834.671740871</v>
      </c>
      <c r="BO21" s="385" t="s">
        <v>13</v>
      </c>
      <c r="BS21" s="88" t="s">
        <v>74</v>
      </c>
      <c r="BT21" s="294">
        <f>(BT5)/(BT10*BT11)</f>
        <v>21.739130434782606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 t="e">
        <f>DY2</f>
        <v>#DIV/0!</v>
      </c>
      <c r="CV21" s="271" t="s">
        <v>13</v>
      </c>
      <c r="CW21" s="88" t="s">
        <v>78</v>
      </c>
      <c r="CX21" s="296">
        <f>(CX5)/((CX14/CX15)*CX8*CX9*CX18*(1/365)*CX19)</f>
        <v>16063.653859782458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66.155354824913829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K21" s="267"/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0</v>
      </c>
      <c r="C22" s="262" t="s">
        <v>35</v>
      </c>
      <c r="D22" s="88" t="s">
        <v>74</v>
      </c>
      <c r="E22" s="295">
        <f>(E5*E9*E6)/((1-EXP(-E6*E9))*E10*E11)</f>
        <v>333.85854531206513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(BT5)/((BT14/24)*(BT8/365)*BT9*BT19*BT20)</f>
        <v>2767891.1266086698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0</v>
      </c>
      <c r="CQ22" s="262" t="s">
        <v>265</v>
      </c>
      <c r="CR22" s="287">
        <f>CO22</f>
        <v>0</v>
      </c>
      <c r="CT22" s="266" t="s">
        <v>492</v>
      </c>
      <c r="CU22" s="295" t="e">
        <f>GG2</f>
        <v>#DIV/0!</v>
      </c>
      <c r="CV22" s="271" t="s">
        <v>13</v>
      </c>
      <c r="CW22" s="88" t="s">
        <v>74</v>
      </c>
      <c r="CX22" s="294">
        <f>(CX5*CX9*CX6)/((CX14/CX15)*(1-EXP(-CX6*CX9))*CX10*CX11)</f>
        <v>319.28260050634088</v>
      </c>
      <c r="CY22" s="88" t="s">
        <v>16</v>
      </c>
      <c r="CZ22" s="266" t="s">
        <v>183</v>
      </c>
      <c r="DA22" s="296" t="e">
        <f>FO2</f>
        <v>#DIV/0!</v>
      </c>
      <c r="DB22" s="88"/>
      <c r="DC22" s="266" t="s">
        <v>270</v>
      </c>
      <c r="DD22" s="287">
        <f>B31</f>
        <v>1.04753425E-2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1.6930652399999999E-9</v>
      </c>
      <c r="C23" s="262" t="s">
        <v>95</v>
      </c>
      <c r="D23" s="88" t="s">
        <v>78</v>
      </c>
      <c r="E23" s="296">
        <f>(E5*E9*E6)/((E14/E15)*E8*E9*(1-EXP(-E6*E9))*E18*(1/365)*E19)</f>
        <v>42507868.835140198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(BT5*BT28*BT6)/((1-EXP(-BT6*BT28))*BT10*BT11)</f>
        <v>37392.15707495129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0</v>
      </c>
      <c r="CM23" s="266" t="s">
        <v>13</v>
      </c>
      <c r="CN23" s="249" t="s">
        <v>21</v>
      </c>
      <c r="CO23" s="290">
        <f>CO25</f>
        <v>0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 t="e">
        <f>FR2</f>
        <v>#DIV/0!</v>
      </c>
      <c r="CV23" s="271" t="s">
        <v>13</v>
      </c>
      <c r="CW23" s="88" t="s">
        <v>78</v>
      </c>
      <c r="CX23" s="296">
        <f>(CX5*CX9*CX6)/((CX14/CX15)*CX8*CX9*(1-EXP(-CX6*CX9))*CX18*(1/365)*CX19)</f>
        <v>42507868.835140198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F23" s="262" t="s">
        <v>17</v>
      </c>
      <c r="DG23" s="287">
        <f>B35</f>
        <v>3.82</v>
      </c>
      <c r="DH23" s="249" t="s">
        <v>257</v>
      </c>
      <c r="DO23" s="262" t="s">
        <v>20</v>
      </c>
      <c r="DP23" s="305">
        <f>DP25</f>
        <v>0</v>
      </c>
      <c r="EA23" s="262"/>
      <c r="EB23" s="293"/>
      <c r="EC23" s="263"/>
      <c r="ED23" s="262" t="s">
        <v>20</v>
      </c>
      <c r="EE23" s="305">
        <f>EE25</f>
        <v>0</v>
      </c>
      <c r="EF23" s="263"/>
      <c r="EP23" s="262"/>
      <c r="EQ23" s="293"/>
      <c r="ER23" s="263"/>
      <c r="ES23" s="262" t="s">
        <v>20</v>
      </c>
      <c r="ET23" s="305">
        <f>ET25</f>
        <v>0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0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0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0</v>
      </c>
      <c r="HC23" s="263"/>
      <c r="HD23" s="219" t="s">
        <v>574</v>
      </c>
      <c r="HE23" s="348">
        <f>(HE25*HE33*HE38*HE32*10^-3*HE31*HE27)/(HE30*HE41*(1-EXP(-HE27*HE31)))</f>
        <v>0</v>
      </c>
      <c r="HF23" s="252" t="s">
        <v>13</v>
      </c>
    </row>
    <row r="24" spans="1:214" ht="14.25" thickTop="1" thickBot="1" x14ac:dyDescent="0.25">
      <c r="A24" s="262" t="s">
        <v>450</v>
      </c>
      <c r="B24" s="315">
        <v>3.5028935999999998E-10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(BT5*BT28*BT6)/((BT14/24)*(BT8/365)*BT9*(1-EXP(-BT6*BT28))*BT19*BT20)</f>
        <v>4760881309.5357027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66.155354824913829</v>
      </c>
      <c r="CE24" s="262" t="s">
        <v>23</v>
      </c>
      <c r="CF24" s="288">
        <f>0.693/CF25</f>
        <v>66.155354824913829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14.039503609576093</v>
      </c>
      <c r="HF24" s="75" t="s">
        <v>13</v>
      </c>
    </row>
    <row r="25" spans="1:214" ht="13.5" thickTop="1" x14ac:dyDescent="0.2">
      <c r="A25" s="262" t="s">
        <v>449</v>
      </c>
      <c r="B25" s="315">
        <v>3.5700000000000001E-10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413.47001008597277</v>
      </c>
      <c r="X25" s="254" t="s">
        <v>10</v>
      </c>
      <c r="Y25" s="321" t="s">
        <v>16</v>
      </c>
      <c r="Z25" s="358">
        <f>1/((1/Z38)+(1/Z39))</f>
        <v>795.13463478071719</v>
      </c>
      <c r="AA25" s="255" t="s">
        <v>10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1.04753425E-2</v>
      </c>
      <c r="CD25" s="249" t="s">
        <v>69</v>
      </c>
      <c r="CE25" s="266" t="s">
        <v>270</v>
      </c>
      <c r="CF25" s="287">
        <f>B31</f>
        <v>1.04753425E-2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0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0</v>
      </c>
      <c r="EA25" s="262"/>
      <c r="EC25" s="263"/>
      <c r="ED25" s="262" t="s">
        <v>38</v>
      </c>
      <c r="EE25" s="287">
        <f>B45</f>
        <v>0</v>
      </c>
      <c r="EF25" s="263"/>
      <c r="EP25" s="262"/>
      <c r="ER25" s="263"/>
      <c r="ES25" s="263" t="s">
        <v>37</v>
      </c>
      <c r="ET25" s="287">
        <f>B45</f>
        <v>0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0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0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0</v>
      </c>
      <c r="HC25" s="263"/>
      <c r="HD25" s="265" t="s">
        <v>22</v>
      </c>
      <c r="HE25" s="305">
        <f>B47</f>
        <v>0</v>
      </c>
      <c r="HF25" s="262" t="s">
        <v>14</v>
      </c>
    </row>
    <row r="26" spans="1:214" ht="13.5" thickBot="1" x14ac:dyDescent="0.25">
      <c r="A26" s="262" t="s">
        <v>451</v>
      </c>
      <c r="B26" s="315">
        <v>1.00696514688E-9</v>
      </c>
      <c r="C26" s="262" t="s">
        <v>95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66.155354824913829</v>
      </c>
      <c r="P26" s="262" t="s">
        <v>23</v>
      </c>
      <c r="Q26" s="288">
        <f>0.693/Q27</f>
        <v>66.155354824913829</v>
      </c>
      <c r="V26" s="320" t="s">
        <v>15</v>
      </c>
      <c r="W26" s="359">
        <f>1/((1/W38)+(1/W39))</f>
        <v>0.24999942101754816</v>
      </c>
      <c r="X26" s="258" t="s">
        <v>10</v>
      </c>
      <c r="Y26" s="322" t="s">
        <v>15</v>
      </c>
      <c r="Z26" s="360">
        <f>1/((1/Z40)+(1/Z41))</f>
        <v>12.019202933535967</v>
      </c>
      <c r="AA26" s="259" t="s">
        <v>10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66.155354824913829</v>
      </c>
      <c r="AL26" s="262" t="s">
        <v>23</v>
      </c>
      <c r="AM26" s="288">
        <f>0.693/AM27</f>
        <v>66.155354824913829</v>
      </c>
      <c r="AR26" s="262" t="s">
        <v>23</v>
      </c>
      <c r="AS26" s="288">
        <f>0.693/AS27</f>
        <v>66.155354824913829</v>
      </c>
      <c r="AU26" s="262" t="s">
        <v>23</v>
      </c>
      <c r="AV26" s="288">
        <f>0.693/AV27</f>
        <v>66.155354824913829</v>
      </c>
      <c r="BA26" s="262" t="s">
        <v>23</v>
      </c>
      <c r="BB26" s="288">
        <f>0.693/BB27</f>
        <v>66.155354824913829</v>
      </c>
      <c r="BD26" s="262" t="s">
        <v>23</v>
      </c>
      <c r="BE26" s="288">
        <f>0.693/BE27</f>
        <v>66.155354824913829</v>
      </c>
      <c r="BJ26" s="262" t="s">
        <v>23</v>
      </c>
      <c r="BK26" s="288">
        <f>0.693/BK27</f>
        <v>66.155354824913829</v>
      </c>
      <c r="BM26" s="262" t="s">
        <v>23</v>
      </c>
      <c r="BN26" s="288">
        <f>0.693/BN27</f>
        <v>66.155354824913829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63" t="s">
        <v>331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88"/>
      <c r="CX26" s="192"/>
      <c r="CY26" s="88"/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0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0.38819875739492032</v>
      </c>
      <c r="HF26" s="262" t="s">
        <v>14</v>
      </c>
    </row>
    <row r="27" spans="1:214" ht="15" thickTop="1" x14ac:dyDescent="0.2">
      <c r="A27" s="262" t="s">
        <v>452</v>
      </c>
      <c r="B27" s="315">
        <v>1.5412731840000001E-9</v>
      </c>
      <c r="C27" s="262" t="s">
        <v>95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1.04753425E-2</v>
      </c>
      <c r="O27" s="249" t="s">
        <v>69</v>
      </c>
      <c r="P27" s="266" t="s">
        <v>270</v>
      </c>
      <c r="Q27" s="287">
        <f>B31</f>
        <v>1.04753425E-2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66.155354824913829</v>
      </c>
      <c r="AD27" s="288">
        <f>0.693/AD28</f>
        <v>66.155354824913829</v>
      </c>
      <c r="AE27" s="288">
        <f>0.693/AE28</f>
        <v>66.155354824913829</v>
      </c>
      <c r="AF27" s="288">
        <f>0.693/AF28</f>
        <v>66.155354824913829</v>
      </c>
      <c r="AG27" s="288">
        <f>0.693/AG28</f>
        <v>66.155354824913829</v>
      </c>
      <c r="AI27" s="266" t="s">
        <v>270</v>
      </c>
      <c r="AJ27" s="287">
        <f>B31</f>
        <v>1.04753425E-2</v>
      </c>
      <c r="AK27" s="249" t="s">
        <v>69</v>
      </c>
      <c r="AL27" s="266" t="s">
        <v>270</v>
      </c>
      <c r="AM27" s="287">
        <f>B31</f>
        <v>1.04753425E-2</v>
      </c>
      <c r="AN27" s="249" t="s">
        <v>69</v>
      </c>
      <c r="AR27" s="266" t="s">
        <v>270</v>
      </c>
      <c r="AS27" s="287">
        <f>B31</f>
        <v>1.04753425E-2</v>
      </c>
      <c r="AT27" s="249" t="s">
        <v>69</v>
      </c>
      <c r="AU27" s="266" t="s">
        <v>270</v>
      </c>
      <c r="AV27" s="287">
        <f>B31</f>
        <v>1.04753425E-2</v>
      </c>
      <c r="AW27" s="249" t="s">
        <v>69</v>
      </c>
      <c r="BA27" s="266" t="s">
        <v>270</v>
      </c>
      <c r="BB27" s="287">
        <f>B31</f>
        <v>1.04753425E-2</v>
      </c>
      <c r="BC27" s="249" t="s">
        <v>69</v>
      </c>
      <c r="BD27" s="266" t="s">
        <v>270</v>
      </c>
      <c r="BE27" s="287">
        <f>B31</f>
        <v>1.04753425E-2</v>
      </c>
      <c r="BF27" s="249" t="s">
        <v>69</v>
      </c>
      <c r="BJ27" s="266" t="s">
        <v>270</v>
      </c>
      <c r="BK27" s="287">
        <f>B31</f>
        <v>1.04753425E-2</v>
      </c>
      <c r="BL27" s="249" t="s">
        <v>69</v>
      </c>
      <c r="BM27" s="266" t="s">
        <v>270</v>
      </c>
      <c r="BN27" s="287">
        <f>B31</f>
        <v>1.04753425E-2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266" t="s">
        <v>270</v>
      </c>
      <c r="CL27" s="287">
        <f>B31</f>
        <v>1.04753425E-2</v>
      </c>
      <c r="CM27" s="249" t="s">
        <v>69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0</v>
      </c>
      <c r="EP27" s="262"/>
      <c r="EQ27" s="310"/>
      <c r="ES27" s="262" t="s">
        <v>275</v>
      </c>
      <c r="ET27" s="310">
        <f>B38</f>
        <v>0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66.155354824913829</v>
      </c>
    </row>
    <row r="28" spans="1:214" ht="15.75" thickBot="1" x14ac:dyDescent="0.25">
      <c r="A28" s="262" t="s">
        <v>63</v>
      </c>
      <c r="B28" s="315">
        <v>1.6230073680000001E-12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66.155354824913829</v>
      </c>
      <c r="Y28" s="262" t="s">
        <v>23</v>
      </c>
      <c r="Z28" s="288">
        <f>0.693/Z29</f>
        <v>66.155354824913829</v>
      </c>
      <c r="AB28" s="266" t="s">
        <v>270</v>
      </c>
      <c r="AC28" s="287">
        <f>B31</f>
        <v>1.04753425E-2</v>
      </c>
      <c r="AD28" s="287">
        <f>B31</f>
        <v>1.04753425E-2</v>
      </c>
      <c r="AE28" s="287">
        <f>B31</f>
        <v>1.04753425E-2</v>
      </c>
      <c r="AF28" s="287">
        <f>B31</f>
        <v>1.04753425E-2</v>
      </c>
      <c r="AG28" s="287">
        <f>B31</f>
        <v>1.04753425E-2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2.2499999999999999E-2</v>
      </c>
      <c r="CE28" s="249" t="s">
        <v>458</v>
      </c>
      <c r="CF28" s="287">
        <f>B8</f>
        <v>4.2700000000000002E-2</v>
      </c>
      <c r="CK28" s="249" t="s">
        <v>23</v>
      </c>
      <c r="CL28" s="288">
        <f>0.693/CL27</f>
        <v>66.155354824913829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1.04753425E-2</v>
      </c>
      <c r="HF28" s="249" t="s">
        <v>69</v>
      </c>
    </row>
    <row r="29" spans="1:214" ht="18.75" thickTop="1" x14ac:dyDescent="0.2">
      <c r="A29" s="266" t="s">
        <v>161</v>
      </c>
      <c r="B29" s="315">
        <v>3.5145699120000001E-15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1.04753425E-2</v>
      </c>
      <c r="X29" s="249" t="s">
        <v>69</v>
      </c>
      <c r="Y29" s="266" t="s">
        <v>270</v>
      </c>
      <c r="Z29" s="287">
        <f>B31</f>
        <v>1.04753425E-2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266"/>
      <c r="BT29" s="115"/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0.46300000000000002</v>
      </c>
      <c r="CE29" s="249" t="s">
        <v>459</v>
      </c>
      <c r="CF29" s="287">
        <f>B9</f>
        <v>0.72299999999999998</v>
      </c>
      <c r="CK29" s="249" t="s">
        <v>16</v>
      </c>
      <c r="CL29" s="288">
        <f>(CL30*CL28)/(1-EXP(-CL28*CL30))</f>
        <v>1720.0392254477595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0</v>
      </c>
      <c r="C30" s="267" t="s">
        <v>35</v>
      </c>
      <c r="D30" s="203" t="s">
        <v>510</v>
      </c>
      <c r="E30" s="204" t="e">
        <f>E37</f>
        <v>#DIV/0!</v>
      </c>
      <c r="F30" s="184" t="s">
        <v>13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288">
        <f>(AC26*AC27)/(1-EXP(-AC27*AC26))</f>
        <v>1653.8838706228457</v>
      </c>
      <c r="AD30" s="288">
        <f>(AD26*AD27)/(1-EXP(-AD27*AD26))</f>
        <v>1653.8838706228457</v>
      </c>
      <c r="AE30" s="288">
        <f>(AE26*AE27)/(1-EXP(-AE27*AE26))</f>
        <v>1653.8838706228457</v>
      </c>
      <c r="AF30" s="288">
        <f>(AF26*AF27)/(1-EXP(-AF27*AF26))</f>
        <v>66.155354824913829</v>
      </c>
      <c r="AG30" s="288">
        <f>(AG26*AG27)/(1-EXP(-AG27*AG26))</f>
        <v>66.155354824913829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111</v>
      </c>
      <c r="CL30" s="289">
        <f>B109</f>
        <v>26</v>
      </c>
      <c r="CM30" s="249" t="s">
        <v>69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315">
        <v>1.04753425E-2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6.8000000000000005E-2</v>
      </c>
      <c r="CB31" s="249" t="s">
        <v>71</v>
      </c>
      <c r="CC31" s="290">
        <f>B24</f>
        <v>3.5028935999999998E-10</v>
      </c>
      <c r="CD31" s="262" t="s">
        <v>282</v>
      </c>
      <c r="CE31" s="249" t="s">
        <v>71</v>
      </c>
      <c r="CF31" s="290">
        <f>B26</f>
        <v>1.00696514688E-9</v>
      </c>
      <c r="CG31" s="263" t="s">
        <v>72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2.75" customHeight="1" thickTop="1" x14ac:dyDescent="0.2">
      <c r="A32" s="266" t="s">
        <v>96</v>
      </c>
      <c r="B32" s="315">
        <f>PEF!D3</f>
        <v>1359344473.5814338</v>
      </c>
      <c r="C32" s="249"/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3.1999999999999999E-11</v>
      </c>
      <c r="X32" s="263" t="s">
        <v>44</v>
      </c>
      <c r="Y32" s="249" t="s">
        <v>43</v>
      </c>
      <c r="Z32" s="290">
        <f>B19</f>
        <v>3.1999999999999999E-11</v>
      </c>
      <c r="AA32" s="263" t="s">
        <v>44</v>
      </c>
      <c r="AB32" s="266" t="s">
        <v>80</v>
      </c>
      <c r="AC32" s="294" t="e">
        <f>(AC5/(AC9*AC14*AC8*AC11*(1/AC6)))*AC30</f>
        <v>#DIV/0!</v>
      </c>
      <c r="AD32" s="294" t="e">
        <f>(AD5/(AD9*AD14*AD8*AD11*(1/AD6)))*AD30</f>
        <v>#DIV/0!</v>
      </c>
      <c r="AE32" s="294" t="e">
        <f>(AE5/(AE9*AE14*AE8*AE11*(1/AE6)))*AE30</f>
        <v>#DIV/0!</v>
      </c>
      <c r="AF32" s="294" t="e">
        <f>(AF5/(AF9*AF14*AF8*AF11*(1/AF6)))*AF30</f>
        <v>#DIV/0!</v>
      </c>
      <c r="AG32" s="294" t="e">
        <f>(AG5/(AG9*AG14*AG8*AG11*(1/AG6)))*AG30</f>
        <v>#DIV/0!</v>
      </c>
      <c r="AH32" s="266" t="s">
        <v>13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2.2499999999999999E-2</v>
      </c>
      <c r="BM32" s="249" t="s">
        <v>458</v>
      </c>
      <c r="BN32" s="287">
        <f>B8</f>
        <v>4.2700000000000002E-2</v>
      </c>
      <c r="BY32" s="262" t="s">
        <v>62</v>
      </c>
      <c r="BZ32" s="305">
        <f>B4</f>
        <v>0.75600000000000001</v>
      </c>
      <c r="CO32" s="287"/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70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C33" s="249"/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(AC5/(AC21*AC17*AC8*AC11*(1/AC35)*((8/1)/(24/1))*AC31))*AC30</f>
        <v>562049474.8691591</v>
      </c>
      <c r="AD33" s="295">
        <f>(AD5/(AD21*AD17*AD8*((8/1)/(24/1))*AD11*(1/AD35)*AD31))*AD30</f>
        <v>562049474.8691591</v>
      </c>
      <c r="AE33" s="295">
        <f>(AE5/(AE21*AE17*AE8*((8/1)/(24/1))*AE11*(1/AE35)*AE31))*AE30</f>
        <v>624499416.5212878</v>
      </c>
      <c r="AF33" s="295">
        <f>(AF5/(AF21*AF17*AF8*AF11*(1/AF36)*(AF23/24)*AF31))*AF30</f>
        <v>615182.49271119281</v>
      </c>
      <c r="AG33" s="295">
        <f>(AG5/(AG21*AG17*AG8*AG11*(1/AG37)*(AG23/24)*AG31))*AG30</f>
        <v>28669330.231535122</v>
      </c>
      <c r="AH33" s="88" t="s">
        <v>13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0.46300000000000002</v>
      </c>
      <c r="BM33" s="249" t="s">
        <v>459</v>
      </c>
      <c r="BN33" s="287">
        <f>B9</f>
        <v>0.72299999999999998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ht="12.75" customHeight="1" x14ac:dyDescent="0.2">
      <c r="A34" s="266" t="s">
        <v>121</v>
      </c>
      <c r="B34" s="315">
        <f>PEF!J3</f>
        <v>36055860.959050171</v>
      </c>
      <c r="C34" s="249"/>
      <c r="D34" s="262" t="s">
        <v>256</v>
      </c>
      <c r="E34" s="287">
        <f>B30</f>
        <v>0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3.5028935999999998E-10</v>
      </c>
      <c r="O34" s="263" t="s">
        <v>447</v>
      </c>
      <c r="P34" s="249" t="s">
        <v>451</v>
      </c>
      <c r="Q34" s="290">
        <f>B26</f>
        <v>1.00696514688E-9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(AC5/(AC20*(AC8/365)*AC11*((AC23+AC24)/24)*AC16*AC19))*AC30</f>
        <v>171145.47466175765</v>
      </c>
      <c r="AD34" s="296">
        <f>(AD5/(AD20*(AD8/365)*AD11*(AD24/24)*AD18*AD19))*AD30</f>
        <v>427863.68665439414</v>
      </c>
      <c r="AE34" s="296">
        <f>(AE5/(AE20*(AE8/365)*AE11*(AE23/24)*AE16*AE19))*AE30</f>
        <v>190161.63851306404</v>
      </c>
      <c r="AF34" s="296">
        <f>(AF5/(AF20*(AF8/365)*AF11*(AF23/24)*AF16*AF19))*AF30</f>
        <v>6402231.4194497429</v>
      </c>
      <c r="AG34" s="296">
        <f>(AG5/(AG20*(AG8/365)*AG11*(AG23/24)*AG16*AG19))*AG30</f>
        <v>6402231.4194497429</v>
      </c>
      <c r="AH34" s="266" t="s">
        <v>13</v>
      </c>
      <c r="AI34" s="262" t="s">
        <v>450</v>
      </c>
      <c r="AJ34" s="290">
        <f>B24</f>
        <v>3.5028935999999998E-10</v>
      </c>
      <c r="AK34" s="262" t="s">
        <v>282</v>
      </c>
      <c r="AL34" s="262" t="s">
        <v>451</v>
      </c>
      <c r="AM34" s="290">
        <f>B26</f>
        <v>1.00696514688E-9</v>
      </c>
      <c r="AN34" s="263" t="s">
        <v>72</v>
      </c>
      <c r="AR34" s="262" t="s">
        <v>450</v>
      </c>
      <c r="AS34" s="290">
        <f>B24</f>
        <v>3.5028935999999998E-10</v>
      </c>
      <c r="AT34" s="262" t="s">
        <v>282</v>
      </c>
      <c r="AU34" s="262" t="s">
        <v>451</v>
      </c>
      <c r="AV34" s="290">
        <f>B26</f>
        <v>1.00696514688E-9</v>
      </c>
      <c r="AW34" s="263" t="s">
        <v>72</v>
      </c>
      <c r="BA34" s="262" t="s">
        <v>450</v>
      </c>
      <c r="BB34" s="290">
        <f>B24</f>
        <v>3.5028935999999998E-10</v>
      </c>
      <c r="BC34" s="262" t="s">
        <v>282</v>
      </c>
      <c r="BD34" s="262" t="s">
        <v>451</v>
      </c>
      <c r="BE34" s="290">
        <f>B26</f>
        <v>1.00696514688E-9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0</v>
      </c>
      <c r="HF34" s="249" t="s">
        <v>19</v>
      </c>
    </row>
    <row r="35" spans="1:214" ht="12.75" customHeight="1" x14ac:dyDescent="0.2">
      <c r="A35" s="266" t="s">
        <v>270</v>
      </c>
      <c r="B35" s="315">
        <v>3.82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3.5028935999999998E-10</v>
      </c>
      <c r="BL35" s="262" t="s">
        <v>282</v>
      </c>
      <c r="BM35" s="262" t="s">
        <v>451</v>
      </c>
      <c r="BN35" s="290">
        <f>B26</f>
        <v>1.00696514688E-9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ht="13.5" customHeight="1" x14ac:dyDescent="0.2">
      <c r="A36" s="262" t="s">
        <v>122</v>
      </c>
      <c r="B36" s="314">
        <v>0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281"/>
      <c r="N36" s="361"/>
      <c r="O36" s="281"/>
      <c r="P36" s="281"/>
      <c r="Q36" s="361"/>
      <c r="R36" s="281"/>
      <c r="V36" s="262" t="s">
        <v>63</v>
      </c>
      <c r="W36" s="287">
        <f>B28</f>
        <v>1.6230073680000001E-12</v>
      </c>
      <c r="X36" s="262" t="s">
        <v>64</v>
      </c>
      <c r="Y36" s="262" t="s">
        <v>63</v>
      </c>
      <c r="Z36" s="287">
        <f>B28</f>
        <v>1.6230073680000001E-12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x14ac:dyDescent="0.2">
      <c r="A37" s="262" t="s">
        <v>278</v>
      </c>
      <c r="B37" s="315">
        <v>0</v>
      </c>
      <c r="C37" s="263" t="s">
        <v>298</v>
      </c>
      <c r="D37" s="262" t="s">
        <v>80</v>
      </c>
      <c r="E37" s="300" t="e">
        <f>E32/(E34*E33*E35*E36)</f>
        <v>#DIV/0!</v>
      </c>
      <c r="F37" s="263" t="s">
        <v>13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0</v>
      </c>
      <c r="C38" s="263" t="s">
        <v>298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W27/((W33/W34)*W30*W31*W32*W35)</f>
        <v>0.25000000000000006</v>
      </c>
      <c r="X38" s="88" t="s">
        <v>15</v>
      </c>
      <c r="Y38" s="88" t="s">
        <v>74</v>
      </c>
      <c r="Z38" s="294">
        <f>(Z27*Z31*Z28)/((1-EXP(-Z28))*Z31*Z32*Z30*Z44*(Z33/Z34)*Z35)</f>
        <v>795.13647626098361</v>
      </c>
      <c r="AA38" s="88" t="s">
        <v>16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ht="13.5" customHeight="1" x14ac:dyDescent="0.2">
      <c r="A39" s="262" t="s">
        <v>276</v>
      </c>
      <c r="B39" s="315">
        <v>0</v>
      </c>
      <c r="C39" s="263" t="s">
        <v>298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(W27)/((W33/W34)*W30*W31*W36*(1/365))</f>
        <v>107947.75393773813</v>
      </c>
      <c r="X39" s="88" t="s">
        <v>15</v>
      </c>
      <c r="Y39" s="88" t="s">
        <v>78</v>
      </c>
      <c r="Z39" s="296">
        <f>(Z27*Z31*Z28)/((1-EXP(-Z28*Z31))*Z36*Z30*Z44*(Z33/Z34)*Z37*(Z44/Z45))</f>
        <v>343332786.74536324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(W27*W28*W31)/((W33/W34)*(1-EXP(-W28*W31))*W32*W35*W30*W31)</f>
        <v>413.47096765571143</v>
      </c>
      <c r="X40" s="88" t="s">
        <v>16</v>
      </c>
      <c r="Y40" s="88" t="s">
        <v>74</v>
      </c>
      <c r="Z40" s="294">
        <f>Z27/((Z32*Z30*Z44*(Z33/Z34)*Z35))</f>
        <v>12.01923076923077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(W27*W28*W31)/((W33/W34)*(1-EXP(-W28*W31))*W36*W30*W31*(1/365))</f>
        <v>178533049.10758886</v>
      </c>
      <c r="X41" s="88" t="s">
        <v>16</v>
      </c>
      <c r="Y41" s="88" t="s">
        <v>78</v>
      </c>
      <c r="Z41" s="296">
        <f>Z27/(Z36*Z30*(1/Z45)*Z44*(Z33/Z34)*Z37)</f>
        <v>5189795.8623912558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GV41" s="297"/>
      <c r="HD41" s="249" t="s">
        <v>119</v>
      </c>
      <c r="HE41" s="298">
        <f>B291</f>
        <v>1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0</v>
      </c>
      <c r="C42" s="263" t="s">
        <v>298</v>
      </c>
      <c r="D42" s="203" t="s">
        <v>510</v>
      </c>
      <c r="E42" s="204" t="e">
        <f>E52</f>
        <v>#DIV/0!</v>
      </c>
      <c r="F42" s="184" t="s">
        <v>14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2.75" customHeight="1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0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0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x14ac:dyDescent="0.2">
      <c r="A46" s="249" t="s">
        <v>284</v>
      </c>
      <c r="B46" s="315">
        <v>0</v>
      </c>
      <c r="C46" s="249" t="s">
        <v>19</v>
      </c>
      <c r="D46" s="262" t="s">
        <v>438</v>
      </c>
      <c r="E46" s="287">
        <f>B30</f>
        <v>0</v>
      </c>
      <c r="F46" s="262" t="s">
        <v>289</v>
      </c>
      <c r="G46" s="249" t="s">
        <v>20</v>
      </c>
      <c r="H46" s="287">
        <f>H48</f>
        <v>0</v>
      </c>
      <c r="I46" s="263"/>
      <c r="J46" s="269" t="s">
        <v>107</v>
      </c>
      <c r="K46" s="292">
        <f>K34</f>
        <v>26</v>
      </c>
      <c r="L46" s="269" t="s">
        <v>69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0</v>
      </c>
      <c r="C47" s="262" t="s">
        <v>14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C48" s="249"/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0</v>
      </c>
      <c r="K48" s="289">
        <v>1000</v>
      </c>
      <c r="L48" s="249" t="s">
        <v>115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213" x14ac:dyDescent="0.2">
      <c r="A49" s="249" t="s">
        <v>331</v>
      </c>
      <c r="B49" s="284">
        <v>0.25</v>
      </c>
      <c r="C49" s="249"/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K49" s="297">
        <v>1000</v>
      </c>
      <c r="L49" s="249" t="s">
        <v>24</v>
      </c>
      <c r="BY49" s="262"/>
      <c r="BZ49" s="293"/>
      <c r="DA49" s="292">
        <v>1000</v>
      </c>
      <c r="DB49" s="267" t="s">
        <v>115</v>
      </c>
      <c r="DW49" s="264"/>
      <c r="DX49" s="264"/>
      <c r="DY49" s="328"/>
      <c r="DZ49" s="264"/>
      <c r="EB49" s="249"/>
      <c r="EE49" s="249"/>
      <c r="EH49" s="249"/>
      <c r="EK49" s="249"/>
      <c r="EN49" s="249"/>
      <c r="EQ49" s="249"/>
      <c r="ET49" s="249"/>
      <c r="EW49" s="249"/>
      <c r="EZ49" s="249"/>
      <c r="FC49" s="249"/>
      <c r="FF49" s="249"/>
      <c r="FI49" s="249"/>
      <c r="FL49" s="249"/>
      <c r="FO49" s="249"/>
      <c r="FR49" s="249"/>
      <c r="FU49" s="249"/>
      <c r="FX49" s="249"/>
      <c r="GA49" s="249"/>
      <c r="GD49" s="249"/>
      <c r="GG49" s="249"/>
      <c r="GJ49" s="249"/>
      <c r="GM49" s="249"/>
      <c r="GP49" s="249"/>
      <c r="GS49" s="249"/>
      <c r="GV49" s="249"/>
      <c r="GY49" s="249"/>
      <c r="HB49" s="249"/>
      <c r="HE49" s="249"/>
    </row>
    <row r="50" spans="1:213" ht="15" x14ac:dyDescent="0.2">
      <c r="A50" s="516" t="s">
        <v>2</v>
      </c>
      <c r="B50" s="516"/>
      <c r="C50" s="516"/>
      <c r="D50" s="262" t="s">
        <v>122</v>
      </c>
      <c r="E50" s="298">
        <f>B36</f>
        <v>0</v>
      </c>
      <c r="F50" s="263" t="s">
        <v>19</v>
      </c>
      <c r="G50" s="249" t="s">
        <v>18</v>
      </c>
      <c r="H50" s="288">
        <f>(H53*H54*H48*((1-EXP(-H55*H56))))/(H57*H55)</f>
        <v>0</v>
      </c>
      <c r="I50" s="249" t="s">
        <v>19</v>
      </c>
      <c r="J50" s="249" t="s">
        <v>20</v>
      </c>
      <c r="K50" s="287">
        <f>K52</f>
        <v>0</v>
      </c>
      <c r="BY50" s="263"/>
      <c r="BZ50" s="307"/>
      <c r="CT50" s="263"/>
      <c r="CU50" s="307"/>
      <c r="DW50" s="264"/>
      <c r="DX50" s="264"/>
      <c r="DY50" s="328"/>
      <c r="DZ50" s="264"/>
      <c r="EB50" s="249"/>
      <c r="EE50" s="249"/>
      <c r="EH50" s="249"/>
      <c r="EK50" s="249"/>
      <c r="EN50" s="249"/>
      <c r="EQ50" s="249"/>
      <c r="ET50" s="249"/>
      <c r="EW50" s="249"/>
      <c r="EZ50" s="249"/>
      <c r="FC50" s="249"/>
      <c r="FF50" s="249"/>
      <c r="FI50" s="249"/>
      <c r="FL50" s="249"/>
      <c r="FO50" s="249"/>
      <c r="FR50" s="249"/>
      <c r="FU50" s="249"/>
      <c r="FX50" s="249"/>
      <c r="GA50" s="249"/>
      <c r="GD50" s="249"/>
      <c r="GG50" s="249"/>
      <c r="GJ50" s="249"/>
      <c r="GM50" s="249"/>
      <c r="GP50" s="249"/>
      <c r="GS50" s="249"/>
      <c r="GV50" s="249"/>
      <c r="GY50" s="249"/>
      <c r="HB50" s="249"/>
      <c r="HE50" s="249"/>
    </row>
    <row r="51" spans="1:213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5.4035127681958941E-3</v>
      </c>
      <c r="I51" s="249" t="s">
        <v>19</v>
      </c>
      <c r="J51" s="262" t="s">
        <v>28</v>
      </c>
      <c r="K51" s="293">
        <f>K53</f>
        <v>0.26</v>
      </c>
      <c r="BW51" s="287"/>
      <c r="BY51" s="262"/>
      <c r="BZ51" s="293"/>
      <c r="CT51" s="262"/>
      <c r="CU51" s="293"/>
      <c r="CZ51" s="267"/>
      <c r="DW51" s="264"/>
      <c r="DX51" s="264"/>
      <c r="DY51" s="328"/>
      <c r="DZ51" s="264"/>
      <c r="EB51" s="249"/>
      <c r="EE51" s="249"/>
      <c r="EH51" s="249"/>
      <c r="EK51" s="249"/>
      <c r="EN51" s="249"/>
      <c r="EQ51" s="249"/>
      <c r="ET51" s="249"/>
      <c r="EW51" s="249"/>
      <c r="EZ51" s="249"/>
      <c r="FC51" s="249"/>
      <c r="FF51" s="249"/>
      <c r="FI51" s="249"/>
      <c r="FL51" s="249"/>
      <c r="FO51" s="249"/>
      <c r="FR51" s="249"/>
      <c r="FU51" s="249"/>
      <c r="FX51" s="249"/>
      <c r="GA51" s="249"/>
      <c r="GD51" s="249"/>
      <c r="GG51" s="249"/>
      <c r="GJ51" s="249"/>
      <c r="GM51" s="249"/>
      <c r="GP51" s="249"/>
      <c r="GS51" s="249"/>
      <c r="GV51" s="249"/>
      <c r="GY51" s="249"/>
      <c r="HB51" s="249"/>
      <c r="HE51" s="249"/>
    </row>
    <row r="52" spans="1:213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 t="e">
        <f>E44/(E46*E45*E47*E48*E50*E51*(1/E49))</f>
        <v>#DIV/0!</v>
      </c>
      <c r="G52" s="249" t="s">
        <v>36</v>
      </c>
      <c r="H52" s="288">
        <f>(H53*H54*H58*H64*((1-EXP(-H59*H60))))/(H61*H59)</f>
        <v>0.82303427313698274</v>
      </c>
      <c r="I52" s="249" t="s">
        <v>19</v>
      </c>
      <c r="J52" s="263" t="s">
        <v>37</v>
      </c>
      <c r="K52" s="290">
        <f>B44</f>
        <v>0</v>
      </c>
      <c r="BW52" s="287"/>
      <c r="CZ52" s="267"/>
      <c r="DW52" s="264"/>
      <c r="DX52" s="264"/>
      <c r="DY52" s="328"/>
      <c r="DZ52" s="264"/>
      <c r="EB52" s="249"/>
      <c r="EE52" s="249"/>
      <c r="EH52" s="249"/>
      <c r="EK52" s="249"/>
      <c r="EN52" s="249"/>
      <c r="EQ52" s="249"/>
      <c r="ET52" s="249"/>
      <c r="EW52" s="249"/>
      <c r="EZ52" s="249"/>
      <c r="FC52" s="249"/>
      <c r="FF52" s="249"/>
      <c r="FI52" s="249"/>
      <c r="FL52" s="249"/>
      <c r="FO52" s="249"/>
      <c r="FR52" s="249"/>
      <c r="FU52" s="249"/>
      <c r="FX52" s="249"/>
      <c r="GA52" s="249"/>
      <c r="GD52" s="249"/>
      <c r="GG52" s="249"/>
      <c r="GJ52" s="249"/>
      <c r="GM52" s="249"/>
      <c r="GP52" s="249"/>
      <c r="GS52" s="249"/>
      <c r="GV52" s="249"/>
      <c r="GY52" s="249"/>
      <c r="HB52" s="249"/>
      <c r="HE52" s="249"/>
    </row>
    <row r="53" spans="1:213" x14ac:dyDescent="0.2">
      <c r="A53" s="262" t="s">
        <v>320</v>
      </c>
      <c r="B53" s="283">
        <v>200</v>
      </c>
      <c r="C53" s="263" t="s">
        <v>54</v>
      </c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BV53" s="262"/>
      <c r="CZ53" s="267"/>
      <c r="EB53" s="249"/>
      <c r="EE53" s="249"/>
      <c r="EH53" s="249"/>
      <c r="EK53" s="249"/>
      <c r="EN53" s="249"/>
      <c r="EQ53" s="249"/>
      <c r="ET53" s="249"/>
      <c r="EW53" s="249"/>
      <c r="EZ53" s="249"/>
      <c r="FC53" s="249"/>
      <c r="FF53" s="249"/>
      <c r="FI53" s="249"/>
      <c r="FL53" s="249"/>
      <c r="FO53" s="249"/>
      <c r="FR53" s="249"/>
      <c r="FU53" s="249"/>
      <c r="FX53" s="249"/>
      <c r="GA53" s="249"/>
      <c r="GD53" s="249"/>
      <c r="GG53" s="249"/>
      <c r="GJ53" s="249"/>
      <c r="GM53" s="249"/>
      <c r="GP53" s="249"/>
      <c r="GS53" s="249"/>
      <c r="GV53" s="249"/>
      <c r="GY53" s="249"/>
      <c r="HB53" s="249"/>
      <c r="HE53" s="249"/>
    </row>
    <row r="54" spans="1:213" x14ac:dyDescent="0.2">
      <c r="A54" s="262" t="s">
        <v>321</v>
      </c>
      <c r="B54" s="283">
        <v>100</v>
      </c>
      <c r="C54" s="263" t="s">
        <v>54</v>
      </c>
      <c r="G54" s="262" t="s">
        <v>46</v>
      </c>
      <c r="H54" s="287">
        <f>B86</f>
        <v>0.25</v>
      </c>
      <c r="I54" s="249" t="s">
        <v>47</v>
      </c>
      <c r="BV54" s="262"/>
      <c r="CZ54" s="267"/>
      <c r="EB54" s="249"/>
      <c r="EE54" s="249"/>
      <c r="EH54" s="249"/>
      <c r="EK54" s="249"/>
      <c r="EN54" s="249"/>
      <c r="EQ54" s="249"/>
      <c r="ET54" s="249"/>
      <c r="EW54" s="249"/>
      <c r="EZ54" s="249"/>
      <c r="FC54" s="249"/>
      <c r="FF54" s="249"/>
      <c r="FI54" s="249"/>
      <c r="FL54" s="249"/>
      <c r="FO54" s="249"/>
      <c r="FR54" s="249"/>
      <c r="FU54" s="249"/>
      <c r="FX54" s="249"/>
      <c r="GA54" s="249"/>
      <c r="GD54" s="249"/>
      <c r="GG54" s="249"/>
      <c r="GJ54" s="249"/>
      <c r="GM54" s="249"/>
      <c r="GP54" s="249"/>
      <c r="GS54" s="249"/>
      <c r="GV54" s="249"/>
      <c r="GY54" s="249"/>
      <c r="HB54" s="249"/>
      <c r="HE54" s="249"/>
    </row>
    <row r="55" spans="1:213" x14ac:dyDescent="0.2">
      <c r="A55" s="262" t="s">
        <v>322</v>
      </c>
      <c r="B55" s="283">
        <v>0.78</v>
      </c>
      <c r="C55" s="262" t="s">
        <v>30</v>
      </c>
      <c r="G55" s="267" t="s">
        <v>55</v>
      </c>
      <c r="H55" s="303">
        <f>H62+H63</f>
        <v>0.18144061256544503</v>
      </c>
      <c r="BV55" s="267"/>
      <c r="CZ55" s="267"/>
      <c r="EB55" s="249"/>
      <c r="EE55" s="249"/>
      <c r="EH55" s="249"/>
      <c r="EK55" s="249"/>
      <c r="EN55" s="249"/>
      <c r="EQ55" s="249"/>
      <c r="ET55" s="249"/>
      <c r="EW55" s="249"/>
      <c r="EZ55" s="249"/>
      <c r="FC55" s="249"/>
      <c r="FF55" s="249"/>
      <c r="FI55" s="249"/>
      <c r="FL55" s="249"/>
      <c r="FO55" s="249"/>
      <c r="FR55" s="249"/>
      <c r="FU55" s="249"/>
      <c r="FX55" s="249"/>
      <c r="GA55" s="249"/>
      <c r="GD55" s="249"/>
      <c r="GG55" s="249"/>
      <c r="GJ55" s="249"/>
      <c r="GM55" s="249"/>
      <c r="GP55" s="249"/>
      <c r="GS55" s="249"/>
      <c r="GV55" s="249"/>
      <c r="GY55" s="249"/>
      <c r="HB55" s="249"/>
      <c r="HE55" s="249"/>
    </row>
    <row r="56" spans="1:213" x14ac:dyDescent="0.2">
      <c r="A56" s="262" t="s">
        <v>323</v>
      </c>
      <c r="B56" s="283">
        <v>2.5</v>
      </c>
      <c r="C56" s="262" t="s">
        <v>30</v>
      </c>
      <c r="G56" s="267" t="s">
        <v>60</v>
      </c>
      <c r="H56" s="289">
        <f>B87</f>
        <v>10950</v>
      </c>
      <c r="I56" s="249" t="s">
        <v>61</v>
      </c>
      <c r="BV56" s="267"/>
      <c r="CZ56" s="267"/>
      <c r="EB56" s="249"/>
      <c r="EE56" s="249"/>
      <c r="EH56" s="249"/>
      <c r="EK56" s="249"/>
      <c r="EN56" s="249"/>
      <c r="EQ56" s="249"/>
      <c r="ET56" s="249"/>
      <c r="EW56" s="249"/>
      <c r="EZ56" s="249"/>
      <c r="FC56" s="249"/>
      <c r="FF56" s="249"/>
      <c r="FI56" s="249"/>
      <c r="FL56" s="249"/>
      <c r="FO56" s="249"/>
      <c r="FR56" s="249"/>
      <c r="FU56" s="249"/>
      <c r="FX56" s="249"/>
      <c r="GA56" s="249"/>
      <c r="GD56" s="249"/>
      <c r="GG56" s="249"/>
      <c r="GJ56" s="249"/>
      <c r="GM56" s="249"/>
      <c r="GP56" s="249"/>
      <c r="GS56" s="249"/>
      <c r="GV56" s="249"/>
      <c r="GY56" s="249"/>
      <c r="HB56" s="249"/>
      <c r="HE56" s="249"/>
    </row>
    <row r="57" spans="1:213" x14ac:dyDescent="0.2">
      <c r="A57" s="262" t="s">
        <v>337</v>
      </c>
      <c r="B57" s="283">
        <v>54</v>
      </c>
      <c r="C57" s="249" t="s">
        <v>54</v>
      </c>
      <c r="G57" s="267" t="s">
        <v>65</v>
      </c>
      <c r="H57" s="289">
        <f>B88</f>
        <v>240</v>
      </c>
      <c r="I57" s="249" t="s">
        <v>66</v>
      </c>
      <c r="BV57" s="267"/>
      <c r="CZ57" s="267"/>
      <c r="DA57" s="293"/>
      <c r="DB57" s="262"/>
      <c r="EB57" s="249"/>
      <c r="EE57" s="249"/>
      <c r="EH57" s="249"/>
      <c r="EK57" s="249"/>
      <c r="EN57" s="249"/>
      <c r="EQ57" s="249"/>
      <c r="ET57" s="249"/>
      <c r="EW57" s="249"/>
      <c r="EZ57" s="249"/>
      <c r="FC57" s="249"/>
      <c r="FF57" s="249"/>
      <c r="FI57" s="249"/>
      <c r="FL57" s="249"/>
      <c r="FO57" s="249"/>
      <c r="FR57" s="249"/>
      <c r="FU57" s="249"/>
      <c r="FX57" s="249"/>
      <c r="GA57" s="249"/>
      <c r="GD57" s="249"/>
      <c r="GG57" s="249"/>
      <c r="GJ57" s="249"/>
      <c r="GM57" s="249"/>
      <c r="GP57" s="249"/>
      <c r="GS57" s="249"/>
      <c r="GV57" s="249"/>
      <c r="GY57" s="249"/>
      <c r="HB57" s="249"/>
      <c r="HE57" s="249"/>
    </row>
    <row r="58" spans="1:213" x14ac:dyDescent="0.2">
      <c r="A58" s="249" t="s">
        <v>357</v>
      </c>
      <c r="B58" s="283">
        <v>32.799999999999997</v>
      </c>
      <c r="C58" s="249" t="s">
        <v>54</v>
      </c>
      <c r="G58" s="267" t="s">
        <v>76</v>
      </c>
      <c r="H58" s="289">
        <f>B89</f>
        <v>0.42</v>
      </c>
      <c r="I58" s="249" t="s">
        <v>47</v>
      </c>
      <c r="BV58" s="267"/>
      <c r="CZ58" s="267"/>
      <c r="DA58" s="293"/>
      <c r="DB58" s="262"/>
      <c r="EB58" s="249"/>
      <c r="EE58" s="249"/>
      <c r="EH58" s="249"/>
      <c r="EK58" s="249"/>
      <c r="EN58" s="249"/>
      <c r="EQ58" s="249"/>
      <c r="ET58" s="249"/>
      <c r="EW58" s="249"/>
      <c r="EZ58" s="249"/>
      <c r="FC58" s="249"/>
      <c r="FF58" s="249"/>
      <c r="FI58" s="249"/>
      <c r="FL58" s="249"/>
      <c r="FO58" s="249"/>
      <c r="FR58" s="249"/>
      <c r="FU58" s="249"/>
      <c r="FX58" s="249"/>
      <c r="GA58" s="249"/>
      <c r="GD58" s="249"/>
      <c r="GG58" s="249"/>
      <c r="GJ58" s="249"/>
      <c r="GM58" s="249"/>
      <c r="GP58" s="249"/>
      <c r="GS58" s="249"/>
      <c r="GV58" s="249"/>
      <c r="GY58" s="249"/>
      <c r="HB58" s="249"/>
      <c r="HE58" s="249"/>
    </row>
    <row r="59" spans="1:213" x14ac:dyDescent="0.2">
      <c r="A59" s="249" t="s">
        <v>336</v>
      </c>
      <c r="B59" s="283">
        <v>157.69999999999999</v>
      </c>
      <c r="C59" s="249" t="s">
        <v>54</v>
      </c>
      <c r="G59" s="267" t="s">
        <v>81</v>
      </c>
      <c r="H59" s="299">
        <f>H63+(0.693/H65)</f>
        <v>0.23091361256544501</v>
      </c>
      <c r="I59" s="262" t="s">
        <v>82</v>
      </c>
      <c r="BV59" s="267"/>
      <c r="CZ59" s="267"/>
      <c r="DA59" s="293"/>
      <c r="DB59" s="262"/>
      <c r="EB59" s="249"/>
      <c r="EE59" s="249"/>
      <c r="EH59" s="249"/>
      <c r="EK59" s="249"/>
      <c r="EN59" s="249"/>
      <c r="EQ59" s="249"/>
      <c r="ET59" s="249"/>
      <c r="EW59" s="249"/>
      <c r="EZ59" s="249"/>
      <c r="FC59" s="249"/>
      <c r="FF59" s="249"/>
      <c r="FI59" s="249"/>
      <c r="FL59" s="249"/>
      <c r="FO59" s="249"/>
      <c r="FR59" s="249"/>
      <c r="FU59" s="249"/>
      <c r="FX59" s="249"/>
      <c r="GA59" s="249"/>
      <c r="GD59" s="249"/>
      <c r="GG59" s="249"/>
      <c r="GJ59" s="249"/>
      <c r="GM59" s="249"/>
      <c r="GP59" s="249"/>
      <c r="GS59" s="249"/>
      <c r="GV59" s="249"/>
      <c r="GY59" s="249"/>
      <c r="HB59" s="249"/>
      <c r="HE59" s="249"/>
    </row>
    <row r="60" spans="1:213" x14ac:dyDescent="0.2">
      <c r="A60" s="262" t="s">
        <v>332</v>
      </c>
      <c r="B60" s="283">
        <v>68.099999999999994</v>
      </c>
      <c r="C60" s="267" t="s">
        <v>254</v>
      </c>
      <c r="G60" s="267" t="s">
        <v>85</v>
      </c>
      <c r="H60" s="293">
        <f>B90</f>
        <v>60</v>
      </c>
      <c r="I60" s="262" t="s">
        <v>61</v>
      </c>
      <c r="BV60" s="267"/>
      <c r="CZ60" s="267"/>
      <c r="EB60" s="249"/>
      <c r="EE60" s="249"/>
      <c r="EH60" s="249"/>
      <c r="EK60" s="249"/>
      <c r="EN60" s="249"/>
      <c r="EQ60" s="249"/>
      <c r="ET60" s="249"/>
      <c r="EW60" s="249"/>
      <c r="EZ60" s="249"/>
      <c r="FC60" s="249"/>
      <c r="FF60" s="249"/>
      <c r="FI60" s="249"/>
      <c r="FL60" s="249"/>
      <c r="FO60" s="249"/>
      <c r="FR60" s="249"/>
      <c r="FU60" s="249"/>
      <c r="FX60" s="249"/>
      <c r="GA60" s="249"/>
      <c r="GD60" s="249"/>
      <c r="GG60" s="249"/>
      <c r="GJ60" s="249"/>
      <c r="GM60" s="249"/>
      <c r="GP60" s="249"/>
      <c r="GS60" s="249"/>
      <c r="GV60" s="249"/>
      <c r="GY60" s="249"/>
      <c r="HB60" s="249"/>
      <c r="HE60" s="249"/>
    </row>
    <row r="61" spans="1:213" x14ac:dyDescent="0.2">
      <c r="A61" s="262" t="s">
        <v>333</v>
      </c>
      <c r="B61" s="283">
        <v>188.5</v>
      </c>
      <c r="C61" s="267" t="s">
        <v>254</v>
      </c>
      <c r="G61" s="267" t="s">
        <v>87</v>
      </c>
      <c r="H61" s="293">
        <f>B91</f>
        <v>2</v>
      </c>
      <c r="I61" s="262" t="s">
        <v>66</v>
      </c>
      <c r="BV61" s="267"/>
      <c r="BW61" s="293"/>
      <c r="BX61" s="262"/>
      <c r="CZ61" s="267"/>
      <c r="DA61" s="287"/>
      <c r="EB61" s="249"/>
      <c r="EE61" s="249"/>
      <c r="EH61" s="249"/>
      <c r="EK61" s="249"/>
      <c r="EN61" s="249"/>
      <c r="EQ61" s="249"/>
      <c r="ET61" s="249"/>
      <c r="EW61" s="249"/>
      <c r="EZ61" s="249"/>
      <c r="FC61" s="249"/>
      <c r="FF61" s="249"/>
      <c r="FI61" s="249"/>
      <c r="FL61" s="249"/>
      <c r="FO61" s="249"/>
      <c r="FR61" s="249"/>
      <c r="FU61" s="249"/>
      <c r="FX61" s="249"/>
      <c r="GA61" s="249"/>
      <c r="GD61" s="249"/>
      <c r="GG61" s="249"/>
      <c r="GJ61" s="249"/>
      <c r="GM61" s="249"/>
      <c r="GP61" s="249"/>
      <c r="GS61" s="249"/>
      <c r="GV61" s="249"/>
      <c r="GY61" s="249"/>
      <c r="HB61" s="249"/>
      <c r="HE61" s="249"/>
    </row>
    <row r="62" spans="1:213" x14ac:dyDescent="0.2">
      <c r="A62" s="262" t="s">
        <v>334</v>
      </c>
      <c r="B62" s="283">
        <v>41.7</v>
      </c>
      <c r="C62" s="267" t="s">
        <v>254</v>
      </c>
      <c r="G62" s="267" t="s">
        <v>89</v>
      </c>
      <c r="H62" s="289">
        <f>B92</f>
        <v>2.6999999999999999E-5</v>
      </c>
      <c r="I62" s="249" t="s">
        <v>82</v>
      </c>
      <c r="BV62" s="267"/>
      <c r="BW62" s="293"/>
      <c r="BX62" s="262"/>
      <c r="CZ62" s="267"/>
      <c r="EB62" s="249"/>
      <c r="EE62" s="249"/>
      <c r="EH62" s="249"/>
      <c r="EK62" s="249"/>
      <c r="EN62" s="249"/>
      <c r="EQ62" s="249"/>
      <c r="ET62" s="249"/>
      <c r="EW62" s="249"/>
      <c r="EZ62" s="249"/>
      <c r="FC62" s="249"/>
      <c r="FF62" s="249"/>
      <c r="FI62" s="249"/>
      <c r="FL62" s="249"/>
      <c r="FO62" s="249"/>
      <c r="FR62" s="249"/>
      <c r="FU62" s="249"/>
      <c r="FX62" s="249"/>
      <c r="GA62" s="249"/>
      <c r="GD62" s="249"/>
      <c r="GG62" s="249"/>
      <c r="GJ62" s="249"/>
      <c r="GM62" s="249"/>
      <c r="GP62" s="249"/>
      <c r="GS62" s="249"/>
      <c r="GV62" s="249"/>
      <c r="GY62" s="249"/>
      <c r="HB62" s="249"/>
      <c r="HE62" s="249"/>
    </row>
    <row r="63" spans="1:213" x14ac:dyDescent="0.2">
      <c r="A63" s="262" t="s">
        <v>335</v>
      </c>
      <c r="B63" s="283">
        <v>128.9</v>
      </c>
      <c r="C63" s="267" t="s">
        <v>254</v>
      </c>
      <c r="G63" s="267" t="s">
        <v>90</v>
      </c>
      <c r="H63" s="288">
        <f>0.693/H67</f>
        <v>0.18141361256544503</v>
      </c>
      <c r="I63" s="249" t="s">
        <v>82</v>
      </c>
      <c r="BV63" s="267"/>
      <c r="BW63" s="293"/>
      <c r="BX63" s="262"/>
      <c r="CZ63" s="267"/>
      <c r="EB63" s="249"/>
      <c r="EE63" s="249"/>
      <c r="EH63" s="249"/>
      <c r="EK63" s="249"/>
      <c r="EN63" s="249"/>
      <c r="EQ63" s="249"/>
      <c r="ET63" s="249"/>
      <c r="EW63" s="249"/>
      <c r="EZ63" s="249"/>
      <c r="FC63" s="249"/>
      <c r="FF63" s="249"/>
      <c r="FI63" s="249"/>
      <c r="FL63" s="249"/>
      <c r="FO63" s="249"/>
      <c r="FR63" s="249"/>
      <c r="FU63" s="249"/>
      <c r="FX63" s="249"/>
      <c r="GA63" s="249"/>
      <c r="GD63" s="249"/>
      <c r="GG63" s="249"/>
      <c r="GJ63" s="249"/>
      <c r="GM63" s="249"/>
      <c r="GP63" s="249"/>
      <c r="GS63" s="249"/>
      <c r="GV63" s="249"/>
      <c r="GY63" s="249"/>
      <c r="HB63" s="249"/>
      <c r="HE63" s="249"/>
    </row>
    <row r="64" spans="1:213" x14ac:dyDescent="0.2">
      <c r="A64" s="262" t="s">
        <v>343</v>
      </c>
      <c r="B64" s="283">
        <v>6</v>
      </c>
      <c r="C64" s="264" t="s">
        <v>69</v>
      </c>
      <c r="G64" s="267" t="s">
        <v>91</v>
      </c>
      <c r="H64" s="289">
        <f>B93</f>
        <v>1</v>
      </c>
      <c r="I64" s="249" t="s">
        <v>47</v>
      </c>
      <c r="AI64" s="275"/>
      <c r="AJ64" s="353"/>
      <c r="AK64" s="275"/>
      <c r="BV64" s="267"/>
      <c r="EB64" s="249"/>
      <c r="EE64" s="249"/>
      <c r="EH64" s="249"/>
      <c r="EK64" s="249"/>
      <c r="EN64" s="249"/>
      <c r="EQ64" s="249"/>
      <c r="ET64" s="249"/>
      <c r="EW64" s="249"/>
      <c r="EZ64" s="249"/>
      <c r="FC64" s="249"/>
      <c r="FF64" s="249"/>
      <c r="FI64" s="249"/>
      <c r="FL64" s="249"/>
      <c r="FO64" s="249"/>
      <c r="FR64" s="249"/>
      <c r="FU64" s="249"/>
      <c r="FX64" s="249"/>
      <c r="GA64" s="249"/>
      <c r="GD64" s="249"/>
      <c r="GG64" s="249"/>
      <c r="GJ64" s="249"/>
      <c r="GM64" s="249"/>
      <c r="GP64" s="249"/>
      <c r="GS64" s="249"/>
      <c r="GV64" s="249"/>
      <c r="GY64" s="249"/>
      <c r="HB64" s="249"/>
      <c r="HE64" s="249"/>
    </row>
    <row r="65" spans="1:213" x14ac:dyDescent="0.2">
      <c r="A65" s="262" t="s">
        <v>342</v>
      </c>
      <c r="B65" s="283">
        <v>20</v>
      </c>
      <c r="C65" s="264" t="s">
        <v>69</v>
      </c>
      <c r="G65" s="267" t="s">
        <v>92</v>
      </c>
      <c r="H65" s="289">
        <f>B94</f>
        <v>14</v>
      </c>
      <c r="I65" s="249" t="s">
        <v>93</v>
      </c>
      <c r="AI65" s="275"/>
      <c r="AJ65" s="353"/>
      <c r="AK65" s="275"/>
      <c r="BV65" s="267"/>
      <c r="DD65" s="249"/>
      <c r="DG65" s="249"/>
      <c r="DJ65" s="249"/>
      <c r="DM65" s="249"/>
      <c r="DP65" s="249"/>
      <c r="DS65" s="249"/>
      <c r="DV65" s="249"/>
      <c r="DY65" s="249"/>
      <c r="EB65" s="249"/>
      <c r="EE65" s="249"/>
      <c r="EH65" s="249"/>
      <c r="EK65" s="249"/>
      <c r="EN65" s="249"/>
      <c r="EQ65" s="249"/>
      <c r="ET65" s="249"/>
      <c r="EW65" s="249"/>
      <c r="EZ65" s="249"/>
      <c r="FC65" s="249"/>
      <c r="FF65" s="249"/>
      <c r="FI65" s="249"/>
      <c r="FL65" s="249"/>
      <c r="FO65" s="249"/>
      <c r="FR65" s="249"/>
      <c r="FU65" s="249"/>
      <c r="FX65" s="249"/>
      <c r="GA65" s="249"/>
      <c r="GD65" s="249"/>
      <c r="GG65" s="249"/>
      <c r="GJ65" s="249"/>
      <c r="GM65" s="249"/>
      <c r="GP65" s="249"/>
      <c r="GS65" s="249"/>
      <c r="GV65" s="249"/>
      <c r="GY65" s="249"/>
      <c r="HB65" s="249"/>
      <c r="HE65" s="249"/>
    </row>
    <row r="66" spans="1:213" x14ac:dyDescent="0.2">
      <c r="A66" s="262" t="s">
        <v>341</v>
      </c>
      <c r="B66" s="283">
        <v>26</v>
      </c>
      <c r="C66" s="264" t="s">
        <v>69</v>
      </c>
      <c r="G66" s="249" t="s">
        <v>38</v>
      </c>
      <c r="H66" s="287">
        <f>B45</f>
        <v>0</v>
      </c>
      <c r="AI66" s="275"/>
      <c r="AJ66" s="353"/>
      <c r="AK66" s="275"/>
      <c r="BV66" s="267"/>
      <c r="CZ66" s="262"/>
      <c r="DA66" s="287"/>
      <c r="DD66" s="249"/>
      <c r="DG66" s="249"/>
      <c r="DJ66" s="249"/>
      <c r="DM66" s="249"/>
      <c r="DP66" s="249"/>
      <c r="DS66" s="249"/>
      <c r="DV66" s="249"/>
      <c r="DY66" s="249"/>
      <c r="EB66" s="249"/>
      <c r="EE66" s="249"/>
      <c r="EH66" s="249"/>
      <c r="EK66" s="249"/>
      <c r="EN66" s="249"/>
      <c r="EQ66" s="249"/>
      <c r="ET66" s="249"/>
      <c r="EW66" s="249"/>
      <c r="EZ66" s="249"/>
      <c r="FC66" s="249"/>
      <c r="FF66" s="249"/>
      <c r="FI66" s="249"/>
      <c r="FL66" s="249"/>
      <c r="FO66" s="249"/>
      <c r="FR66" s="249"/>
      <c r="FU66" s="249"/>
      <c r="FX66" s="249"/>
      <c r="GA66" s="249"/>
      <c r="GD66" s="249"/>
      <c r="GG66" s="249"/>
      <c r="GJ66" s="249"/>
      <c r="GM66" s="249"/>
      <c r="GP66" s="249"/>
      <c r="GS66" s="249"/>
      <c r="GV66" s="249"/>
      <c r="GY66" s="249"/>
      <c r="HB66" s="249"/>
      <c r="HE66" s="249"/>
    </row>
    <row r="67" spans="1:213" x14ac:dyDescent="0.2">
      <c r="A67" s="262" t="s">
        <v>340</v>
      </c>
      <c r="B67" s="283">
        <v>350</v>
      </c>
      <c r="C67" s="264" t="s">
        <v>26</v>
      </c>
      <c r="G67" s="262" t="s">
        <v>273</v>
      </c>
      <c r="H67" s="287">
        <f>B35</f>
        <v>3.82</v>
      </c>
      <c r="I67" s="249" t="s">
        <v>257</v>
      </c>
      <c r="AI67" s="275"/>
      <c r="AJ67" s="353"/>
      <c r="AK67" s="275"/>
      <c r="BV67" s="267"/>
      <c r="DD67" s="249"/>
      <c r="DG67" s="249"/>
      <c r="DJ67" s="249"/>
      <c r="DM67" s="249"/>
      <c r="DP67" s="249"/>
      <c r="DS67" s="249"/>
      <c r="DV67" s="249"/>
      <c r="DY67" s="249"/>
      <c r="EB67" s="249"/>
      <c r="EE67" s="249"/>
      <c r="EH67" s="249"/>
      <c r="EK67" s="249"/>
      <c r="EN67" s="249"/>
      <c r="EQ67" s="249"/>
      <c r="ET67" s="249"/>
      <c r="EW67" s="249"/>
      <c r="EZ67" s="249"/>
      <c r="FC67" s="249"/>
      <c r="FF67" s="249"/>
      <c r="FI67" s="249"/>
      <c r="FL67" s="249"/>
      <c r="FO67" s="249"/>
      <c r="FR67" s="249"/>
      <c r="FU67" s="249"/>
      <c r="FX67" s="249"/>
      <c r="GA67" s="249"/>
      <c r="GD67" s="249"/>
      <c r="GG67" s="249"/>
      <c r="GJ67" s="249"/>
      <c r="GM67" s="249"/>
      <c r="GP67" s="249"/>
      <c r="GS67" s="249"/>
      <c r="GV67" s="249"/>
      <c r="GY67" s="249"/>
      <c r="HB67" s="249"/>
      <c r="HE67" s="249"/>
    </row>
    <row r="68" spans="1:213" x14ac:dyDescent="0.2">
      <c r="A68" s="262" t="s">
        <v>339</v>
      </c>
      <c r="B68" s="283">
        <v>350</v>
      </c>
      <c r="C68" s="264" t="s">
        <v>26</v>
      </c>
      <c r="AI68" s="275"/>
      <c r="AJ68" s="353"/>
      <c r="AK68" s="275"/>
      <c r="DD68" s="249"/>
      <c r="DG68" s="249"/>
      <c r="DJ68" s="249"/>
      <c r="DM68" s="249"/>
      <c r="DP68" s="249"/>
      <c r="DS68" s="249"/>
      <c r="DV68" s="249"/>
      <c r="DY68" s="249"/>
      <c r="EB68" s="249"/>
      <c r="EE68" s="249"/>
      <c r="EH68" s="249"/>
      <c r="EK68" s="249"/>
      <c r="EN68" s="249"/>
      <c r="EQ68" s="249"/>
      <c r="ET68" s="249"/>
      <c r="EW68" s="249"/>
      <c r="EZ68" s="249"/>
      <c r="FC68" s="249"/>
      <c r="FF68" s="249"/>
      <c r="FI68" s="249"/>
      <c r="FL68" s="249"/>
      <c r="FO68" s="249"/>
      <c r="FR68" s="249"/>
      <c r="FU68" s="249"/>
      <c r="FX68" s="249"/>
      <c r="GA68" s="249"/>
      <c r="GD68" s="249"/>
      <c r="GG68" s="249"/>
      <c r="GJ68" s="249"/>
      <c r="GM68" s="249"/>
      <c r="GP68" s="249"/>
      <c r="GS68" s="249"/>
      <c r="GV68" s="249"/>
      <c r="GY68" s="249"/>
      <c r="HB68" s="249"/>
      <c r="HE68" s="249"/>
    </row>
    <row r="69" spans="1:213" x14ac:dyDescent="0.2">
      <c r="A69" s="262" t="s">
        <v>338</v>
      </c>
      <c r="B69" s="283">
        <v>350</v>
      </c>
      <c r="C69" s="264" t="s">
        <v>26</v>
      </c>
      <c r="AI69" s="275"/>
      <c r="AJ69" s="353"/>
      <c r="AK69" s="275"/>
      <c r="BV69" s="262"/>
      <c r="BW69" s="287"/>
      <c r="DD69" s="249"/>
      <c r="DG69" s="249"/>
      <c r="DJ69" s="249"/>
      <c r="DM69" s="249"/>
      <c r="DP69" s="249"/>
      <c r="DS69" s="249"/>
      <c r="DV69" s="249"/>
      <c r="DY69" s="249"/>
      <c r="EB69" s="249"/>
      <c r="EE69" s="249"/>
      <c r="EH69" s="249"/>
      <c r="EK69" s="249"/>
      <c r="EN69" s="249"/>
      <c r="EQ69" s="249"/>
      <c r="ET69" s="249"/>
      <c r="EW69" s="249"/>
      <c r="EZ69" s="249"/>
      <c r="FC69" s="249"/>
      <c r="FF69" s="249"/>
      <c r="FI69" s="249"/>
      <c r="FL69" s="249"/>
      <c r="FO69" s="249"/>
      <c r="FR69" s="249"/>
      <c r="FU69" s="249"/>
      <c r="FX69" s="249"/>
      <c r="GA69" s="249"/>
      <c r="GD69" s="249"/>
      <c r="GG69" s="249"/>
      <c r="GJ69" s="249"/>
      <c r="GM69" s="249"/>
      <c r="GP69" s="249"/>
      <c r="GS69" s="249"/>
      <c r="GV69" s="249"/>
      <c r="GY69" s="249"/>
      <c r="HB69" s="249"/>
      <c r="HE69" s="249"/>
    </row>
    <row r="70" spans="1:213" x14ac:dyDescent="0.2">
      <c r="A70" s="249" t="s">
        <v>344</v>
      </c>
      <c r="B70" s="284">
        <v>0.54</v>
      </c>
      <c r="C70" s="92" t="s">
        <v>104</v>
      </c>
      <c r="AI70" s="275"/>
      <c r="AJ70" s="353"/>
      <c r="AK70" s="275"/>
      <c r="BV70" s="262"/>
      <c r="DD70" s="249"/>
      <c r="DG70" s="249"/>
      <c r="DJ70" s="249"/>
      <c r="DM70" s="249"/>
      <c r="DP70" s="249"/>
      <c r="DS70" s="249"/>
      <c r="DV70" s="249"/>
      <c r="DY70" s="249"/>
      <c r="EB70" s="249"/>
      <c r="EE70" s="249"/>
      <c r="EH70" s="249"/>
      <c r="EK70" s="249"/>
      <c r="EN70" s="249"/>
      <c r="EQ70" s="249"/>
      <c r="ET70" s="249"/>
      <c r="EW70" s="249"/>
      <c r="EZ70" s="249"/>
      <c r="FC70" s="249"/>
      <c r="FF70" s="249"/>
      <c r="FI70" s="249"/>
      <c r="FL70" s="249"/>
      <c r="FO70" s="249"/>
      <c r="FR70" s="249"/>
      <c r="FU70" s="249"/>
      <c r="FX70" s="249"/>
      <c r="GA70" s="249"/>
      <c r="GD70" s="249"/>
      <c r="GG70" s="249"/>
      <c r="GJ70" s="249"/>
      <c r="GM70" s="249"/>
      <c r="GP70" s="249"/>
      <c r="GS70" s="249"/>
      <c r="GV70" s="249"/>
      <c r="GY70" s="249"/>
      <c r="HB70" s="249"/>
      <c r="HE70" s="249"/>
    </row>
    <row r="71" spans="1:213" x14ac:dyDescent="0.2">
      <c r="A71" s="249" t="s">
        <v>345</v>
      </c>
      <c r="B71" s="284">
        <v>0.71</v>
      </c>
      <c r="C71" s="92" t="s">
        <v>104</v>
      </c>
      <c r="AI71" s="275"/>
      <c r="AJ71" s="353"/>
      <c r="AK71" s="275"/>
      <c r="BV71" s="262"/>
      <c r="DD71" s="249"/>
      <c r="DG71" s="249"/>
      <c r="DJ71" s="249"/>
      <c r="DM71" s="249"/>
      <c r="DP71" s="249"/>
      <c r="DS71" s="249"/>
      <c r="DV71" s="249"/>
      <c r="DY71" s="249"/>
      <c r="EB71" s="249"/>
      <c r="EE71" s="249"/>
      <c r="EH71" s="249"/>
      <c r="EK71" s="249"/>
      <c r="EN71" s="249"/>
      <c r="EQ71" s="249"/>
      <c r="ET71" s="249"/>
      <c r="EW71" s="249"/>
      <c r="EZ71" s="249"/>
      <c r="FC71" s="249"/>
      <c r="FF71" s="249"/>
      <c r="FI71" s="249"/>
      <c r="FL71" s="249"/>
      <c r="FO71" s="249"/>
      <c r="FR71" s="249"/>
      <c r="FU71" s="249"/>
      <c r="FX71" s="249"/>
      <c r="GA71" s="249"/>
      <c r="GD71" s="249"/>
      <c r="GG71" s="249"/>
      <c r="GJ71" s="249"/>
      <c r="GM71" s="249"/>
      <c r="GP71" s="249"/>
      <c r="GS71" s="249"/>
      <c r="GV71" s="249"/>
      <c r="GY71" s="249"/>
      <c r="HB71" s="249"/>
      <c r="HE71" s="249"/>
    </row>
    <row r="72" spans="1:213" x14ac:dyDescent="0.2">
      <c r="A72" s="262" t="s">
        <v>347</v>
      </c>
      <c r="B72" s="283">
        <v>24</v>
      </c>
      <c r="C72" s="264" t="s">
        <v>224</v>
      </c>
      <c r="AF72" s="277"/>
      <c r="AG72" s="353"/>
      <c r="AH72" s="275"/>
      <c r="AI72" s="275"/>
      <c r="AJ72" s="353"/>
      <c r="AK72" s="275"/>
      <c r="DD72" s="249"/>
      <c r="DG72" s="249"/>
      <c r="DJ72" s="249"/>
      <c r="DM72" s="249"/>
      <c r="DP72" s="249"/>
      <c r="DS72" s="249"/>
      <c r="DV72" s="249"/>
      <c r="DY72" s="249"/>
      <c r="EB72" s="249"/>
      <c r="EE72" s="249"/>
      <c r="EH72" s="249"/>
      <c r="EK72" s="249"/>
      <c r="EN72" s="249"/>
      <c r="EQ72" s="249"/>
      <c r="ET72" s="249"/>
      <c r="EW72" s="249"/>
      <c r="EZ72" s="249"/>
      <c r="FC72" s="249"/>
      <c r="FF72" s="249"/>
      <c r="FI72" s="249"/>
      <c r="FL72" s="249"/>
      <c r="FO72" s="249"/>
      <c r="FR72" s="249"/>
      <c r="FU72" s="249"/>
      <c r="FX72" s="249"/>
      <c r="GA72" s="249"/>
      <c r="GD72" s="249"/>
      <c r="GG72" s="249"/>
      <c r="GJ72" s="249"/>
      <c r="GM72" s="249"/>
      <c r="GP72" s="249"/>
      <c r="GS72" s="249"/>
      <c r="GV72" s="249"/>
      <c r="GY72" s="249"/>
      <c r="HB72" s="249"/>
      <c r="HE72" s="249"/>
    </row>
    <row r="73" spans="1:213" x14ac:dyDescent="0.2">
      <c r="A73" s="262" t="s">
        <v>348</v>
      </c>
      <c r="B73" s="283">
        <v>24</v>
      </c>
      <c r="C73" s="264" t="s">
        <v>224</v>
      </c>
      <c r="AF73" s="277"/>
      <c r="AG73" s="353"/>
      <c r="AH73" s="275"/>
      <c r="AI73" s="275"/>
      <c r="AJ73" s="353"/>
      <c r="AK73" s="275"/>
      <c r="DD73" s="249"/>
      <c r="DG73" s="249"/>
      <c r="DJ73" s="249"/>
      <c r="DM73" s="249"/>
      <c r="DP73" s="249"/>
      <c r="DS73" s="249"/>
      <c r="DV73" s="249"/>
      <c r="DY73" s="249"/>
      <c r="EB73" s="249"/>
      <c r="EE73" s="249"/>
      <c r="EH73" s="249"/>
      <c r="EK73" s="249"/>
      <c r="EN73" s="249"/>
      <c r="EQ73" s="249"/>
      <c r="ET73" s="249"/>
      <c r="EW73" s="249"/>
      <c r="EZ73" s="249"/>
      <c r="FC73" s="249"/>
      <c r="FF73" s="249"/>
      <c r="FI73" s="249"/>
      <c r="FL73" s="249"/>
      <c r="FO73" s="249"/>
      <c r="FR73" s="249"/>
      <c r="FU73" s="249"/>
      <c r="FX73" s="249"/>
      <c r="GA73" s="249"/>
      <c r="GD73" s="249"/>
      <c r="GG73" s="249"/>
      <c r="GJ73" s="249"/>
      <c r="GM73" s="249"/>
      <c r="GP73" s="249"/>
      <c r="GS73" s="249"/>
      <c r="GV73" s="249"/>
      <c r="GY73" s="249"/>
      <c r="HB73" s="249"/>
      <c r="HE73" s="249"/>
    </row>
    <row r="74" spans="1:213" x14ac:dyDescent="0.2">
      <c r="A74" s="262" t="s">
        <v>346</v>
      </c>
      <c r="B74" s="283">
        <v>24</v>
      </c>
      <c r="C74" s="264" t="s">
        <v>224</v>
      </c>
      <c r="AF74" s="277"/>
      <c r="AG74" s="353"/>
      <c r="AH74" s="275"/>
      <c r="AI74" s="275"/>
      <c r="AJ74" s="353"/>
      <c r="AK74" s="275"/>
      <c r="DD74" s="249"/>
      <c r="DG74" s="249"/>
      <c r="DJ74" s="249"/>
      <c r="DM74" s="249"/>
      <c r="DP74" s="249"/>
      <c r="DS74" s="249"/>
      <c r="DV74" s="249"/>
      <c r="DY74" s="249"/>
      <c r="EB74" s="249"/>
      <c r="EE74" s="249"/>
      <c r="EH74" s="249"/>
      <c r="EK74" s="249"/>
      <c r="EN74" s="249"/>
      <c r="EQ74" s="249"/>
      <c r="ET74" s="249"/>
      <c r="EW74" s="249"/>
      <c r="EZ74" s="249"/>
      <c r="FC74" s="249"/>
      <c r="FF74" s="249"/>
      <c r="FI74" s="249"/>
      <c r="FL74" s="249"/>
      <c r="FO74" s="249"/>
      <c r="FR74" s="249"/>
      <c r="FU74" s="249"/>
      <c r="FX74" s="249"/>
      <c r="GA74" s="249"/>
      <c r="GD74" s="249"/>
      <c r="GG74" s="249"/>
      <c r="GJ74" s="249"/>
      <c r="GM74" s="249"/>
      <c r="GP74" s="249"/>
      <c r="GS74" s="249"/>
      <c r="GV74" s="249"/>
      <c r="GY74" s="249"/>
      <c r="HB74" s="249"/>
      <c r="HE74" s="249"/>
    </row>
    <row r="75" spans="1:213" x14ac:dyDescent="0.2">
      <c r="A75" s="249" t="s">
        <v>349</v>
      </c>
      <c r="B75" s="284">
        <v>1</v>
      </c>
      <c r="C75" s="92" t="s">
        <v>98</v>
      </c>
      <c r="AF75" s="277"/>
      <c r="AG75" s="353"/>
      <c r="AH75" s="275"/>
      <c r="AI75" s="275"/>
      <c r="AJ75" s="353"/>
      <c r="AK75" s="275"/>
      <c r="DD75" s="249"/>
      <c r="DG75" s="249"/>
      <c r="DJ75" s="249"/>
      <c r="DM75" s="249"/>
      <c r="DP75" s="249"/>
      <c r="DS75" s="249"/>
      <c r="DV75" s="249"/>
      <c r="DY75" s="249"/>
      <c r="EB75" s="249"/>
      <c r="EE75" s="249"/>
      <c r="EH75" s="249"/>
      <c r="EK75" s="249"/>
      <c r="EN75" s="249"/>
      <c r="EQ75" s="249"/>
      <c r="ET75" s="249"/>
      <c r="EW75" s="249"/>
      <c r="EZ75" s="249"/>
      <c r="FC75" s="249"/>
      <c r="FF75" s="249"/>
      <c r="FI75" s="249"/>
      <c r="FL75" s="249"/>
      <c r="FO75" s="249"/>
      <c r="FR75" s="249"/>
      <c r="FU75" s="249"/>
      <c r="FX75" s="249"/>
      <c r="GA75" s="249"/>
      <c r="GD75" s="249"/>
      <c r="GG75" s="249"/>
      <c r="GJ75" s="249"/>
      <c r="GM75" s="249"/>
      <c r="GP75" s="249"/>
      <c r="GS75" s="249"/>
      <c r="GV75" s="249"/>
      <c r="GY75" s="249"/>
      <c r="HB75" s="249"/>
      <c r="HE75" s="249"/>
    </row>
    <row r="76" spans="1:213" x14ac:dyDescent="0.2">
      <c r="A76" s="249" t="s">
        <v>350</v>
      </c>
      <c r="B76" s="284">
        <v>1</v>
      </c>
      <c r="C76" s="92" t="s">
        <v>98</v>
      </c>
      <c r="AF76" s="277"/>
      <c r="AG76" s="353"/>
      <c r="AH76" s="275"/>
      <c r="AI76" s="275"/>
      <c r="AJ76" s="353"/>
      <c r="AK76" s="275"/>
      <c r="DD76" s="249"/>
      <c r="DG76" s="249"/>
      <c r="DJ76" s="249"/>
      <c r="DM76" s="249"/>
      <c r="DP76" s="249"/>
      <c r="DS76" s="249"/>
      <c r="DV76" s="249"/>
      <c r="DY76" s="249"/>
      <c r="EB76" s="249"/>
      <c r="EE76" s="249"/>
      <c r="EH76" s="249"/>
      <c r="EK76" s="249"/>
      <c r="EN76" s="249"/>
      <c r="EQ76" s="249"/>
      <c r="ET76" s="249"/>
      <c r="EW76" s="249"/>
      <c r="EZ76" s="249"/>
      <c r="FC76" s="249"/>
      <c r="FF76" s="249"/>
      <c r="FI76" s="249"/>
      <c r="FL76" s="249"/>
      <c r="FO76" s="249"/>
      <c r="FR76" s="249"/>
      <c r="FU76" s="249"/>
      <c r="FX76" s="249"/>
      <c r="GA76" s="249"/>
      <c r="GD76" s="249"/>
      <c r="GG76" s="249"/>
      <c r="GJ76" s="249"/>
      <c r="GM76" s="249"/>
      <c r="GP76" s="249"/>
      <c r="GS76" s="249"/>
      <c r="GV76" s="249"/>
      <c r="GY76" s="249"/>
      <c r="HB76" s="249"/>
      <c r="HE76" s="249"/>
    </row>
    <row r="77" spans="1:213" x14ac:dyDescent="0.2">
      <c r="A77" s="262" t="s">
        <v>103</v>
      </c>
      <c r="B77" s="283">
        <v>0.4</v>
      </c>
      <c r="C77" s="249"/>
      <c r="AF77" s="277"/>
      <c r="AG77" s="353"/>
      <c r="AH77" s="275"/>
      <c r="AI77" s="275"/>
      <c r="AJ77" s="353"/>
      <c r="AK77" s="275"/>
      <c r="DD77" s="249"/>
      <c r="DG77" s="249"/>
      <c r="DJ77" s="249"/>
      <c r="DM77" s="249"/>
      <c r="DP77" s="249"/>
      <c r="DS77" s="249"/>
      <c r="DV77" s="249"/>
      <c r="DY77" s="249"/>
      <c r="EB77" s="249"/>
      <c r="EE77" s="249"/>
      <c r="EH77" s="249"/>
      <c r="EK77" s="249"/>
      <c r="EN77" s="249"/>
      <c r="EQ77" s="249"/>
      <c r="ET77" s="249"/>
      <c r="EW77" s="249"/>
      <c r="EZ77" s="249"/>
      <c r="FC77" s="249"/>
      <c r="FF77" s="249"/>
      <c r="FI77" s="249"/>
      <c r="FL77" s="249"/>
      <c r="FO77" s="249"/>
      <c r="FR77" s="249"/>
      <c r="FU77" s="249"/>
      <c r="FX77" s="249"/>
      <c r="GA77" s="249"/>
      <c r="GD77" s="249"/>
      <c r="GG77" s="249"/>
      <c r="GJ77" s="249"/>
      <c r="GM77" s="249"/>
      <c r="GP77" s="249"/>
      <c r="GS77" s="249"/>
      <c r="GV77" s="249"/>
      <c r="GY77" s="249"/>
      <c r="HB77" s="249"/>
      <c r="HE77" s="249"/>
    </row>
    <row r="78" spans="1:213" x14ac:dyDescent="0.2">
      <c r="A78" s="249" t="s">
        <v>353</v>
      </c>
      <c r="B78" s="284">
        <v>1</v>
      </c>
      <c r="C78" s="247"/>
      <c r="AF78" s="277"/>
      <c r="AG78" s="353"/>
      <c r="DD78" s="249"/>
      <c r="DG78" s="249"/>
      <c r="DJ78" s="249"/>
      <c r="DM78" s="249"/>
      <c r="DP78" s="249"/>
      <c r="DS78" s="249"/>
      <c r="DV78" s="249"/>
      <c r="DY78" s="249"/>
      <c r="EB78" s="249"/>
      <c r="EE78" s="249"/>
      <c r="EH78" s="249"/>
      <c r="EK78" s="249"/>
      <c r="EN78" s="249"/>
      <c r="EQ78" s="249"/>
      <c r="ET78" s="249"/>
      <c r="EW78" s="249"/>
      <c r="EZ78" s="249"/>
      <c r="FC78" s="249"/>
      <c r="FF78" s="249"/>
      <c r="FI78" s="249"/>
      <c r="FL78" s="249"/>
      <c r="FO78" s="249"/>
      <c r="FR78" s="249"/>
      <c r="FU78" s="249"/>
      <c r="FX78" s="249"/>
      <c r="GA78" s="249"/>
      <c r="GD78" s="249"/>
      <c r="GG78" s="249"/>
      <c r="GJ78" s="249"/>
      <c r="GM78" s="249"/>
      <c r="GP78" s="249"/>
      <c r="GS78" s="249"/>
      <c r="GV78" s="249"/>
      <c r="GY78" s="249"/>
      <c r="HB78" s="249"/>
      <c r="HE78" s="249"/>
    </row>
    <row r="79" spans="1:213" x14ac:dyDescent="0.2">
      <c r="A79" s="249" t="s">
        <v>158</v>
      </c>
      <c r="B79" s="284">
        <v>0.4</v>
      </c>
      <c r="C79" s="247"/>
      <c r="AF79" s="277"/>
      <c r="AG79" s="353"/>
      <c r="AH79" s="275"/>
      <c r="AI79" s="275"/>
      <c r="AJ79" s="353"/>
      <c r="AK79" s="275"/>
      <c r="DD79" s="249"/>
      <c r="DG79" s="249"/>
      <c r="DJ79" s="249"/>
      <c r="DM79" s="249"/>
      <c r="DP79" s="249"/>
      <c r="DS79" s="249"/>
      <c r="DV79" s="249"/>
      <c r="DY79" s="249"/>
      <c r="EB79" s="249"/>
      <c r="EE79" s="249"/>
      <c r="EH79" s="249"/>
      <c r="EK79" s="249"/>
      <c r="EN79" s="249"/>
      <c r="EQ79" s="249"/>
      <c r="ET79" s="249"/>
      <c r="EW79" s="249"/>
      <c r="EZ79" s="249"/>
      <c r="FC79" s="249"/>
      <c r="FF79" s="249"/>
      <c r="FI79" s="249"/>
      <c r="FL79" s="249"/>
      <c r="FO79" s="249"/>
      <c r="FR79" s="249"/>
      <c r="FU79" s="249"/>
      <c r="FX79" s="249"/>
      <c r="GA79" s="249"/>
      <c r="GD79" s="249"/>
      <c r="GG79" s="249"/>
      <c r="GJ79" s="249"/>
      <c r="GM79" s="249"/>
      <c r="GP79" s="249"/>
      <c r="GS79" s="249"/>
      <c r="GV79" s="249"/>
      <c r="GY79" s="249"/>
      <c r="HB79" s="249"/>
      <c r="HE79" s="249"/>
    </row>
    <row r="80" spans="1:213" x14ac:dyDescent="0.2">
      <c r="A80" s="249" t="s">
        <v>159</v>
      </c>
      <c r="B80" s="284">
        <v>1</v>
      </c>
      <c r="C80" s="247"/>
      <c r="AF80" s="277"/>
      <c r="AG80" s="353"/>
      <c r="AH80" s="275"/>
      <c r="AI80" s="275"/>
      <c r="AJ80" s="353"/>
      <c r="AK80" s="275"/>
      <c r="DD80" s="249"/>
      <c r="DG80" s="249"/>
      <c r="DJ80" s="249"/>
      <c r="DM80" s="249"/>
      <c r="DP80" s="249"/>
      <c r="DS80" s="249"/>
      <c r="DV80" s="249"/>
      <c r="DY80" s="249"/>
      <c r="EB80" s="249"/>
      <c r="EE80" s="249"/>
      <c r="EH80" s="249"/>
      <c r="EK80" s="249"/>
      <c r="EN80" s="249"/>
      <c r="EQ80" s="249"/>
      <c r="ET80" s="249"/>
      <c r="EW80" s="249"/>
      <c r="EZ80" s="249"/>
      <c r="FC80" s="249"/>
      <c r="FF80" s="249"/>
      <c r="FI80" s="249"/>
      <c r="FL80" s="249"/>
      <c r="FO80" s="249"/>
      <c r="FR80" s="249"/>
      <c r="FU80" s="249"/>
      <c r="FX80" s="249"/>
      <c r="GA80" s="249"/>
      <c r="GD80" s="249"/>
      <c r="GG80" s="249"/>
      <c r="GJ80" s="249"/>
      <c r="GM80" s="249"/>
      <c r="GP80" s="249"/>
      <c r="GS80" s="249"/>
      <c r="GV80" s="249"/>
      <c r="GY80" s="249"/>
      <c r="HB80" s="249"/>
      <c r="HE80" s="249"/>
    </row>
    <row r="81" spans="1:213" x14ac:dyDescent="0.2">
      <c r="A81" s="249" t="s">
        <v>354</v>
      </c>
      <c r="B81" s="284">
        <v>1</v>
      </c>
      <c r="C81" s="247"/>
      <c r="AF81" s="277"/>
      <c r="AG81" s="353"/>
      <c r="AH81" s="275"/>
      <c r="AI81" s="275"/>
      <c r="AJ81" s="353"/>
      <c r="AK81" s="275"/>
      <c r="AM81" s="249"/>
      <c r="AP81" s="249"/>
      <c r="AS81" s="249"/>
      <c r="AV81" s="249"/>
      <c r="AY81" s="249"/>
      <c r="BB81" s="249"/>
      <c r="BE81" s="249"/>
      <c r="BH81" s="249"/>
      <c r="BK81" s="249"/>
      <c r="BN81" s="249"/>
      <c r="BQ81" s="249"/>
      <c r="BT81" s="249"/>
      <c r="BW81" s="249"/>
      <c r="BZ81" s="249"/>
      <c r="CC81" s="249"/>
      <c r="CF81" s="249"/>
      <c r="CI81" s="249"/>
      <c r="CL81" s="249"/>
      <c r="CO81" s="249"/>
      <c r="CR81" s="249"/>
      <c r="CU81" s="249"/>
      <c r="CX81" s="249"/>
      <c r="DA81" s="249"/>
      <c r="DD81" s="249"/>
      <c r="DG81" s="249"/>
      <c r="DJ81" s="249"/>
      <c r="DM81" s="249"/>
      <c r="DP81" s="249"/>
      <c r="DS81" s="249"/>
      <c r="DV81" s="249"/>
      <c r="DY81" s="249"/>
      <c r="EB81" s="249"/>
      <c r="EE81" s="249"/>
      <c r="EH81" s="249"/>
      <c r="EK81" s="249"/>
      <c r="EN81" s="249"/>
      <c r="EQ81" s="249"/>
      <c r="ET81" s="249"/>
      <c r="EW81" s="249"/>
      <c r="EZ81" s="249"/>
      <c r="FC81" s="249"/>
      <c r="FF81" s="249"/>
      <c r="FI81" s="249"/>
      <c r="FL81" s="249"/>
      <c r="FO81" s="249"/>
      <c r="FR81" s="249"/>
      <c r="FU81" s="249"/>
      <c r="FX81" s="249"/>
      <c r="GA81" s="249"/>
      <c r="GD81" s="249"/>
      <c r="GG81" s="249"/>
      <c r="GJ81" s="249"/>
      <c r="GM81" s="249"/>
      <c r="GP81" s="249"/>
      <c r="GS81" s="249"/>
      <c r="GV81" s="249"/>
      <c r="GY81" s="249"/>
      <c r="HB81" s="249"/>
      <c r="HE81" s="249"/>
    </row>
    <row r="82" spans="1:213" x14ac:dyDescent="0.2">
      <c r="A82" s="262" t="s">
        <v>124</v>
      </c>
      <c r="B82" s="284">
        <v>1</v>
      </c>
      <c r="C82" s="263" t="s">
        <v>125</v>
      </c>
      <c r="AF82" s="277"/>
      <c r="AG82" s="353"/>
      <c r="AH82" s="275"/>
      <c r="AI82" s="275"/>
      <c r="AJ82" s="353"/>
      <c r="AK82" s="275"/>
      <c r="AM82" s="249"/>
      <c r="AP82" s="249"/>
      <c r="AS82" s="249"/>
      <c r="AV82" s="249"/>
      <c r="AY82" s="249"/>
      <c r="BB82" s="249"/>
      <c r="BE82" s="249"/>
      <c r="BH82" s="249"/>
      <c r="BK82" s="249"/>
      <c r="BN82" s="249"/>
      <c r="BQ82" s="249"/>
      <c r="BT82" s="249"/>
      <c r="BW82" s="249"/>
      <c r="BZ82" s="249"/>
      <c r="CC82" s="249"/>
      <c r="CF82" s="249"/>
      <c r="CI82" s="249"/>
      <c r="CL82" s="249"/>
      <c r="CO82" s="249"/>
      <c r="CR82" s="249"/>
      <c r="CU82" s="249"/>
      <c r="CX82" s="249"/>
      <c r="DA82" s="249"/>
      <c r="DD82" s="249"/>
      <c r="DG82" s="249"/>
      <c r="DJ82" s="249"/>
      <c r="DM82" s="249"/>
      <c r="DP82" s="249"/>
      <c r="DS82" s="249"/>
      <c r="DV82" s="249"/>
      <c r="DY82" s="249"/>
      <c r="EB82" s="249"/>
      <c r="EE82" s="249"/>
      <c r="EH82" s="249"/>
      <c r="EK82" s="249"/>
      <c r="EN82" s="249"/>
      <c r="EQ82" s="249"/>
      <c r="ET82" s="249"/>
      <c r="EW82" s="249"/>
      <c r="EZ82" s="249"/>
      <c r="FC82" s="249"/>
      <c r="FF82" s="249"/>
      <c r="FI82" s="249"/>
      <c r="FL82" s="249"/>
      <c r="FO82" s="249"/>
      <c r="FR82" s="249"/>
      <c r="FU82" s="249"/>
      <c r="FX82" s="249"/>
      <c r="GA82" s="249"/>
      <c r="GD82" s="249"/>
      <c r="GG82" s="249"/>
      <c r="GJ82" s="249"/>
      <c r="GM82" s="249"/>
      <c r="GP82" s="249"/>
      <c r="GS82" s="249"/>
      <c r="GV82" s="249"/>
      <c r="GY82" s="249"/>
      <c r="HB82" s="249"/>
      <c r="HE82" s="249"/>
    </row>
    <row r="83" spans="1:213" x14ac:dyDescent="0.2">
      <c r="A83" s="249" t="s">
        <v>83</v>
      </c>
      <c r="B83" s="284">
        <v>0.5</v>
      </c>
      <c r="C83" s="249" t="s">
        <v>84</v>
      </c>
      <c r="AF83" s="277"/>
      <c r="AG83" s="353"/>
      <c r="AM83" s="249"/>
      <c r="AP83" s="249"/>
      <c r="AS83" s="249"/>
      <c r="AV83" s="249"/>
      <c r="AY83" s="249"/>
      <c r="BB83" s="249"/>
      <c r="BE83" s="249"/>
      <c r="BH83" s="249"/>
      <c r="BK83" s="249"/>
      <c r="BN83" s="249"/>
      <c r="BQ83" s="249"/>
      <c r="BT83" s="249"/>
      <c r="BW83" s="249"/>
      <c r="BZ83" s="249"/>
      <c r="CC83" s="249"/>
      <c r="CF83" s="249"/>
      <c r="CI83" s="249"/>
      <c r="CL83" s="249"/>
      <c r="CO83" s="249"/>
      <c r="CR83" s="249"/>
      <c r="CU83" s="249"/>
      <c r="CX83" s="249"/>
      <c r="DA83" s="249"/>
      <c r="DD83" s="249"/>
      <c r="DG83" s="249"/>
      <c r="DJ83" s="249"/>
      <c r="DM83" s="249"/>
      <c r="DP83" s="249"/>
      <c r="DS83" s="249"/>
      <c r="DV83" s="249"/>
      <c r="DY83" s="249"/>
      <c r="EB83" s="249"/>
      <c r="EE83" s="249"/>
      <c r="EH83" s="249"/>
      <c r="EK83" s="249"/>
      <c r="EN83" s="249"/>
      <c r="EQ83" s="249"/>
      <c r="ET83" s="249"/>
      <c r="EW83" s="249"/>
      <c r="EZ83" s="249"/>
      <c r="FC83" s="249"/>
      <c r="FF83" s="249"/>
      <c r="FI83" s="249"/>
      <c r="FL83" s="249"/>
      <c r="FO83" s="249"/>
      <c r="FR83" s="249"/>
      <c r="FU83" s="249"/>
      <c r="FX83" s="249"/>
      <c r="GA83" s="249"/>
      <c r="GD83" s="249"/>
      <c r="GG83" s="249"/>
      <c r="GJ83" s="249"/>
      <c r="GM83" s="249"/>
      <c r="GP83" s="249"/>
      <c r="GS83" s="249"/>
      <c r="GV83" s="249"/>
      <c r="GY83" s="249"/>
      <c r="HB83" s="249"/>
      <c r="HE83" s="249"/>
    </row>
    <row r="84" spans="1:213" x14ac:dyDescent="0.2">
      <c r="A84" s="249" t="s">
        <v>355</v>
      </c>
      <c r="B84" s="284">
        <v>0.25</v>
      </c>
      <c r="C84" s="247"/>
      <c r="AF84" s="277"/>
      <c r="AG84" s="353"/>
      <c r="AH84" s="275"/>
      <c r="AI84" s="275"/>
      <c r="AJ84" s="353"/>
      <c r="AK84" s="275"/>
      <c r="AM84" s="249"/>
      <c r="AP84" s="249"/>
      <c r="AS84" s="249"/>
      <c r="AV84" s="249"/>
      <c r="AY84" s="249"/>
      <c r="BB84" s="249"/>
      <c r="BE84" s="249"/>
      <c r="BH84" s="249"/>
      <c r="BK84" s="249"/>
      <c r="BN84" s="249"/>
      <c r="BQ84" s="249"/>
      <c r="BT84" s="249"/>
      <c r="BW84" s="249"/>
      <c r="BZ84" s="249"/>
      <c r="CC84" s="249"/>
      <c r="CF84" s="249"/>
      <c r="CI84" s="249"/>
      <c r="CL84" s="249"/>
      <c r="CO84" s="249"/>
      <c r="CR84" s="249"/>
      <c r="CU84" s="249"/>
      <c r="CX84" s="249"/>
      <c r="DA84" s="249"/>
      <c r="DD84" s="249"/>
      <c r="DG84" s="249"/>
      <c r="DJ84" s="249"/>
      <c r="DM84" s="249"/>
      <c r="DP84" s="249"/>
      <c r="DS84" s="249"/>
      <c r="DV84" s="249"/>
      <c r="DY84" s="249"/>
      <c r="EB84" s="249"/>
      <c r="EE84" s="249"/>
      <c r="EH84" s="249"/>
      <c r="EK84" s="249"/>
      <c r="EN84" s="249"/>
      <c r="EQ84" s="249"/>
      <c r="ET84" s="249"/>
      <c r="EW84" s="249"/>
      <c r="EZ84" s="249"/>
      <c r="FC84" s="249"/>
      <c r="FF84" s="249"/>
      <c r="FI84" s="249"/>
      <c r="FL84" s="249"/>
      <c r="FO84" s="249"/>
      <c r="FR84" s="249"/>
      <c r="FU84" s="249"/>
      <c r="FX84" s="249"/>
      <c r="GA84" s="249"/>
      <c r="GD84" s="249"/>
      <c r="GG84" s="249"/>
      <c r="GJ84" s="249"/>
      <c r="GM84" s="249"/>
      <c r="GP84" s="249"/>
      <c r="GS84" s="249"/>
      <c r="GV84" s="249"/>
      <c r="GY84" s="249"/>
      <c r="HB84" s="249"/>
      <c r="HE84" s="249"/>
    </row>
    <row r="85" spans="1:213" x14ac:dyDescent="0.2">
      <c r="A85" s="262" t="s">
        <v>41</v>
      </c>
      <c r="B85" s="284">
        <v>3.62</v>
      </c>
      <c r="C85" s="249" t="s">
        <v>42</v>
      </c>
      <c r="AF85" s="277"/>
      <c r="AG85" s="353"/>
      <c r="AM85" s="249"/>
      <c r="AP85" s="249"/>
      <c r="AS85" s="249"/>
      <c r="AV85" s="249"/>
      <c r="AY85" s="249"/>
      <c r="BB85" s="249"/>
      <c r="BE85" s="249"/>
      <c r="BH85" s="249"/>
      <c r="BK85" s="249"/>
      <c r="BN85" s="249"/>
      <c r="BQ85" s="249"/>
      <c r="BT85" s="249"/>
      <c r="BW85" s="249"/>
      <c r="BZ85" s="249"/>
      <c r="CC85" s="249"/>
      <c r="CF85" s="249"/>
      <c r="CI85" s="249"/>
      <c r="CL85" s="249"/>
      <c r="CO85" s="249"/>
      <c r="CR85" s="249"/>
      <c r="CU85" s="249"/>
      <c r="CX85" s="249"/>
      <c r="DA85" s="249"/>
      <c r="DD85" s="249"/>
      <c r="DG85" s="249"/>
      <c r="DJ85" s="249"/>
      <c r="DM85" s="249"/>
      <c r="DP85" s="249"/>
      <c r="DS85" s="249"/>
      <c r="DV85" s="249"/>
      <c r="DY85" s="249"/>
      <c r="EB85" s="249"/>
      <c r="EE85" s="249"/>
      <c r="EH85" s="249"/>
      <c r="EK85" s="249"/>
      <c r="EN85" s="249"/>
      <c r="EQ85" s="249"/>
      <c r="ET85" s="249"/>
      <c r="EW85" s="249"/>
      <c r="EZ85" s="249"/>
      <c r="FC85" s="249"/>
      <c r="FF85" s="249"/>
      <c r="FI85" s="249"/>
      <c r="FL85" s="249"/>
      <c r="FO85" s="249"/>
      <c r="FR85" s="249"/>
      <c r="FU85" s="249"/>
      <c r="FX85" s="249"/>
      <c r="GA85" s="249"/>
      <c r="GD85" s="249"/>
      <c r="GG85" s="249"/>
      <c r="GJ85" s="249"/>
      <c r="GM85" s="249"/>
      <c r="GP85" s="249"/>
      <c r="GS85" s="249"/>
      <c r="GV85" s="249"/>
      <c r="GY85" s="249"/>
      <c r="HB85" s="249"/>
      <c r="HE85" s="249"/>
    </row>
    <row r="86" spans="1:213" x14ac:dyDescent="0.2">
      <c r="A86" s="262" t="s">
        <v>46</v>
      </c>
      <c r="B86" s="284">
        <v>0.25</v>
      </c>
      <c r="C86" s="249" t="s">
        <v>47</v>
      </c>
      <c r="AH86" s="276"/>
      <c r="AI86" s="276"/>
      <c r="AJ86" s="277"/>
      <c r="AK86" s="276"/>
      <c r="AM86" s="249"/>
      <c r="AP86" s="249"/>
      <c r="AS86" s="249"/>
      <c r="AV86" s="249"/>
      <c r="AY86" s="249"/>
      <c r="BB86" s="249"/>
      <c r="BE86" s="249"/>
      <c r="BH86" s="249"/>
      <c r="BK86" s="249"/>
      <c r="BN86" s="249"/>
      <c r="BQ86" s="249"/>
      <c r="BT86" s="249"/>
      <c r="BW86" s="249"/>
      <c r="BZ86" s="249"/>
      <c r="CC86" s="249"/>
      <c r="CF86" s="249"/>
      <c r="CI86" s="249"/>
      <c r="CL86" s="249"/>
      <c r="CO86" s="249"/>
      <c r="CR86" s="249"/>
      <c r="CU86" s="249"/>
      <c r="CX86" s="249"/>
      <c r="DA86" s="249"/>
      <c r="DD86" s="249"/>
      <c r="DG86" s="249"/>
      <c r="DJ86" s="249"/>
      <c r="DM86" s="249"/>
      <c r="DP86" s="249"/>
      <c r="DS86" s="249"/>
      <c r="DV86" s="249"/>
      <c r="DY86" s="249"/>
      <c r="EB86" s="249"/>
      <c r="EE86" s="249"/>
      <c r="EH86" s="249"/>
      <c r="EK86" s="249"/>
      <c r="EN86" s="249"/>
      <c r="EQ86" s="249"/>
      <c r="ET86" s="249"/>
      <c r="EW86" s="249"/>
      <c r="EZ86" s="249"/>
      <c r="FC86" s="249"/>
      <c r="FF86" s="249"/>
      <c r="FI86" s="249"/>
      <c r="FL86" s="249"/>
      <c r="FO86" s="249"/>
      <c r="FR86" s="249"/>
      <c r="FU86" s="249"/>
      <c r="FX86" s="249"/>
      <c r="GA86" s="249"/>
      <c r="GD86" s="249"/>
      <c r="GG86" s="249"/>
      <c r="GJ86" s="249"/>
      <c r="GM86" s="249"/>
      <c r="GP86" s="249"/>
      <c r="GS86" s="249"/>
      <c r="GV86" s="249"/>
      <c r="GY86" s="249"/>
      <c r="HB86" s="249"/>
      <c r="HE86" s="249"/>
    </row>
    <row r="87" spans="1:213" x14ac:dyDescent="0.2">
      <c r="A87" s="267" t="s">
        <v>60</v>
      </c>
      <c r="B87" s="284">
        <v>10950</v>
      </c>
      <c r="C87" s="249" t="s">
        <v>61</v>
      </c>
      <c r="AM87" s="249"/>
      <c r="AP87" s="249"/>
      <c r="AS87" s="249"/>
      <c r="AV87" s="249"/>
      <c r="AY87" s="249"/>
      <c r="BB87" s="249"/>
      <c r="BE87" s="249"/>
      <c r="BH87" s="249"/>
      <c r="BK87" s="249"/>
      <c r="BN87" s="249"/>
      <c r="BQ87" s="249"/>
      <c r="BT87" s="249"/>
      <c r="BW87" s="249"/>
      <c r="BZ87" s="249"/>
      <c r="CC87" s="249"/>
      <c r="CF87" s="249"/>
      <c r="CI87" s="249"/>
      <c r="CL87" s="249"/>
      <c r="CO87" s="249"/>
      <c r="CR87" s="249"/>
      <c r="CU87" s="249"/>
      <c r="CX87" s="249"/>
      <c r="DA87" s="249"/>
      <c r="DD87" s="249"/>
      <c r="DG87" s="249"/>
      <c r="DJ87" s="249"/>
      <c r="DM87" s="249"/>
      <c r="DP87" s="249"/>
      <c r="DS87" s="249"/>
      <c r="DV87" s="249"/>
      <c r="DY87" s="249"/>
      <c r="EB87" s="249"/>
      <c r="EE87" s="249"/>
      <c r="EH87" s="249"/>
      <c r="EK87" s="249"/>
      <c r="EN87" s="249"/>
      <c r="EQ87" s="249"/>
      <c r="ET87" s="249"/>
      <c r="EW87" s="249"/>
      <c r="EZ87" s="249"/>
      <c r="FC87" s="249"/>
      <c r="FF87" s="249"/>
      <c r="FI87" s="249"/>
      <c r="FL87" s="249"/>
      <c r="FO87" s="249"/>
      <c r="FR87" s="249"/>
      <c r="FU87" s="249"/>
      <c r="FX87" s="249"/>
      <c r="GA87" s="249"/>
      <c r="GD87" s="249"/>
      <c r="GG87" s="249"/>
      <c r="GJ87" s="249"/>
      <c r="GM87" s="249"/>
      <c r="GP87" s="249"/>
      <c r="GS87" s="249"/>
      <c r="GV87" s="249"/>
      <c r="GY87" s="249"/>
      <c r="HB87" s="249"/>
      <c r="HE87" s="249"/>
    </row>
    <row r="88" spans="1:213" x14ac:dyDescent="0.2">
      <c r="A88" s="267" t="s">
        <v>65</v>
      </c>
      <c r="B88" s="284">
        <v>240</v>
      </c>
      <c r="C88" s="249" t="s">
        <v>66</v>
      </c>
      <c r="AM88" s="249"/>
      <c r="AP88" s="249"/>
      <c r="AS88" s="249"/>
      <c r="AV88" s="249"/>
      <c r="AY88" s="249"/>
      <c r="BB88" s="249"/>
      <c r="BE88" s="249"/>
      <c r="BH88" s="249"/>
      <c r="BK88" s="249"/>
      <c r="BN88" s="249"/>
      <c r="BQ88" s="249"/>
      <c r="BT88" s="249"/>
      <c r="BW88" s="249"/>
      <c r="BZ88" s="249"/>
      <c r="CC88" s="249"/>
      <c r="CF88" s="249"/>
      <c r="CI88" s="249"/>
      <c r="CL88" s="249"/>
      <c r="CO88" s="249"/>
      <c r="CR88" s="249"/>
      <c r="CU88" s="249"/>
      <c r="CX88" s="249"/>
      <c r="DA88" s="249"/>
      <c r="DD88" s="249"/>
      <c r="DG88" s="249"/>
      <c r="DJ88" s="249"/>
      <c r="DM88" s="249"/>
      <c r="DP88" s="249"/>
      <c r="DS88" s="249"/>
      <c r="DV88" s="249"/>
      <c r="DY88" s="249"/>
      <c r="EB88" s="249"/>
      <c r="EE88" s="249"/>
      <c r="EH88" s="249"/>
      <c r="EK88" s="249"/>
      <c r="EN88" s="249"/>
      <c r="EQ88" s="249"/>
      <c r="ET88" s="249"/>
      <c r="EW88" s="249"/>
      <c r="EZ88" s="249"/>
      <c r="FC88" s="249"/>
      <c r="FF88" s="249"/>
      <c r="FI88" s="249"/>
      <c r="FL88" s="249"/>
      <c r="FO88" s="249"/>
      <c r="FR88" s="249"/>
      <c r="FU88" s="249"/>
      <c r="FX88" s="249"/>
      <c r="GA88" s="249"/>
      <c r="GD88" s="249"/>
      <c r="GG88" s="249"/>
      <c r="GJ88" s="249"/>
      <c r="GM88" s="249"/>
      <c r="GP88" s="249"/>
      <c r="GS88" s="249"/>
      <c r="GV88" s="249"/>
      <c r="GY88" s="249"/>
      <c r="HB88" s="249"/>
      <c r="HE88" s="249"/>
    </row>
    <row r="89" spans="1:213" x14ac:dyDescent="0.2">
      <c r="A89" s="267" t="s">
        <v>76</v>
      </c>
      <c r="B89" s="284">
        <v>0.42</v>
      </c>
      <c r="C89" s="249" t="s">
        <v>47</v>
      </c>
      <c r="AM89" s="249"/>
      <c r="AP89" s="249"/>
      <c r="AS89" s="249"/>
      <c r="AV89" s="249"/>
      <c r="AY89" s="249"/>
      <c r="BB89" s="249"/>
      <c r="BE89" s="249"/>
      <c r="BH89" s="249"/>
      <c r="BK89" s="249"/>
      <c r="BN89" s="249"/>
      <c r="BQ89" s="249"/>
      <c r="BT89" s="249"/>
      <c r="BW89" s="249"/>
      <c r="BZ89" s="249"/>
      <c r="CC89" s="249"/>
      <c r="CF89" s="249"/>
      <c r="CI89" s="249"/>
      <c r="CL89" s="249"/>
      <c r="CO89" s="249"/>
      <c r="CR89" s="249"/>
      <c r="CU89" s="249"/>
      <c r="CX89" s="249"/>
      <c r="DA89" s="249"/>
      <c r="DD89" s="249"/>
      <c r="DG89" s="249"/>
      <c r="DJ89" s="249"/>
      <c r="DM89" s="249"/>
      <c r="DP89" s="249"/>
      <c r="DS89" s="249"/>
      <c r="DV89" s="249"/>
      <c r="DY89" s="249"/>
      <c r="EB89" s="249"/>
      <c r="EE89" s="249"/>
      <c r="EH89" s="249"/>
      <c r="EK89" s="249"/>
      <c r="EN89" s="249"/>
      <c r="EQ89" s="249"/>
      <c r="ET89" s="249"/>
      <c r="EW89" s="249"/>
      <c r="EZ89" s="249"/>
      <c r="FC89" s="249"/>
      <c r="FF89" s="249"/>
      <c r="FI89" s="249"/>
      <c r="FL89" s="249"/>
      <c r="FO89" s="249"/>
      <c r="FR89" s="249"/>
      <c r="FU89" s="249"/>
      <c r="FX89" s="249"/>
      <c r="GA89" s="249"/>
      <c r="GD89" s="249"/>
      <c r="GG89" s="249"/>
      <c r="GJ89" s="249"/>
      <c r="GM89" s="249"/>
      <c r="GP89" s="249"/>
      <c r="GS89" s="249"/>
      <c r="GV89" s="249"/>
      <c r="GY89" s="249"/>
      <c r="HB89" s="249"/>
      <c r="HE89" s="249"/>
    </row>
    <row r="90" spans="1:213" x14ac:dyDescent="0.2">
      <c r="A90" s="267" t="s">
        <v>85</v>
      </c>
      <c r="B90" s="284">
        <v>60</v>
      </c>
      <c r="C90" s="262" t="s">
        <v>61</v>
      </c>
      <c r="AM90" s="249"/>
      <c r="AP90" s="249"/>
      <c r="AS90" s="249"/>
      <c r="AV90" s="249"/>
      <c r="AY90" s="249"/>
      <c r="BB90" s="249"/>
      <c r="BE90" s="249"/>
      <c r="BH90" s="249"/>
      <c r="BK90" s="249"/>
      <c r="BN90" s="249"/>
      <c r="BQ90" s="249"/>
      <c r="BT90" s="249"/>
      <c r="BW90" s="249"/>
      <c r="BZ90" s="249"/>
      <c r="CC90" s="249"/>
      <c r="CF90" s="249"/>
      <c r="CI90" s="249"/>
      <c r="CL90" s="249"/>
      <c r="CO90" s="249"/>
      <c r="CR90" s="249"/>
      <c r="CU90" s="249"/>
      <c r="CX90" s="249"/>
      <c r="DA90" s="249"/>
      <c r="DD90" s="249"/>
      <c r="DG90" s="249"/>
      <c r="DJ90" s="249"/>
      <c r="DM90" s="249"/>
      <c r="DP90" s="249"/>
      <c r="DS90" s="249"/>
      <c r="DV90" s="249"/>
      <c r="DY90" s="249"/>
      <c r="EB90" s="249"/>
      <c r="EE90" s="249"/>
      <c r="EH90" s="249"/>
      <c r="EK90" s="249"/>
      <c r="EN90" s="249"/>
      <c r="EQ90" s="249"/>
      <c r="ET90" s="249"/>
      <c r="EW90" s="249"/>
      <c r="EZ90" s="249"/>
      <c r="FC90" s="249"/>
      <c r="FF90" s="249"/>
      <c r="FI90" s="249"/>
      <c r="FL90" s="249"/>
      <c r="FO90" s="249"/>
      <c r="FR90" s="249"/>
      <c r="FU90" s="249"/>
      <c r="FX90" s="249"/>
      <c r="GA90" s="249"/>
      <c r="GD90" s="249"/>
      <c r="GG90" s="249"/>
      <c r="GJ90" s="249"/>
      <c r="GM90" s="249"/>
      <c r="GP90" s="249"/>
      <c r="GS90" s="249"/>
      <c r="GV90" s="249"/>
      <c r="GY90" s="249"/>
      <c r="HB90" s="249"/>
      <c r="HE90" s="249"/>
    </row>
    <row r="91" spans="1:213" x14ac:dyDescent="0.2">
      <c r="A91" s="267" t="s">
        <v>87</v>
      </c>
      <c r="B91" s="284">
        <v>2</v>
      </c>
      <c r="C91" s="262" t="s">
        <v>66</v>
      </c>
      <c r="AM91" s="249"/>
      <c r="AP91" s="249"/>
      <c r="AS91" s="249"/>
      <c r="AV91" s="249"/>
      <c r="AY91" s="249"/>
      <c r="BB91" s="249"/>
      <c r="BE91" s="249"/>
      <c r="BH91" s="249"/>
      <c r="BK91" s="249"/>
      <c r="BN91" s="249"/>
      <c r="BQ91" s="249"/>
      <c r="BT91" s="249"/>
      <c r="BW91" s="249"/>
      <c r="BZ91" s="249"/>
      <c r="CC91" s="249"/>
      <c r="CF91" s="249"/>
      <c r="CI91" s="249"/>
      <c r="CL91" s="249"/>
      <c r="CO91" s="249"/>
      <c r="CR91" s="249"/>
      <c r="CU91" s="249"/>
      <c r="CX91" s="249"/>
      <c r="DA91" s="249"/>
      <c r="DD91" s="249"/>
      <c r="DG91" s="249"/>
      <c r="DJ91" s="249"/>
      <c r="DM91" s="249"/>
      <c r="DP91" s="249"/>
      <c r="DS91" s="249"/>
      <c r="DV91" s="249"/>
      <c r="DY91" s="249"/>
      <c r="EB91" s="249"/>
      <c r="EE91" s="249"/>
      <c r="EH91" s="249"/>
      <c r="EK91" s="249"/>
      <c r="EN91" s="249"/>
      <c r="EQ91" s="249"/>
      <c r="ET91" s="249"/>
      <c r="EW91" s="249"/>
      <c r="EZ91" s="249"/>
      <c r="FC91" s="249"/>
      <c r="FF91" s="249"/>
      <c r="FI91" s="249"/>
      <c r="FL91" s="249"/>
      <c r="FO91" s="249"/>
      <c r="FR91" s="249"/>
      <c r="FU91" s="249"/>
      <c r="FX91" s="249"/>
      <c r="GA91" s="249"/>
      <c r="GD91" s="249"/>
      <c r="GG91" s="249"/>
      <c r="GJ91" s="249"/>
      <c r="GM91" s="249"/>
      <c r="GP91" s="249"/>
      <c r="GS91" s="249"/>
      <c r="GV91" s="249"/>
      <c r="GY91" s="249"/>
      <c r="HB91" s="249"/>
      <c r="HE91" s="249"/>
    </row>
    <row r="92" spans="1:213" x14ac:dyDescent="0.2">
      <c r="A92" s="267" t="s">
        <v>89</v>
      </c>
      <c r="B92" s="284">
        <v>2.6999999999999999E-5</v>
      </c>
      <c r="C92" s="249" t="s">
        <v>82</v>
      </c>
      <c r="AM92" s="249"/>
      <c r="AP92" s="249"/>
      <c r="AS92" s="249"/>
      <c r="AV92" s="249"/>
      <c r="AY92" s="249"/>
      <c r="BB92" s="249"/>
      <c r="BE92" s="249"/>
      <c r="BH92" s="249"/>
      <c r="BK92" s="249"/>
      <c r="BN92" s="249"/>
      <c r="BQ92" s="249"/>
      <c r="BT92" s="249"/>
      <c r="BW92" s="249"/>
      <c r="BZ92" s="249"/>
      <c r="CC92" s="249"/>
      <c r="CF92" s="249"/>
      <c r="CI92" s="249"/>
      <c r="CL92" s="249"/>
      <c r="CO92" s="249"/>
      <c r="CR92" s="249"/>
      <c r="CU92" s="249"/>
      <c r="CX92" s="249"/>
      <c r="DA92" s="249"/>
      <c r="DD92" s="249"/>
      <c r="DG92" s="249"/>
      <c r="DJ92" s="249"/>
      <c r="DM92" s="249"/>
      <c r="DP92" s="249"/>
      <c r="DS92" s="249"/>
      <c r="DV92" s="249"/>
      <c r="DY92" s="249"/>
      <c r="EB92" s="249"/>
      <c r="EE92" s="249"/>
      <c r="EH92" s="249"/>
      <c r="EK92" s="249"/>
      <c r="EN92" s="249"/>
      <c r="EQ92" s="249"/>
      <c r="ET92" s="249"/>
      <c r="EW92" s="249"/>
      <c r="EZ92" s="249"/>
      <c r="FC92" s="249"/>
      <c r="FF92" s="249"/>
      <c r="FI92" s="249"/>
      <c r="FL92" s="249"/>
      <c r="FO92" s="249"/>
      <c r="FR92" s="249"/>
      <c r="FU92" s="249"/>
      <c r="FX92" s="249"/>
      <c r="GA92" s="249"/>
      <c r="GD92" s="249"/>
      <c r="GG92" s="249"/>
      <c r="GJ92" s="249"/>
      <c r="GM92" s="249"/>
      <c r="GP92" s="249"/>
      <c r="GS92" s="249"/>
      <c r="GV92" s="249"/>
      <c r="GY92" s="249"/>
      <c r="HB92" s="249"/>
      <c r="HE92" s="249"/>
    </row>
    <row r="93" spans="1:213" x14ac:dyDescent="0.2">
      <c r="A93" s="267" t="s">
        <v>91</v>
      </c>
      <c r="B93" s="284">
        <v>1</v>
      </c>
      <c r="C93" s="249" t="s">
        <v>47</v>
      </c>
      <c r="AM93" s="249"/>
      <c r="AP93" s="249"/>
      <c r="AS93" s="249"/>
      <c r="AV93" s="249"/>
      <c r="AY93" s="249"/>
      <c r="BB93" s="249"/>
      <c r="BE93" s="249"/>
      <c r="BH93" s="249"/>
      <c r="BK93" s="249"/>
      <c r="BN93" s="249"/>
      <c r="BQ93" s="249"/>
      <c r="BT93" s="249"/>
      <c r="BW93" s="249"/>
      <c r="BZ93" s="249"/>
      <c r="CC93" s="249"/>
      <c r="CF93" s="249"/>
      <c r="CI93" s="249"/>
      <c r="CL93" s="249"/>
      <c r="CO93" s="249"/>
      <c r="CR93" s="249"/>
      <c r="CU93" s="249"/>
      <c r="CX93" s="249"/>
      <c r="DA93" s="249"/>
      <c r="DD93" s="249"/>
      <c r="DG93" s="249"/>
      <c r="DJ93" s="249"/>
      <c r="DM93" s="249"/>
      <c r="DP93" s="249"/>
      <c r="DS93" s="249"/>
      <c r="DV93" s="249"/>
      <c r="DY93" s="249"/>
      <c r="EB93" s="249"/>
      <c r="EE93" s="249"/>
      <c r="EH93" s="249"/>
      <c r="EK93" s="249"/>
      <c r="EN93" s="249"/>
      <c r="EQ93" s="249"/>
      <c r="ET93" s="249"/>
      <c r="EW93" s="249"/>
      <c r="EZ93" s="249"/>
      <c r="FC93" s="249"/>
      <c r="FF93" s="249"/>
      <c r="FI93" s="249"/>
      <c r="FL93" s="249"/>
      <c r="FO93" s="249"/>
      <c r="FR93" s="249"/>
      <c r="FU93" s="249"/>
      <c r="FX93" s="249"/>
      <c r="GA93" s="249"/>
      <c r="GD93" s="249"/>
      <c r="GG93" s="249"/>
      <c r="GJ93" s="249"/>
      <c r="GM93" s="249"/>
      <c r="GP93" s="249"/>
      <c r="GS93" s="249"/>
      <c r="GV93" s="249"/>
      <c r="GY93" s="249"/>
      <c r="HB93" s="249"/>
      <c r="HE93" s="249"/>
    </row>
    <row r="94" spans="1:213" x14ac:dyDescent="0.2">
      <c r="A94" s="267" t="s">
        <v>92</v>
      </c>
      <c r="B94" s="284">
        <v>14</v>
      </c>
      <c r="C94" s="249" t="s">
        <v>93</v>
      </c>
      <c r="AM94" s="249"/>
      <c r="AP94" s="249"/>
      <c r="AS94" s="249"/>
      <c r="AV94" s="249"/>
      <c r="AY94" s="249"/>
      <c r="BB94" s="249"/>
      <c r="BE94" s="249"/>
      <c r="BH94" s="249"/>
      <c r="BK94" s="249"/>
      <c r="BN94" s="249"/>
      <c r="BQ94" s="249"/>
      <c r="BT94" s="249"/>
      <c r="BW94" s="249"/>
      <c r="BZ94" s="249"/>
      <c r="CC94" s="249"/>
      <c r="CF94" s="249"/>
      <c r="CI94" s="249"/>
      <c r="CL94" s="249"/>
      <c r="CO94" s="249"/>
      <c r="CR94" s="249"/>
      <c r="CU94" s="249"/>
      <c r="CX94" s="249"/>
      <c r="DA94" s="249"/>
      <c r="DD94" s="249"/>
      <c r="DG94" s="249"/>
      <c r="DJ94" s="249"/>
      <c r="DM94" s="249"/>
      <c r="DP94" s="249"/>
      <c r="DS94" s="249"/>
      <c r="DV94" s="249"/>
      <c r="DY94" s="249"/>
      <c r="EB94" s="249"/>
      <c r="EE94" s="249"/>
      <c r="EH94" s="249"/>
      <c r="EK94" s="249"/>
      <c r="EN94" s="249"/>
      <c r="EQ94" s="249"/>
      <c r="ET94" s="249"/>
      <c r="EW94" s="249"/>
      <c r="EZ94" s="249"/>
      <c r="FC94" s="249"/>
      <c r="FF94" s="249"/>
      <c r="FI94" s="249"/>
      <c r="FL94" s="249"/>
      <c r="FO94" s="249"/>
      <c r="FR94" s="249"/>
      <c r="FU94" s="249"/>
      <c r="FX94" s="249"/>
      <c r="GA94" s="249"/>
      <c r="GD94" s="249"/>
      <c r="GG94" s="249"/>
      <c r="GJ94" s="249"/>
      <c r="GM94" s="249"/>
      <c r="GP94" s="249"/>
      <c r="GS94" s="249"/>
      <c r="GV94" s="249"/>
      <c r="GY94" s="249"/>
      <c r="HB94" s="249"/>
      <c r="HE94" s="249"/>
    </row>
    <row r="95" spans="1:213" x14ac:dyDescent="0.2">
      <c r="A95" s="262" t="s">
        <v>356</v>
      </c>
      <c r="B95" s="283">
        <v>1</v>
      </c>
      <c r="C95" s="249"/>
      <c r="AM95" s="249"/>
      <c r="AP95" s="249"/>
      <c r="AS95" s="249"/>
      <c r="AV95" s="249"/>
      <c r="AY95" s="249"/>
      <c r="BB95" s="249"/>
      <c r="BE95" s="249"/>
      <c r="BH95" s="249"/>
      <c r="BK95" s="249"/>
      <c r="BN95" s="249"/>
      <c r="BQ95" s="249"/>
      <c r="BT95" s="249"/>
      <c r="BW95" s="249"/>
      <c r="BZ95" s="249"/>
      <c r="CC95" s="249"/>
      <c r="CF95" s="249"/>
      <c r="CI95" s="249"/>
      <c r="CL95" s="249"/>
      <c r="CO95" s="249"/>
      <c r="CR95" s="249"/>
      <c r="CU95" s="249"/>
      <c r="CX95" s="249"/>
      <c r="DA95" s="249"/>
      <c r="DD95" s="249"/>
      <c r="DG95" s="249"/>
      <c r="DJ95" s="249"/>
      <c r="DM95" s="249"/>
      <c r="DP95" s="249"/>
      <c r="DS95" s="249"/>
      <c r="DV95" s="249"/>
      <c r="DY95" s="249"/>
      <c r="EB95" s="249"/>
      <c r="EE95" s="249"/>
      <c r="EH95" s="249"/>
      <c r="EK95" s="249"/>
      <c r="EN95" s="249"/>
      <c r="EQ95" s="249"/>
      <c r="ET95" s="249"/>
      <c r="EW95" s="249"/>
      <c r="EZ95" s="249"/>
      <c r="FC95" s="249"/>
      <c r="FF95" s="249"/>
      <c r="FI95" s="249"/>
      <c r="FL95" s="249"/>
      <c r="FO95" s="249"/>
      <c r="FR95" s="249"/>
      <c r="FU95" s="249"/>
      <c r="FX95" s="249"/>
      <c r="GA95" s="249"/>
      <c r="GD95" s="249"/>
      <c r="GG95" s="249"/>
      <c r="GJ95" s="249"/>
      <c r="GM95" s="249"/>
      <c r="GP95" s="249"/>
      <c r="GS95" s="249"/>
      <c r="GV95" s="249"/>
      <c r="GY95" s="249"/>
      <c r="HB95" s="249"/>
      <c r="HE95" s="249"/>
    </row>
    <row r="96" spans="1:213" x14ac:dyDescent="0.2">
      <c r="A96" s="262" t="s">
        <v>351</v>
      </c>
      <c r="B96" s="283">
        <v>1.752</v>
      </c>
      <c r="C96" s="264" t="s">
        <v>224</v>
      </c>
      <c r="AM96" s="249"/>
      <c r="AP96" s="249"/>
      <c r="AS96" s="249"/>
      <c r="AV96" s="249"/>
      <c r="AY96" s="249"/>
      <c r="BB96" s="249"/>
      <c r="BE96" s="249"/>
      <c r="BH96" s="249"/>
      <c r="BK96" s="249"/>
      <c r="BN96" s="249"/>
      <c r="BQ96" s="249"/>
      <c r="BT96" s="249"/>
      <c r="BW96" s="249"/>
      <c r="BZ96" s="249"/>
      <c r="CC96" s="249"/>
      <c r="CF96" s="249"/>
      <c r="CI96" s="249"/>
      <c r="CL96" s="249"/>
      <c r="CO96" s="249"/>
      <c r="CR96" s="249"/>
      <c r="CU96" s="249"/>
      <c r="CX96" s="249"/>
      <c r="DA96" s="249"/>
      <c r="DD96" s="249"/>
      <c r="DG96" s="249"/>
      <c r="DJ96" s="249"/>
      <c r="DM96" s="249"/>
      <c r="DP96" s="249"/>
      <c r="DS96" s="249"/>
      <c r="DV96" s="249"/>
      <c r="DY96" s="249"/>
      <c r="EB96" s="249"/>
      <c r="EE96" s="249"/>
      <c r="EH96" s="249"/>
      <c r="EK96" s="249"/>
      <c r="EN96" s="249"/>
      <c r="EQ96" s="249"/>
      <c r="ET96" s="249"/>
      <c r="EW96" s="249"/>
      <c r="EZ96" s="249"/>
      <c r="FC96" s="249"/>
      <c r="FF96" s="249"/>
      <c r="FI96" s="249"/>
      <c r="FL96" s="249"/>
      <c r="FO96" s="249"/>
      <c r="FR96" s="249"/>
      <c r="FU96" s="249"/>
      <c r="FX96" s="249"/>
      <c r="GA96" s="249"/>
      <c r="GD96" s="249"/>
      <c r="GG96" s="249"/>
      <c r="GJ96" s="249"/>
      <c r="GM96" s="249"/>
      <c r="GP96" s="249"/>
      <c r="GS96" s="249"/>
      <c r="GV96" s="249"/>
      <c r="GY96" s="249"/>
      <c r="HB96" s="249"/>
      <c r="HE96" s="249"/>
    </row>
    <row r="97" spans="1:213" x14ac:dyDescent="0.2">
      <c r="A97" s="262" t="s">
        <v>352</v>
      </c>
      <c r="B97" s="283">
        <v>16.416</v>
      </c>
      <c r="C97" s="264" t="s">
        <v>224</v>
      </c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W97" s="249"/>
      <c r="Z97" s="249"/>
      <c r="AC97" s="249"/>
      <c r="AD97" s="249"/>
      <c r="AE97" s="249"/>
      <c r="AF97" s="249"/>
      <c r="AG97" s="249"/>
      <c r="AJ97" s="249"/>
      <c r="AM97" s="249"/>
      <c r="AP97" s="249"/>
      <c r="AS97" s="249"/>
      <c r="AV97" s="249"/>
      <c r="AY97" s="249"/>
      <c r="BB97" s="249"/>
      <c r="BE97" s="249"/>
      <c r="BH97" s="249"/>
      <c r="BK97" s="249"/>
      <c r="BN97" s="249"/>
      <c r="BQ97" s="249"/>
      <c r="BT97" s="249"/>
      <c r="BW97" s="249"/>
      <c r="BZ97" s="249"/>
      <c r="CC97" s="249"/>
      <c r="CF97" s="249"/>
      <c r="CI97" s="249"/>
      <c r="CL97" s="249"/>
      <c r="CO97" s="249"/>
      <c r="CR97" s="249"/>
      <c r="CU97" s="249"/>
      <c r="CX97" s="249"/>
      <c r="DA97" s="249"/>
      <c r="DD97" s="249"/>
      <c r="DG97" s="249"/>
      <c r="DJ97" s="249"/>
      <c r="DM97" s="249"/>
      <c r="DP97" s="249"/>
      <c r="DS97" s="249"/>
      <c r="DV97" s="249"/>
      <c r="DY97" s="249"/>
      <c r="EB97" s="249"/>
      <c r="EE97" s="249"/>
      <c r="EH97" s="249"/>
      <c r="EK97" s="249"/>
      <c r="EN97" s="249"/>
      <c r="EQ97" s="249"/>
      <c r="ET97" s="249"/>
      <c r="EW97" s="249"/>
      <c r="EZ97" s="249"/>
      <c r="FC97" s="249"/>
      <c r="FF97" s="249"/>
      <c r="FI97" s="249"/>
      <c r="FL97" s="249"/>
      <c r="FO97" s="249"/>
      <c r="FR97" s="249"/>
      <c r="FU97" s="249"/>
      <c r="FX97" s="249"/>
      <c r="GA97" s="249"/>
      <c r="GD97" s="249"/>
      <c r="GG97" s="249"/>
      <c r="GJ97" s="249"/>
      <c r="GM97" s="249"/>
      <c r="GP97" s="249"/>
      <c r="GS97" s="249"/>
      <c r="GV97" s="249"/>
      <c r="GY97" s="249"/>
      <c r="HB97" s="249"/>
      <c r="HE97" s="249"/>
    </row>
    <row r="98" spans="1:213" ht="15" x14ac:dyDescent="0.2">
      <c r="A98" s="517" t="s">
        <v>5</v>
      </c>
      <c r="B98" s="517"/>
      <c r="C98" s="517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W98" s="249"/>
      <c r="Z98" s="249"/>
      <c r="AC98" s="249"/>
      <c r="AD98" s="249"/>
      <c r="AE98" s="249"/>
      <c r="AF98" s="249"/>
      <c r="AG98" s="249"/>
      <c r="AJ98" s="249"/>
      <c r="AM98" s="249"/>
      <c r="AP98" s="249"/>
      <c r="AS98" s="249"/>
      <c r="AV98" s="249"/>
      <c r="AY98" s="249"/>
      <c r="BB98" s="249"/>
      <c r="BE98" s="249"/>
      <c r="BH98" s="249"/>
      <c r="BK98" s="249"/>
      <c r="BN98" s="249"/>
      <c r="BQ98" s="249"/>
      <c r="BT98" s="249"/>
      <c r="BW98" s="249"/>
      <c r="BZ98" s="249"/>
      <c r="CC98" s="249"/>
      <c r="CF98" s="249"/>
      <c r="CI98" s="249"/>
      <c r="CL98" s="249"/>
      <c r="CO98" s="249"/>
      <c r="CR98" s="249"/>
      <c r="CU98" s="249"/>
      <c r="CX98" s="249"/>
      <c r="DA98" s="249"/>
      <c r="DD98" s="249"/>
      <c r="DG98" s="249"/>
      <c r="DJ98" s="249"/>
      <c r="DM98" s="249"/>
      <c r="DP98" s="249"/>
      <c r="DS98" s="249"/>
      <c r="DV98" s="249"/>
      <c r="DY98" s="249"/>
      <c r="EB98" s="249"/>
      <c r="EE98" s="249"/>
      <c r="EH98" s="249"/>
      <c r="EK98" s="249"/>
      <c r="EN98" s="249"/>
      <c r="EQ98" s="249"/>
      <c r="ET98" s="249"/>
      <c r="EW98" s="249"/>
      <c r="EZ98" s="249"/>
      <c r="FC98" s="249"/>
      <c r="FF98" s="249"/>
      <c r="FI98" s="249"/>
      <c r="FL98" s="249"/>
      <c r="FO98" s="249"/>
      <c r="FR98" s="249"/>
      <c r="FU98" s="249"/>
      <c r="FX98" s="249"/>
      <c r="GA98" s="249"/>
      <c r="GD98" s="249"/>
      <c r="GG98" s="249"/>
      <c r="GJ98" s="249"/>
      <c r="GM98" s="249"/>
      <c r="GP98" s="249"/>
      <c r="GS98" s="249"/>
      <c r="GV98" s="249"/>
      <c r="GY98" s="249"/>
      <c r="HB98" s="249"/>
      <c r="HE98" s="249"/>
    </row>
    <row r="99" spans="1:213" x14ac:dyDescent="0.2">
      <c r="A99" s="262" t="s">
        <v>358</v>
      </c>
      <c r="B99" s="284">
        <v>10</v>
      </c>
      <c r="C99" s="267" t="s">
        <v>359</v>
      </c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W99" s="249"/>
      <c r="Z99" s="249"/>
      <c r="AC99" s="249"/>
      <c r="AD99" s="249"/>
      <c r="AE99" s="249"/>
      <c r="AF99" s="249"/>
      <c r="AG99" s="249"/>
      <c r="AJ99" s="249"/>
      <c r="AM99" s="249"/>
      <c r="AP99" s="249"/>
      <c r="AS99" s="249"/>
      <c r="AV99" s="249"/>
      <c r="AY99" s="249"/>
      <c r="BB99" s="249"/>
      <c r="BE99" s="249"/>
      <c r="BH99" s="249"/>
      <c r="BK99" s="249"/>
      <c r="BN99" s="249"/>
      <c r="BQ99" s="249"/>
      <c r="BT99" s="249"/>
      <c r="BW99" s="249"/>
      <c r="BZ99" s="249"/>
      <c r="CC99" s="249"/>
      <c r="CF99" s="249"/>
      <c r="CI99" s="249"/>
      <c r="CL99" s="249"/>
      <c r="CO99" s="249"/>
      <c r="CR99" s="249"/>
      <c r="CU99" s="249"/>
      <c r="CX99" s="249"/>
      <c r="DA99" s="249"/>
      <c r="DD99" s="249"/>
      <c r="DG99" s="249"/>
      <c r="DJ99" s="249"/>
      <c r="DM99" s="249"/>
      <c r="DP99" s="249"/>
      <c r="DS99" s="249"/>
      <c r="DV99" s="249"/>
      <c r="DY99" s="249"/>
      <c r="EB99" s="249"/>
      <c r="EE99" s="249"/>
      <c r="EH99" s="249"/>
      <c r="EK99" s="249"/>
      <c r="EN99" s="249"/>
      <c r="EQ99" s="249"/>
      <c r="ET99" s="249"/>
      <c r="EW99" s="249"/>
      <c r="EZ99" s="249"/>
      <c r="FC99" s="249"/>
      <c r="FF99" s="249"/>
      <c r="FI99" s="249"/>
      <c r="FL99" s="249"/>
      <c r="FO99" s="249"/>
      <c r="FR99" s="249"/>
      <c r="FU99" s="249"/>
      <c r="FX99" s="249"/>
      <c r="GA99" s="249"/>
      <c r="GD99" s="249"/>
      <c r="GG99" s="249"/>
      <c r="GJ99" s="249"/>
      <c r="GM99" s="249"/>
      <c r="GP99" s="249"/>
      <c r="GS99" s="249"/>
      <c r="GV99" s="249"/>
      <c r="GY99" s="249"/>
      <c r="HB99" s="249"/>
      <c r="HE99" s="249"/>
    </row>
    <row r="100" spans="1:213" x14ac:dyDescent="0.2">
      <c r="A100" s="262" t="s">
        <v>360</v>
      </c>
      <c r="B100" s="284">
        <v>20</v>
      </c>
      <c r="C100" s="267" t="s">
        <v>359</v>
      </c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W100" s="249"/>
      <c r="Z100" s="249"/>
      <c r="AC100" s="249"/>
      <c r="AD100" s="249"/>
      <c r="AE100" s="249"/>
      <c r="AF100" s="249"/>
      <c r="AG100" s="249"/>
      <c r="AJ100" s="249"/>
      <c r="AM100" s="249"/>
      <c r="AP100" s="249"/>
      <c r="AS100" s="249"/>
      <c r="AV100" s="249"/>
      <c r="AY100" s="249"/>
      <c r="BB100" s="249"/>
      <c r="BE100" s="249"/>
      <c r="BH100" s="249"/>
      <c r="BK100" s="249"/>
      <c r="BN100" s="249"/>
      <c r="BQ100" s="249"/>
      <c r="BT100" s="249"/>
      <c r="BW100" s="249"/>
      <c r="BZ100" s="249"/>
      <c r="CC100" s="249"/>
      <c r="CF100" s="249"/>
      <c r="CI100" s="249"/>
      <c r="CL100" s="249"/>
      <c r="CO100" s="249"/>
      <c r="CR100" s="249"/>
      <c r="CU100" s="249"/>
      <c r="CX100" s="249"/>
      <c r="DA100" s="249"/>
      <c r="DD100" s="249"/>
      <c r="DG100" s="249"/>
      <c r="DJ100" s="249"/>
      <c r="DM100" s="249"/>
      <c r="DP100" s="249"/>
      <c r="DS100" s="249"/>
      <c r="DV100" s="249"/>
      <c r="DY100" s="249"/>
      <c r="EB100" s="249"/>
      <c r="EE100" s="249"/>
      <c r="EH100" s="249"/>
      <c r="EK100" s="249"/>
      <c r="EN100" s="249"/>
      <c r="EQ100" s="249"/>
      <c r="ET100" s="249"/>
      <c r="EW100" s="249"/>
      <c r="EZ100" s="249"/>
      <c r="FC100" s="249"/>
      <c r="FF100" s="249"/>
      <c r="FI100" s="249"/>
      <c r="FL100" s="249"/>
      <c r="FO100" s="249"/>
      <c r="FR100" s="249"/>
      <c r="FU100" s="249"/>
      <c r="FX100" s="249"/>
      <c r="GA100" s="249"/>
      <c r="GD100" s="249"/>
      <c r="GG100" s="249"/>
      <c r="GJ100" s="249"/>
      <c r="GM100" s="249"/>
      <c r="GP100" s="249"/>
      <c r="GS100" s="249"/>
      <c r="GV100" s="249"/>
      <c r="GY100" s="249"/>
      <c r="HB100" s="249"/>
      <c r="HE100" s="249"/>
    </row>
    <row r="101" spans="1:213" x14ac:dyDescent="0.2">
      <c r="A101" s="262" t="s">
        <v>305</v>
      </c>
      <c r="B101" s="283">
        <v>0.05</v>
      </c>
      <c r="C101" s="262" t="s">
        <v>361</v>
      </c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W101" s="249"/>
      <c r="Z101" s="249"/>
      <c r="AC101" s="249"/>
      <c r="AD101" s="249"/>
      <c r="AE101" s="249"/>
      <c r="AF101" s="249"/>
      <c r="AG101" s="249"/>
      <c r="AJ101" s="249"/>
      <c r="AM101" s="249"/>
      <c r="AP101" s="249"/>
      <c r="AS101" s="249"/>
      <c r="AV101" s="249"/>
      <c r="AY101" s="249"/>
      <c r="BB101" s="249"/>
      <c r="BE101" s="249"/>
      <c r="BH101" s="249"/>
      <c r="BK101" s="249"/>
      <c r="BN101" s="249"/>
      <c r="BQ101" s="249"/>
      <c r="BT101" s="249"/>
      <c r="BW101" s="249"/>
      <c r="BZ101" s="249"/>
      <c r="CC101" s="249"/>
      <c r="CF101" s="249"/>
      <c r="CI101" s="249"/>
      <c r="CL101" s="249"/>
      <c r="CO101" s="249"/>
      <c r="CR101" s="249"/>
      <c r="CU101" s="249"/>
      <c r="CX101" s="249"/>
      <c r="DA101" s="249"/>
      <c r="DD101" s="249"/>
      <c r="DG101" s="249"/>
      <c r="DJ101" s="249"/>
      <c r="DM101" s="249"/>
      <c r="DP101" s="249"/>
      <c r="DS101" s="249"/>
      <c r="DV101" s="249"/>
      <c r="DY101" s="249"/>
      <c r="EB101" s="249"/>
      <c r="EE101" s="249"/>
      <c r="EH101" s="249"/>
      <c r="EK101" s="249"/>
      <c r="EN101" s="249"/>
      <c r="EQ101" s="249"/>
      <c r="ET101" s="249"/>
      <c r="EW101" s="249"/>
      <c r="EZ101" s="249"/>
      <c r="FC101" s="249"/>
      <c r="FF101" s="249"/>
      <c r="FI101" s="249"/>
      <c r="FL101" s="249"/>
      <c r="FO101" s="249"/>
      <c r="FR101" s="249"/>
      <c r="FU101" s="249"/>
      <c r="FX101" s="249"/>
      <c r="GA101" s="249"/>
      <c r="GD101" s="249"/>
      <c r="GG101" s="249"/>
      <c r="GJ101" s="249"/>
      <c r="GM101" s="249"/>
      <c r="GP101" s="249"/>
      <c r="GS101" s="249"/>
      <c r="GV101" s="249"/>
      <c r="GY101" s="249"/>
      <c r="HB101" s="249"/>
      <c r="HE101" s="249"/>
    </row>
    <row r="102" spans="1:213" x14ac:dyDescent="0.2">
      <c r="A102" s="262" t="s">
        <v>306</v>
      </c>
      <c r="B102" s="283">
        <v>0.05</v>
      </c>
      <c r="C102" s="262" t="s">
        <v>361</v>
      </c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W102" s="249"/>
      <c r="Z102" s="249"/>
      <c r="AC102" s="249"/>
      <c r="AD102" s="249"/>
      <c r="AE102" s="249"/>
      <c r="AF102" s="249"/>
      <c r="AG102" s="249"/>
      <c r="AJ102" s="249"/>
      <c r="AM102" s="249"/>
      <c r="AP102" s="249"/>
      <c r="AS102" s="249"/>
      <c r="AV102" s="249"/>
      <c r="AY102" s="249"/>
      <c r="BB102" s="249"/>
      <c r="BE102" s="249"/>
      <c r="BH102" s="249"/>
      <c r="BK102" s="249"/>
      <c r="BN102" s="249"/>
      <c r="BQ102" s="249"/>
      <c r="BT102" s="249"/>
      <c r="BW102" s="249"/>
      <c r="BZ102" s="249"/>
      <c r="CC102" s="249"/>
      <c r="CF102" s="249"/>
      <c r="CI102" s="249"/>
      <c r="CL102" s="249"/>
      <c r="CO102" s="249"/>
      <c r="CR102" s="249"/>
      <c r="CU102" s="249"/>
      <c r="CX102" s="249"/>
      <c r="DA102" s="249"/>
      <c r="DD102" s="249"/>
      <c r="DG102" s="249"/>
      <c r="DJ102" s="249"/>
      <c r="DM102" s="249"/>
      <c r="DP102" s="249"/>
      <c r="DS102" s="249"/>
      <c r="DV102" s="249"/>
      <c r="DY102" s="249"/>
      <c r="EB102" s="249"/>
      <c r="EE102" s="249"/>
      <c r="EH102" s="249"/>
      <c r="EK102" s="249"/>
      <c r="EN102" s="249"/>
      <c r="EQ102" s="249"/>
      <c r="ET102" s="249"/>
      <c r="EW102" s="249"/>
      <c r="EZ102" s="249"/>
      <c r="FC102" s="249"/>
      <c r="FF102" s="249"/>
      <c r="FI102" s="249"/>
      <c r="FL102" s="249"/>
      <c r="FO102" s="249"/>
      <c r="FR102" s="249"/>
      <c r="FU102" s="249"/>
      <c r="FX102" s="249"/>
      <c r="GA102" s="249"/>
      <c r="GD102" s="249"/>
      <c r="GG102" s="249"/>
      <c r="GJ102" s="249"/>
      <c r="GM102" s="249"/>
      <c r="GP102" s="249"/>
      <c r="GS102" s="249"/>
      <c r="GV102" s="249"/>
      <c r="GY102" s="249"/>
      <c r="HB102" s="249"/>
      <c r="HE102" s="249"/>
    </row>
    <row r="103" spans="1:213" x14ac:dyDescent="0.2">
      <c r="A103" s="262" t="s">
        <v>362</v>
      </c>
      <c r="B103" s="284">
        <v>200</v>
      </c>
      <c r="C103" s="263" t="s">
        <v>54</v>
      </c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W103" s="249"/>
      <c r="Z103" s="249"/>
      <c r="AC103" s="249"/>
      <c r="AD103" s="249"/>
      <c r="AE103" s="249"/>
      <c r="AF103" s="249"/>
      <c r="AG103" s="249"/>
      <c r="AJ103" s="249"/>
      <c r="AM103" s="249"/>
      <c r="AP103" s="249"/>
      <c r="AS103" s="249"/>
      <c r="AV103" s="249"/>
      <c r="AY103" s="249"/>
      <c r="BB103" s="249"/>
      <c r="BE103" s="249"/>
      <c r="BH103" s="249"/>
      <c r="BK103" s="249"/>
      <c r="BN103" s="249"/>
      <c r="BQ103" s="249"/>
      <c r="BT103" s="249"/>
      <c r="BW103" s="249"/>
      <c r="BZ103" s="249"/>
      <c r="CC103" s="249"/>
      <c r="CF103" s="249"/>
      <c r="CI103" s="249"/>
      <c r="CL103" s="249"/>
      <c r="CO103" s="249"/>
      <c r="CR103" s="249"/>
      <c r="CU103" s="249"/>
      <c r="CX103" s="249"/>
      <c r="DA103" s="249"/>
      <c r="DD103" s="249"/>
      <c r="DG103" s="249"/>
      <c r="DJ103" s="249"/>
      <c r="DM103" s="249"/>
      <c r="DP103" s="249"/>
      <c r="DS103" s="249"/>
      <c r="DV103" s="249"/>
      <c r="DY103" s="249"/>
      <c r="EB103" s="249"/>
      <c r="EE103" s="249"/>
      <c r="EH103" s="249"/>
      <c r="EK103" s="249"/>
      <c r="EN103" s="249"/>
      <c r="EQ103" s="249"/>
      <c r="ET103" s="249"/>
      <c r="EW103" s="249"/>
      <c r="EZ103" s="249"/>
      <c r="FC103" s="249"/>
      <c r="FF103" s="249"/>
      <c r="FI103" s="249"/>
      <c r="FL103" s="249"/>
      <c r="FO103" s="249"/>
      <c r="FR103" s="249"/>
      <c r="FU103" s="249"/>
      <c r="FX103" s="249"/>
      <c r="GA103" s="249"/>
      <c r="GD103" s="249"/>
      <c r="GG103" s="249"/>
      <c r="GJ103" s="249"/>
      <c r="GM103" s="249"/>
      <c r="GP103" s="249"/>
      <c r="GS103" s="249"/>
      <c r="GV103" s="249"/>
      <c r="GY103" s="249"/>
      <c r="HB103" s="249"/>
      <c r="HE103" s="249"/>
    </row>
    <row r="104" spans="1:213" x14ac:dyDescent="0.2">
      <c r="A104" s="262" t="s">
        <v>363</v>
      </c>
      <c r="B104" s="284">
        <v>100</v>
      </c>
      <c r="C104" s="263" t="s">
        <v>54</v>
      </c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W104" s="249"/>
      <c r="Z104" s="249"/>
      <c r="AC104" s="249"/>
      <c r="AD104" s="249"/>
      <c r="AE104" s="249"/>
      <c r="AF104" s="249"/>
      <c r="AG104" s="249"/>
      <c r="AJ104" s="249"/>
      <c r="AM104" s="249"/>
      <c r="AP104" s="249"/>
      <c r="AS104" s="249"/>
      <c r="AV104" s="249"/>
      <c r="AY104" s="249"/>
      <c r="BB104" s="249"/>
      <c r="BE104" s="249"/>
      <c r="BH104" s="249"/>
      <c r="BK104" s="249"/>
      <c r="BN104" s="249"/>
      <c r="BQ104" s="249"/>
      <c r="BT104" s="249"/>
      <c r="BW104" s="249"/>
      <c r="BZ104" s="249"/>
      <c r="CC104" s="249"/>
      <c r="CF104" s="249"/>
      <c r="CI104" s="249"/>
      <c r="CL104" s="249"/>
      <c r="CO104" s="249"/>
      <c r="CR104" s="249"/>
      <c r="CU104" s="249"/>
      <c r="CX104" s="249"/>
      <c r="DA104" s="249"/>
      <c r="DD104" s="249"/>
      <c r="DG104" s="249"/>
      <c r="DJ104" s="249"/>
      <c r="DM104" s="249"/>
      <c r="DP104" s="249"/>
      <c r="DS104" s="249"/>
      <c r="DV104" s="249"/>
      <c r="DY104" s="249"/>
      <c r="EB104" s="249"/>
      <c r="EE104" s="249"/>
      <c r="EH104" s="249"/>
      <c r="EK104" s="249"/>
      <c r="EN104" s="249"/>
      <c r="EQ104" s="249"/>
      <c r="ET104" s="249"/>
      <c r="EW104" s="249"/>
      <c r="EZ104" s="249"/>
      <c r="FC104" s="249"/>
      <c r="FF104" s="249"/>
      <c r="FI104" s="249"/>
      <c r="FL104" s="249"/>
      <c r="FO104" s="249"/>
      <c r="FR104" s="249"/>
      <c r="FU104" s="249"/>
      <c r="FX104" s="249"/>
      <c r="GA104" s="249"/>
      <c r="GD104" s="249"/>
      <c r="GG104" s="249"/>
      <c r="GJ104" s="249"/>
      <c r="GM104" s="249"/>
      <c r="GP104" s="249"/>
      <c r="GS104" s="249"/>
      <c r="GV104" s="249"/>
      <c r="GY104" s="249"/>
      <c r="HB104" s="249"/>
      <c r="HE104" s="249"/>
    </row>
    <row r="105" spans="1:213" x14ac:dyDescent="0.2">
      <c r="A105" s="249" t="s">
        <v>187</v>
      </c>
      <c r="B105" s="284">
        <v>1</v>
      </c>
      <c r="C105" s="249" t="s">
        <v>254</v>
      </c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W105" s="249"/>
      <c r="Z105" s="249"/>
      <c r="AC105" s="249"/>
      <c r="AD105" s="249"/>
      <c r="AE105" s="249"/>
      <c r="AF105" s="249"/>
      <c r="AG105" s="249"/>
      <c r="AJ105" s="249"/>
      <c r="AM105" s="249"/>
      <c r="AP105" s="249"/>
      <c r="AS105" s="249"/>
      <c r="AV105" s="249"/>
      <c r="AY105" s="249"/>
      <c r="BB105" s="249"/>
      <c r="BE105" s="249"/>
      <c r="BH105" s="249"/>
      <c r="BK105" s="249"/>
      <c r="BN105" s="249"/>
      <c r="BQ105" s="249"/>
      <c r="BT105" s="249"/>
      <c r="BW105" s="249"/>
      <c r="BZ105" s="249"/>
      <c r="CC105" s="249"/>
      <c r="CF105" s="249"/>
      <c r="CI105" s="249"/>
      <c r="CL105" s="249"/>
      <c r="CO105" s="249"/>
      <c r="CR105" s="249"/>
      <c r="CU105" s="249"/>
      <c r="CX105" s="249"/>
      <c r="DA105" s="249"/>
      <c r="DD105" s="249"/>
      <c r="DG105" s="249"/>
      <c r="DJ105" s="249"/>
      <c r="DM105" s="249"/>
      <c r="DP105" s="249"/>
      <c r="DS105" s="249"/>
      <c r="DV105" s="249"/>
      <c r="DY105" s="249"/>
      <c r="EB105" s="249"/>
      <c r="EE105" s="249"/>
      <c r="EH105" s="249"/>
      <c r="EK105" s="249"/>
      <c r="EN105" s="249"/>
      <c r="EQ105" s="249"/>
      <c r="ET105" s="249"/>
      <c r="EW105" s="249"/>
      <c r="EZ105" s="249"/>
      <c r="FC105" s="249"/>
      <c r="FF105" s="249"/>
      <c r="FI105" s="249"/>
      <c r="FL105" s="249"/>
      <c r="FO105" s="249"/>
      <c r="FR105" s="249"/>
      <c r="FU105" s="249"/>
      <c r="FX105" s="249"/>
      <c r="GA105" s="249"/>
      <c r="GD105" s="249"/>
      <c r="GG105" s="249"/>
      <c r="GJ105" s="249"/>
      <c r="GM105" s="249"/>
      <c r="GP105" s="249"/>
      <c r="GS105" s="249"/>
      <c r="GV105" s="249"/>
      <c r="GY105" s="249"/>
      <c r="HB105" s="249"/>
      <c r="HE105" s="249"/>
    </row>
    <row r="106" spans="1:213" x14ac:dyDescent="0.2">
      <c r="A106" s="249" t="s">
        <v>188</v>
      </c>
      <c r="B106" s="284">
        <v>1</v>
      </c>
      <c r="C106" s="249" t="s">
        <v>254</v>
      </c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W106" s="249"/>
      <c r="Z106" s="249"/>
      <c r="AC106" s="249"/>
      <c r="AD106" s="249"/>
      <c r="AE106" s="249"/>
      <c r="AF106" s="249"/>
      <c r="AG106" s="249"/>
      <c r="AJ106" s="249"/>
      <c r="AM106" s="249"/>
      <c r="AP106" s="249"/>
      <c r="AS106" s="249"/>
      <c r="AV106" s="249"/>
      <c r="AY106" s="249"/>
      <c r="BB106" s="249"/>
      <c r="BE106" s="249"/>
      <c r="BH106" s="249"/>
      <c r="BK106" s="249"/>
      <c r="BN106" s="249"/>
      <c r="BQ106" s="249"/>
      <c r="BT106" s="249"/>
      <c r="BW106" s="249"/>
      <c r="BZ106" s="249"/>
      <c r="CC106" s="249"/>
      <c r="CF106" s="249"/>
      <c r="CI106" s="249"/>
      <c r="CL106" s="249"/>
      <c r="CO106" s="249"/>
      <c r="CR106" s="249"/>
      <c r="CU106" s="249"/>
      <c r="CX106" s="249"/>
      <c r="DA106" s="249"/>
      <c r="DD106" s="249"/>
      <c r="DG106" s="249"/>
      <c r="DJ106" s="249"/>
      <c r="DM106" s="249"/>
      <c r="DP106" s="249"/>
      <c r="DS106" s="249"/>
      <c r="DV106" s="249"/>
      <c r="DY106" s="249"/>
      <c r="EB106" s="249"/>
      <c r="EE106" s="249"/>
      <c r="EH106" s="249"/>
      <c r="EK106" s="249"/>
      <c r="EN106" s="249"/>
      <c r="EQ106" s="249"/>
      <c r="ET106" s="249"/>
      <c r="EW106" s="249"/>
      <c r="EZ106" s="249"/>
      <c r="FC106" s="249"/>
      <c r="FF106" s="249"/>
      <c r="FI106" s="249"/>
      <c r="FL106" s="249"/>
      <c r="FO106" s="249"/>
      <c r="FR106" s="249"/>
      <c r="FU106" s="249"/>
      <c r="FX106" s="249"/>
      <c r="GA106" s="249"/>
      <c r="GD106" s="249"/>
      <c r="GG106" s="249"/>
      <c r="GJ106" s="249"/>
      <c r="GM106" s="249"/>
      <c r="GP106" s="249"/>
      <c r="GS106" s="249"/>
      <c r="GV106" s="249"/>
      <c r="GY106" s="249"/>
      <c r="HB106" s="249"/>
      <c r="HE106" s="249"/>
    </row>
    <row r="107" spans="1:213" x14ac:dyDescent="0.2">
      <c r="A107" s="94" t="s">
        <v>373</v>
      </c>
      <c r="B107" s="283">
        <v>6</v>
      </c>
      <c r="C107" s="270" t="s">
        <v>69</v>
      </c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W107" s="249"/>
      <c r="Z107" s="249"/>
      <c r="AC107" s="249"/>
      <c r="AD107" s="249"/>
      <c r="AE107" s="249"/>
      <c r="AF107" s="249"/>
      <c r="AG107" s="249"/>
      <c r="AJ107" s="249"/>
      <c r="AM107" s="249"/>
      <c r="AP107" s="249"/>
      <c r="AS107" s="249"/>
      <c r="AV107" s="249"/>
      <c r="AY107" s="249"/>
      <c r="BB107" s="249"/>
      <c r="BE107" s="249"/>
      <c r="BH107" s="249"/>
      <c r="BK107" s="249"/>
      <c r="BN107" s="249"/>
      <c r="BQ107" s="249"/>
      <c r="BT107" s="249"/>
      <c r="BW107" s="249"/>
      <c r="BZ107" s="249"/>
      <c r="CC107" s="249"/>
      <c r="CF107" s="249"/>
      <c r="CI107" s="249"/>
      <c r="CL107" s="249"/>
      <c r="CO107" s="249"/>
      <c r="CR107" s="249"/>
      <c r="CU107" s="249"/>
      <c r="CX107" s="249"/>
      <c r="DA107" s="249"/>
      <c r="DD107" s="249"/>
      <c r="DG107" s="249"/>
      <c r="DJ107" s="249"/>
      <c r="DM107" s="249"/>
      <c r="DP107" s="249"/>
      <c r="DS107" s="249"/>
      <c r="DV107" s="249"/>
      <c r="DY107" s="249"/>
      <c r="EB107" s="249"/>
      <c r="EE107" s="249"/>
      <c r="EH107" s="249"/>
      <c r="EK107" s="249"/>
      <c r="EN107" s="249"/>
      <c r="EQ107" s="249"/>
      <c r="ET107" s="249"/>
      <c r="EW107" s="249"/>
      <c r="EZ107" s="249"/>
      <c r="FC107" s="249"/>
      <c r="FF107" s="249"/>
      <c r="FI107" s="249"/>
      <c r="FL107" s="249"/>
      <c r="FO107" s="249"/>
      <c r="FR107" s="249"/>
      <c r="FU107" s="249"/>
      <c r="FX107" s="249"/>
      <c r="GA107" s="249"/>
      <c r="GD107" s="249"/>
      <c r="GG107" s="249"/>
      <c r="GJ107" s="249"/>
      <c r="GM107" s="249"/>
      <c r="GP107" s="249"/>
      <c r="GS107" s="249"/>
      <c r="GV107" s="249"/>
      <c r="GY107" s="249"/>
      <c r="HB107" s="249"/>
      <c r="HE107" s="249"/>
    </row>
    <row r="108" spans="1:213" x14ac:dyDescent="0.2">
      <c r="A108" s="94" t="s">
        <v>372</v>
      </c>
      <c r="B108" s="283">
        <f>B109-B107</f>
        <v>20</v>
      </c>
      <c r="C108" s="270" t="s">
        <v>69</v>
      </c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W108" s="249"/>
      <c r="Z108" s="249"/>
      <c r="AC108" s="249"/>
      <c r="AD108" s="249"/>
      <c r="AE108" s="249"/>
      <c r="AF108" s="249"/>
      <c r="AG108" s="249"/>
      <c r="AJ108" s="249"/>
      <c r="AM108" s="249"/>
      <c r="AP108" s="249"/>
      <c r="AS108" s="249"/>
      <c r="AV108" s="249"/>
      <c r="AY108" s="249"/>
      <c r="BB108" s="249"/>
      <c r="BE108" s="249"/>
      <c r="BH108" s="249"/>
      <c r="BK108" s="249"/>
      <c r="BN108" s="249"/>
      <c r="BQ108" s="249"/>
      <c r="BT108" s="249"/>
      <c r="BW108" s="249"/>
      <c r="BZ108" s="249"/>
      <c r="CC108" s="249"/>
      <c r="CF108" s="249"/>
      <c r="CI108" s="249"/>
      <c r="CL108" s="249"/>
      <c r="CO108" s="249"/>
      <c r="CR108" s="249"/>
      <c r="CU108" s="249"/>
      <c r="CX108" s="249"/>
      <c r="DA108" s="249"/>
      <c r="DD108" s="249"/>
      <c r="DG108" s="249"/>
      <c r="DJ108" s="249"/>
      <c r="DM108" s="249"/>
      <c r="DP108" s="249"/>
      <c r="DS108" s="249"/>
      <c r="DV108" s="249"/>
      <c r="DY108" s="249"/>
      <c r="EB108" s="249"/>
      <c r="EE108" s="249"/>
      <c r="EH108" s="249"/>
      <c r="EK108" s="249"/>
      <c r="EN108" s="249"/>
      <c r="EQ108" s="249"/>
      <c r="ET108" s="249"/>
      <c r="EW108" s="249"/>
      <c r="EZ108" s="249"/>
      <c r="FC108" s="249"/>
      <c r="FF108" s="249"/>
      <c r="FI108" s="249"/>
      <c r="FL108" s="249"/>
      <c r="FO108" s="249"/>
      <c r="FR108" s="249"/>
      <c r="FU108" s="249"/>
      <c r="FX108" s="249"/>
      <c r="GA108" s="249"/>
      <c r="GD108" s="249"/>
      <c r="GG108" s="249"/>
      <c r="GJ108" s="249"/>
      <c r="GM108" s="249"/>
      <c r="GP108" s="249"/>
      <c r="GS108" s="249"/>
      <c r="GV108" s="249"/>
      <c r="GY108" s="249"/>
      <c r="HB108" s="249"/>
      <c r="HE108" s="249"/>
    </row>
    <row r="109" spans="1:213" x14ac:dyDescent="0.2">
      <c r="A109" s="94" t="s">
        <v>59</v>
      </c>
      <c r="B109" s="283">
        <v>26</v>
      </c>
      <c r="C109" s="270" t="s">
        <v>69</v>
      </c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W109" s="249"/>
      <c r="Z109" s="249"/>
      <c r="AC109" s="249"/>
      <c r="AD109" s="249"/>
      <c r="AE109" s="249"/>
      <c r="AF109" s="249"/>
      <c r="AG109" s="249"/>
      <c r="AJ109" s="249"/>
      <c r="AM109" s="249"/>
      <c r="AP109" s="249"/>
      <c r="AS109" s="249"/>
      <c r="AV109" s="249"/>
      <c r="AY109" s="249"/>
      <c r="BB109" s="249"/>
      <c r="BE109" s="249"/>
      <c r="BH109" s="249"/>
      <c r="BK109" s="249"/>
      <c r="BN109" s="249"/>
      <c r="BQ109" s="249"/>
      <c r="BT109" s="249"/>
      <c r="BW109" s="249"/>
      <c r="BZ109" s="249"/>
      <c r="CC109" s="249"/>
      <c r="CF109" s="249"/>
      <c r="CI109" s="249"/>
      <c r="CL109" s="249"/>
      <c r="CO109" s="249"/>
      <c r="CR109" s="249"/>
      <c r="CU109" s="249"/>
      <c r="CX109" s="249"/>
      <c r="DA109" s="249"/>
      <c r="DD109" s="249"/>
      <c r="DG109" s="249"/>
      <c r="DJ109" s="249"/>
      <c r="DM109" s="249"/>
      <c r="DP109" s="249"/>
      <c r="DS109" s="249"/>
      <c r="DV109" s="249"/>
      <c r="DY109" s="249"/>
      <c r="EB109" s="249"/>
      <c r="EE109" s="249"/>
      <c r="EH109" s="249"/>
      <c r="EK109" s="249"/>
      <c r="EN109" s="249"/>
      <c r="EQ109" s="249"/>
      <c r="ET109" s="249"/>
      <c r="EW109" s="249"/>
      <c r="EZ109" s="249"/>
      <c r="FC109" s="249"/>
      <c r="FF109" s="249"/>
      <c r="FI109" s="249"/>
      <c r="FL109" s="249"/>
      <c r="FO109" s="249"/>
      <c r="FR109" s="249"/>
      <c r="FU109" s="249"/>
      <c r="FX109" s="249"/>
      <c r="GA109" s="249"/>
      <c r="GD109" s="249"/>
      <c r="GG109" s="249"/>
      <c r="GJ109" s="249"/>
      <c r="GM109" s="249"/>
      <c r="GP109" s="249"/>
      <c r="GS109" s="249"/>
      <c r="GV109" s="249"/>
      <c r="GY109" s="249"/>
      <c r="HB109" s="249"/>
      <c r="HE109" s="249"/>
    </row>
    <row r="110" spans="1:213" x14ac:dyDescent="0.2">
      <c r="A110" s="94" t="s">
        <v>371</v>
      </c>
      <c r="B110" s="107">
        <v>75</v>
      </c>
      <c r="C110" s="94" t="s">
        <v>26</v>
      </c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W110" s="249"/>
      <c r="Z110" s="249"/>
      <c r="AC110" s="249"/>
      <c r="AD110" s="249"/>
      <c r="AE110" s="249"/>
      <c r="AF110" s="249"/>
      <c r="AG110" s="249"/>
      <c r="AJ110" s="249"/>
      <c r="AM110" s="249"/>
      <c r="AP110" s="249"/>
      <c r="AS110" s="249"/>
      <c r="AV110" s="249"/>
      <c r="AY110" s="249"/>
      <c r="BB110" s="249"/>
      <c r="BE110" s="249"/>
      <c r="BH110" s="249"/>
      <c r="BK110" s="249"/>
      <c r="BN110" s="249"/>
      <c r="BQ110" s="249"/>
      <c r="BT110" s="249"/>
      <c r="BW110" s="249"/>
      <c r="BZ110" s="249"/>
      <c r="CC110" s="249"/>
      <c r="CF110" s="249"/>
      <c r="CI110" s="249"/>
      <c r="CL110" s="249"/>
      <c r="CO110" s="249"/>
      <c r="CR110" s="249"/>
      <c r="CU110" s="249"/>
      <c r="CX110" s="249"/>
      <c r="DA110" s="249"/>
      <c r="DD110" s="249"/>
      <c r="DG110" s="249"/>
      <c r="DJ110" s="249"/>
      <c r="DM110" s="249"/>
      <c r="DP110" s="249"/>
      <c r="DS110" s="249"/>
      <c r="DV110" s="249"/>
      <c r="DY110" s="249"/>
      <c r="EB110" s="249"/>
      <c r="EE110" s="249"/>
      <c r="EH110" s="249"/>
      <c r="EK110" s="249"/>
      <c r="EN110" s="249"/>
      <c r="EQ110" s="249"/>
      <c r="ET110" s="249"/>
      <c r="EW110" s="249"/>
      <c r="EZ110" s="249"/>
      <c r="FC110" s="249"/>
      <c r="FF110" s="249"/>
      <c r="FI110" s="249"/>
      <c r="FL110" s="249"/>
      <c r="FO110" s="249"/>
      <c r="FR110" s="249"/>
      <c r="FU110" s="249"/>
      <c r="FX110" s="249"/>
      <c r="GA110" s="249"/>
      <c r="GD110" s="249"/>
      <c r="GG110" s="249"/>
      <c r="GJ110" s="249"/>
      <c r="GM110" s="249"/>
      <c r="GP110" s="249"/>
      <c r="GS110" s="249"/>
      <c r="GV110" s="249"/>
      <c r="GY110" s="249"/>
      <c r="HB110" s="249"/>
      <c r="HE110" s="249"/>
    </row>
    <row r="111" spans="1:213" x14ac:dyDescent="0.2">
      <c r="A111" s="94" t="s">
        <v>370</v>
      </c>
      <c r="B111" s="283">
        <v>75</v>
      </c>
      <c r="C111" s="94" t="s">
        <v>26</v>
      </c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W111" s="249"/>
      <c r="Z111" s="249"/>
      <c r="AC111" s="249"/>
      <c r="AD111" s="249"/>
      <c r="AE111" s="249"/>
      <c r="AF111" s="249"/>
      <c r="AG111" s="249"/>
      <c r="AJ111" s="249"/>
      <c r="AM111" s="249"/>
      <c r="AP111" s="249"/>
      <c r="AS111" s="249"/>
      <c r="AV111" s="249"/>
      <c r="AY111" s="249"/>
      <c r="BB111" s="249"/>
      <c r="BE111" s="249"/>
      <c r="BH111" s="249"/>
      <c r="BK111" s="249"/>
      <c r="BN111" s="249"/>
      <c r="BQ111" s="249"/>
      <c r="BT111" s="249"/>
      <c r="BW111" s="249"/>
      <c r="BZ111" s="249"/>
      <c r="CC111" s="249"/>
      <c r="CF111" s="249"/>
      <c r="CI111" s="249"/>
      <c r="CL111" s="249"/>
      <c r="CO111" s="249"/>
      <c r="CR111" s="249"/>
      <c r="CU111" s="249"/>
      <c r="CX111" s="249"/>
      <c r="DA111" s="249"/>
      <c r="DD111" s="249"/>
      <c r="DG111" s="249"/>
      <c r="DJ111" s="249"/>
      <c r="DM111" s="249"/>
      <c r="DP111" s="249"/>
      <c r="DS111" s="249"/>
      <c r="DV111" s="249"/>
      <c r="DY111" s="249"/>
      <c r="EB111" s="249"/>
      <c r="EE111" s="249"/>
      <c r="EH111" s="249"/>
      <c r="EK111" s="249"/>
      <c r="EN111" s="249"/>
      <c r="EQ111" s="249"/>
      <c r="ET111" s="249"/>
      <c r="EW111" s="249"/>
      <c r="EZ111" s="249"/>
      <c r="FC111" s="249"/>
      <c r="FF111" s="249"/>
      <c r="FI111" s="249"/>
      <c r="FL111" s="249"/>
      <c r="FO111" s="249"/>
      <c r="FR111" s="249"/>
      <c r="FU111" s="249"/>
      <c r="FX111" s="249"/>
      <c r="GA111" s="249"/>
      <c r="GD111" s="249"/>
      <c r="GG111" s="249"/>
      <c r="GJ111" s="249"/>
      <c r="GM111" s="249"/>
      <c r="GP111" s="249"/>
      <c r="GS111" s="249"/>
      <c r="GV111" s="249"/>
      <c r="GY111" s="249"/>
      <c r="HB111" s="249"/>
      <c r="HE111" s="249"/>
    </row>
    <row r="112" spans="1:213" x14ac:dyDescent="0.2">
      <c r="A112" s="94" t="s">
        <v>157</v>
      </c>
      <c r="B112" s="283">
        <v>75</v>
      </c>
      <c r="C112" s="94" t="s">
        <v>26</v>
      </c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W112" s="249"/>
      <c r="Z112" s="249"/>
      <c r="AC112" s="249"/>
      <c r="AD112" s="249"/>
      <c r="AE112" s="249"/>
      <c r="AF112" s="249"/>
      <c r="AG112" s="249"/>
      <c r="AJ112" s="249"/>
      <c r="AM112" s="249"/>
      <c r="AP112" s="249"/>
      <c r="AS112" s="249"/>
      <c r="AV112" s="249"/>
      <c r="AY112" s="249"/>
      <c r="BB112" s="249"/>
      <c r="BE112" s="249"/>
      <c r="BH112" s="249"/>
      <c r="BK112" s="249"/>
      <c r="BN112" s="249"/>
      <c r="BQ112" s="249"/>
      <c r="BT112" s="249"/>
      <c r="BW112" s="249"/>
      <c r="BZ112" s="249"/>
      <c r="CC112" s="249"/>
      <c r="CF112" s="249"/>
      <c r="CI112" s="249"/>
      <c r="CL112" s="249"/>
      <c r="CO112" s="249"/>
      <c r="CR112" s="249"/>
      <c r="CU112" s="249"/>
      <c r="CX112" s="249"/>
      <c r="DA112" s="249"/>
      <c r="DD112" s="249"/>
      <c r="DG112" s="249"/>
      <c r="DJ112" s="249"/>
      <c r="DM112" s="249"/>
      <c r="DP112" s="249"/>
      <c r="DS112" s="249"/>
      <c r="DV112" s="249"/>
      <c r="DY112" s="249"/>
      <c r="EB112" s="249"/>
      <c r="EE112" s="249"/>
      <c r="EH112" s="249"/>
      <c r="EK112" s="249"/>
      <c r="EN112" s="249"/>
      <c r="EQ112" s="249"/>
      <c r="ET112" s="249"/>
      <c r="EW112" s="249"/>
      <c r="EZ112" s="249"/>
      <c r="FC112" s="249"/>
      <c r="FF112" s="249"/>
      <c r="FI112" s="249"/>
      <c r="FL112" s="249"/>
      <c r="FO112" s="249"/>
      <c r="FR112" s="249"/>
      <c r="FU112" s="249"/>
      <c r="FX112" s="249"/>
      <c r="GA112" s="249"/>
      <c r="GD112" s="249"/>
      <c r="GG112" s="249"/>
      <c r="GJ112" s="249"/>
      <c r="GM112" s="249"/>
      <c r="GP112" s="249"/>
      <c r="GS112" s="249"/>
      <c r="GV112" s="249"/>
      <c r="GY112" s="249"/>
      <c r="HB112" s="249"/>
      <c r="HE112" s="249"/>
    </row>
    <row r="113" spans="1:213" x14ac:dyDescent="0.2">
      <c r="A113" s="94" t="s">
        <v>105</v>
      </c>
      <c r="B113" s="283">
        <v>1</v>
      </c>
      <c r="C113" s="92" t="s">
        <v>224</v>
      </c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W113" s="249"/>
      <c r="Z113" s="249"/>
      <c r="AC113" s="249"/>
      <c r="AD113" s="249"/>
      <c r="AE113" s="249"/>
      <c r="AF113" s="249"/>
      <c r="AG113" s="249"/>
      <c r="AJ113" s="249"/>
      <c r="AM113" s="249"/>
      <c r="AP113" s="249"/>
      <c r="AS113" s="249"/>
      <c r="AV113" s="249"/>
      <c r="AY113" s="249"/>
      <c r="BB113" s="249"/>
      <c r="BE113" s="249"/>
      <c r="BH113" s="249"/>
      <c r="BK113" s="249"/>
      <c r="BN113" s="249"/>
      <c r="BQ113" s="249"/>
      <c r="BT113" s="249"/>
      <c r="BW113" s="249"/>
      <c r="BZ113" s="249"/>
      <c r="CC113" s="249"/>
      <c r="CF113" s="249"/>
      <c r="CI113" s="249"/>
      <c r="CL113" s="249"/>
      <c r="CO113" s="249"/>
      <c r="CR113" s="249"/>
      <c r="CU113" s="249"/>
      <c r="CX113" s="249"/>
      <c r="DA113" s="249"/>
      <c r="DD113" s="249"/>
      <c r="DG113" s="249"/>
      <c r="DJ113" s="249"/>
      <c r="DM113" s="249"/>
      <c r="DP113" s="249"/>
      <c r="DS113" s="249"/>
      <c r="DV113" s="249"/>
      <c r="DY113" s="249"/>
      <c r="EB113" s="249"/>
      <c r="EE113" s="249"/>
      <c r="EH113" s="249"/>
      <c r="EK113" s="249"/>
      <c r="EN113" s="249"/>
      <c r="EQ113" s="249"/>
      <c r="ET113" s="249"/>
      <c r="EW113" s="249"/>
      <c r="EZ113" s="249"/>
      <c r="FC113" s="249"/>
      <c r="FF113" s="249"/>
      <c r="FI113" s="249"/>
      <c r="FL113" s="249"/>
      <c r="FO113" s="249"/>
      <c r="FR113" s="249"/>
      <c r="FU113" s="249"/>
      <c r="FX113" s="249"/>
      <c r="GA113" s="249"/>
      <c r="GD113" s="249"/>
      <c r="GG113" s="249"/>
      <c r="GJ113" s="249"/>
      <c r="GM113" s="249"/>
      <c r="GP113" s="249"/>
      <c r="GS113" s="249"/>
      <c r="GV113" s="249"/>
      <c r="GY113" s="249"/>
      <c r="HB113" s="249"/>
      <c r="HE113" s="249"/>
    </row>
    <row r="114" spans="1:213" x14ac:dyDescent="0.2">
      <c r="A114" s="92" t="s">
        <v>368</v>
      </c>
      <c r="B114" s="284">
        <v>1</v>
      </c>
      <c r="C114" s="92" t="s">
        <v>224</v>
      </c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W114" s="249"/>
      <c r="Z114" s="249"/>
      <c r="AC114" s="249"/>
      <c r="AD114" s="249"/>
      <c r="AE114" s="249"/>
      <c r="AF114" s="249"/>
      <c r="AG114" s="249"/>
      <c r="AJ114" s="249"/>
      <c r="AM114" s="249"/>
      <c r="AP114" s="249"/>
      <c r="AS114" s="249"/>
      <c r="AV114" s="249"/>
      <c r="AY114" s="249"/>
      <c r="BB114" s="249"/>
      <c r="BE114" s="249"/>
      <c r="BH114" s="249"/>
      <c r="BK114" s="249"/>
      <c r="BN114" s="249"/>
      <c r="BQ114" s="249"/>
      <c r="BT114" s="249"/>
      <c r="BW114" s="249"/>
      <c r="BZ114" s="249"/>
      <c r="CC114" s="249"/>
      <c r="CF114" s="249"/>
      <c r="CI114" s="249"/>
      <c r="CL114" s="249"/>
      <c r="CO114" s="249"/>
      <c r="CR114" s="249"/>
      <c r="CU114" s="249"/>
      <c r="CX114" s="249"/>
      <c r="DA114" s="249"/>
      <c r="DD114" s="249"/>
      <c r="DG114" s="249"/>
      <c r="DJ114" s="249"/>
      <c r="DM114" s="249"/>
      <c r="DP114" s="249"/>
      <c r="DS114" s="249"/>
      <c r="DV114" s="249"/>
      <c r="DY114" s="249"/>
      <c r="EB114" s="249"/>
      <c r="EE114" s="249"/>
      <c r="EH114" s="249"/>
      <c r="EK114" s="249"/>
      <c r="EN114" s="249"/>
      <c r="EQ114" s="249"/>
      <c r="ET114" s="249"/>
      <c r="EW114" s="249"/>
      <c r="EZ114" s="249"/>
      <c r="FC114" s="249"/>
      <c r="FF114" s="249"/>
      <c r="FI114" s="249"/>
      <c r="FL114" s="249"/>
      <c r="FO114" s="249"/>
      <c r="FR114" s="249"/>
      <c r="FU114" s="249"/>
      <c r="FX114" s="249"/>
      <c r="GA114" s="249"/>
      <c r="GD114" s="249"/>
      <c r="GG114" s="249"/>
      <c r="GJ114" s="249"/>
      <c r="GM114" s="249"/>
      <c r="GP114" s="249"/>
      <c r="GS114" s="249"/>
      <c r="GV114" s="249"/>
      <c r="GY114" s="249"/>
      <c r="HB114" s="249"/>
      <c r="HE114" s="249"/>
    </row>
    <row r="115" spans="1:213" x14ac:dyDescent="0.2">
      <c r="A115" s="92" t="s">
        <v>369</v>
      </c>
      <c r="B115" s="284">
        <v>1</v>
      </c>
      <c r="C115" s="92" t="s">
        <v>224</v>
      </c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W115" s="249"/>
      <c r="Z115" s="249"/>
      <c r="AC115" s="249"/>
      <c r="AD115" s="249"/>
      <c r="AE115" s="249"/>
      <c r="AF115" s="249"/>
      <c r="AG115" s="249"/>
      <c r="AJ115" s="249"/>
      <c r="AM115" s="249"/>
      <c r="AP115" s="249"/>
      <c r="AS115" s="249"/>
      <c r="AV115" s="249"/>
      <c r="AY115" s="249"/>
      <c r="BB115" s="249"/>
      <c r="BE115" s="249"/>
      <c r="BH115" s="249"/>
      <c r="BK115" s="249"/>
      <c r="BN115" s="249"/>
      <c r="BQ115" s="249"/>
      <c r="BT115" s="249"/>
      <c r="BW115" s="249"/>
      <c r="BZ115" s="249"/>
      <c r="CC115" s="249"/>
      <c r="CF115" s="249"/>
      <c r="CI115" s="249"/>
      <c r="CL115" s="249"/>
      <c r="CO115" s="249"/>
      <c r="CR115" s="249"/>
      <c r="CU115" s="249"/>
      <c r="CX115" s="249"/>
      <c r="DA115" s="249"/>
      <c r="DD115" s="249"/>
      <c r="DG115" s="249"/>
      <c r="DJ115" s="249"/>
      <c r="DM115" s="249"/>
      <c r="DP115" s="249"/>
      <c r="DS115" s="249"/>
      <c r="DV115" s="249"/>
      <c r="DY115" s="249"/>
      <c r="EB115" s="249"/>
      <c r="EE115" s="249"/>
      <c r="EH115" s="249"/>
      <c r="EK115" s="249"/>
      <c r="EN115" s="249"/>
      <c r="EQ115" s="249"/>
      <c r="ET115" s="249"/>
      <c r="EW115" s="249"/>
      <c r="EZ115" s="249"/>
      <c r="FC115" s="249"/>
      <c r="FF115" s="249"/>
      <c r="FI115" s="249"/>
      <c r="FL115" s="249"/>
      <c r="FO115" s="249"/>
      <c r="FR115" s="249"/>
      <c r="FU115" s="249"/>
      <c r="FX115" s="249"/>
      <c r="GA115" s="249"/>
      <c r="GD115" s="249"/>
      <c r="GG115" s="249"/>
      <c r="GJ115" s="249"/>
      <c r="GM115" s="249"/>
      <c r="GP115" s="249"/>
      <c r="GS115" s="249"/>
      <c r="GV115" s="249"/>
      <c r="GY115" s="249"/>
      <c r="HB115" s="249"/>
      <c r="HE115" s="249"/>
    </row>
    <row r="116" spans="1:213" x14ac:dyDescent="0.2">
      <c r="A116" s="249" t="s">
        <v>366</v>
      </c>
      <c r="B116" s="284">
        <v>1</v>
      </c>
      <c r="C116" s="249" t="s">
        <v>104</v>
      </c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W116" s="249"/>
      <c r="Z116" s="249"/>
      <c r="AC116" s="249"/>
      <c r="AD116" s="249"/>
      <c r="AE116" s="249"/>
      <c r="AF116" s="249"/>
      <c r="AG116" s="249"/>
      <c r="AJ116" s="249"/>
      <c r="AM116" s="249"/>
      <c r="AP116" s="249"/>
      <c r="AS116" s="249"/>
      <c r="AV116" s="249"/>
      <c r="AY116" s="249"/>
      <c r="BB116" s="249"/>
      <c r="BE116" s="249"/>
      <c r="BH116" s="249"/>
      <c r="BK116" s="249"/>
      <c r="BN116" s="249"/>
      <c r="BQ116" s="249"/>
      <c r="BT116" s="249"/>
      <c r="BW116" s="249"/>
      <c r="BZ116" s="249"/>
      <c r="CC116" s="249"/>
      <c r="CF116" s="249"/>
      <c r="CI116" s="249"/>
      <c r="CL116" s="249"/>
      <c r="CO116" s="249"/>
      <c r="CR116" s="249"/>
      <c r="CU116" s="249"/>
      <c r="CX116" s="249"/>
      <c r="DA116" s="249"/>
      <c r="DD116" s="249"/>
      <c r="DG116" s="249"/>
      <c r="DJ116" s="249"/>
      <c r="DM116" s="249"/>
      <c r="DP116" s="249"/>
      <c r="DS116" s="249"/>
      <c r="DV116" s="249"/>
      <c r="DY116" s="249"/>
      <c r="EB116" s="249"/>
      <c r="EE116" s="249"/>
      <c r="EH116" s="249"/>
      <c r="EK116" s="249"/>
      <c r="EN116" s="249"/>
      <c r="EQ116" s="249"/>
      <c r="ET116" s="249"/>
      <c r="EW116" s="249"/>
      <c r="EZ116" s="249"/>
      <c r="FC116" s="249"/>
      <c r="FF116" s="249"/>
      <c r="FI116" s="249"/>
      <c r="FL116" s="249"/>
      <c r="FO116" s="249"/>
      <c r="FR116" s="249"/>
      <c r="FU116" s="249"/>
      <c r="FX116" s="249"/>
      <c r="GA116" s="249"/>
      <c r="GD116" s="249"/>
      <c r="GG116" s="249"/>
      <c r="GJ116" s="249"/>
      <c r="GM116" s="249"/>
      <c r="GP116" s="249"/>
      <c r="GS116" s="249"/>
      <c r="GV116" s="249"/>
      <c r="GY116" s="249"/>
      <c r="HB116" s="249"/>
      <c r="HE116" s="249"/>
    </row>
    <row r="117" spans="1:213" x14ac:dyDescent="0.2">
      <c r="A117" s="249" t="s">
        <v>367</v>
      </c>
      <c r="B117" s="284">
        <v>1</v>
      </c>
      <c r="C117" s="249" t="s">
        <v>104</v>
      </c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W117" s="249"/>
      <c r="Z117" s="249"/>
      <c r="AC117" s="249"/>
      <c r="AD117" s="249"/>
      <c r="AE117" s="249"/>
      <c r="AF117" s="249"/>
      <c r="AG117" s="249"/>
      <c r="AJ117" s="249"/>
      <c r="AM117" s="249"/>
      <c r="AP117" s="249"/>
      <c r="AS117" s="249"/>
      <c r="AV117" s="249"/>
      <c r="AY117" s="249"/>
      <c r="BB117" s="249"/>
      <c r="BE117" s="249"/>
      <c r="BH117" s="249"/>
      <c r="BK117" s="249"/>
      <c r="BN117" s="249"/>
      <c r="BQ117" s="249"/>
      <c r="BT117" s="249"/>
      <c r="BW117" s="249"/>
      <c r="BZ117" s="249"/>
      <c r="CC117" s="249"/>
      <c r="CF117" s="249"/>
      <c r="CI117" s="249"/>
      <c r="CL117" s="249"/>
      <c r="CO117" s="249"/>
      <c r="CR117" s="249"/>
      <c r="CU117" s="249"/>
      <c r="CX117" s="249"/>
      <c r="DA117" s="249"/>
      <c r="DD117" s="249"/>
      <c r="DG117" s="249"/>
      <c r="DJ117" s="249"/>
      <c r="DM117" s="249"/>
      <c r="DP117" s="249"/>
      <c r="DS117" s="249"/>
      <c r="DV117" s="249"/>
      <c r="DY117" s="249"/>
      <c r="EB117" s="249"/>
      <c r="EE117" s="249"/>
      <c r="EH117" s="249"/>
      <c r="EK117" s="249"/>
      <c r="EN117" s="249"/>
      <c r="EQ117" s="249"/>
      <c r="ET117" s="249"/>
      <c r="EW117" s="249"/>
      <c r="EZ117" s="249"/>
      <c r="FC117" s="249"/>
      <c r="FF117" s="249"/>
      <c r="FI117" s="249"/>
      <c r="FL117" s="249"/>
      <c r="FO117" s="249"/>
      <c r="FR117" s="249"/>
      <c r="FU117" s="249"/>
      <c r="FX117" s="249"/>
      <c r="GA117" s="249"/>
      <c r="GD117" s="249"/>
      <c r="GG117" s="249"/>
      <c r="GJ117" s="249"/>
      <c r="GM117" s="249"/>
      <c r="GP117" s="249"/>
      <c r="GS117" s="249"/>
      <c r="GV117" s="249"/>
      <c r="GY117" s="249"/>
      <c r="HB117" s="249"/>
      <c r="HE117" s="249"/>
    </row>
    <row r="118" spans="1:213" x14ac:dyDescent="0.2">
      <c r="A118" s="94" t="s">
        <v>364</v>
      </c>
      <c r="B118" s="284">
        <v>1</v>
      </c>
      <c r="C118" s="92" t="s">
        <v>98</v>
      </c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W118" s="249"/>
      <c r="Z118" s="249"/>
      <c r="AC118" s="249"/>
      <c r="AD118" s="249"/>
      <c r="AE118" s="249"/>
      <c r="AF118" s="249"/>
      <c r="AG118" s="249"/>
      <c r="AJ118" s="249"/>
      <c r="AM118" s="249"/>
      <c r="AP118" s="249"/>
      <c r="AS118" s="249"/>
      <c r="AV118" s="249"/>
      <c r="AY118" s="249"/>
      <c r="BB118" s="249"/>
      <c r="BE118" s="249"/>
      <c r="BH118" s="249"/>
      <c r="BK118" s="249"/>
      <c r="BN118" s="249"/>
      <c r="BQ118" s="249"/>
      <c r="BT118" s="249"/>
      <c r="BW118" s="249"/>
      <c r="BZ118" s="249"/>
      <c r="CC118" s="249"/>
      <c r="CF118" s="249"/>
      <c r="CI118" s="249"/>
      <c r="CL118" s="249"/>
      <c r="CO118" s="249"/>
      <c r="CR118" s="249"/>
      <c r="CU118" s="249"/>
      <c r="CX118" s="249"/>
      <c r="DA118" s="249"/>
      <c r="DD118" s="249"/>
      <c r="DG118" s="249"/>
      <c r="DJ118" s="249"/>
      <c r="DM118" s="249"/>
      <c r="DP118" s="249"/>
      <c r="DS118" s="249"/>
      <c r="DV118" s="249"/>
      <c r="DY118" s="249"/>
      <c r="EB118" s="249"/>
      <c r="EE118" s="249"/>
      <c r="EH118" s="249"/>
      <c r="EK118" s="249"/>
      <c r="EN118" s="249"/>
      <c r="EQ118" s="249"/>
      <c r="ET118" s="249"/>
      <c r="EW118" s="249"/>
      <c r="EZ118" s="249"/>
      <c r="FC118" s="249"/>
      <c r="FF118" s="249"/>
      <c r="FI118" s="249"/>
      <c r="FL118" s="249"/>
      <c r="FO118" s="249"/>
      <c r="FR118" s="249"/>
      <c r="FU118" s="249"/>
      <c r="FX118" s="249"/>
      <c r="GA118" s="249"/>
      <c r="GD118" s="249"/>
      <c r="GG118" s="249"/>
      <c r="GJ118" s="249"/>
      <c r="GM118" s="249"/>
      <c r="GP118" s="249"/>
      <c r="GS118" s="249"/>
      <c r="GV118" s="249"/>
      <c r="GY118" s="249"/>
      <c r="HB118" s="249"/>
      <c r="HE118" s="249"/>
    </row>
    <row r="119" spans="1:213" x14ac:dyDescent="0.2">
      <c r="A119" s="94" t="s">
        <v>365</v>
      </c>
      <c r="B119" s="284">
        <v>1</v>
      </c>
      <c r="C119" s="92" t="s">
        <v>98</v>
      </c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W119" s="249"/>
      <c r="Z119" s="249"/>
      <c r="AC119" s="249"/>
      <c r="AD119" s="249"/>
      <c r="AE119" s="249"/>
      <c r="AF119" s="249"/>
      <c r="AG119" s="249"/>
      <c r="AJ119" s="249"/>
      <c r="AM119" s="249"/>
      <c r="AP119" s="249"/>
      <c r="AS119" s="249"/>
      <c r="AV119" s="249"/>
      <c r="AY119" s="249"/>
      <c r="BB119" s="249"/>
      <c r="BE119" s="249"/>
      <c r="BH119" s="249"/>
      <c r="BK119" s="249"/>
      <c r="BN119" s="249"/>
      <c r="BQ119" s="249"/>
      <c r="BT119" s="249"/>
      <c r="BW119" s="249"/>
      <c r="BZ119" s="249"/>
      <c r="CC119" s="249"/>
      <c r="CF119" s="249"/>
      <c r="CI119" s="249"/>
      <c r="CL119" s="249"/>
      <c r="CO119" s="249"/>
      <c r="CR119" s="249"/>
      <c r="CU119" s="249"/>
      <c r="CX119" s="249"/>
      <c r="DA119" s="249"/>
      <c r="DD119" s="249"/>
      <c r="DG119" s="249"/>
      <c r="DJ119" s="249"/>
      <c r="DM119" s="249"/>
      <c r="DP119" s="249"/>
      <c r="DS119" s="249"/>
      <c r="DV119" s="249"/>
      <c r="DY119" s="249"/>
      <c r="EB119" s="249"/>
      <c r="EE119" s="249"/>
      <c r="EH119" s="249"/>
      <c r="EK119" s="249"/>
      <c r="EN119" s="249"/>
      <c r="EQ119" s="249"/>
      <c r="ET119" s="249"/>
      <c r="EW119" s="249"/>
      <c r="EZ119" s="249"/>
      <c r="FC119" s="249"/>
      <c r="FF119" s="249"/>
      <c r="FI119" s="249"/>
      <c r="FL119" s="249"/>
      <c r="FO119" s="249"/>
      <c r="FR119" s="249"/>
      <c r="FU119" s="249"/>
      <c r="FX119" s="249"/>
      <c r="GA119" s="249"/>
      <c r="GD119" s="249"/>
      <c r="GG119" s="249"/>
      <c r="GJ119" s="249"/>
      <c r="GM119" s="249"/>
      <c r="GP119" s="249"/>
      <c r="GS119" s="249"/>
      <c r="GV119" s="249"/>
      <c r="GY119" s="249"/>
      <c r="HB119" s="249"/>
      <c r="HE119" s="249"/>
    </row>
    <row r="120" spans="1:213" x14ac:dyDescent="0.2">
      <c r="A120" s="263" t="s">
        <v>192</v>
      </c>
      <c r="B120" s="283">
        <v>1</v>
      </c>
      <c r="C120" s="249" t="s">
        <v>283</v>
      </c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W120" s="249"/>
      <c r="Z120" s="249"/>
      <c r="AC120" s="249"/>
      <c r="AD120" s="249"/>
      <c r="AE120" s="249"/>
      <c r="AF120" s="249"/>
      <c r="AG120" s="249"/>
      <c r="AJ120" s="249"/>
      <c r="AM120" s="249"/>
      <c r="AP120" s="249"/>
      <c r="AS120" s="249"/>
      <c r="AV120" s="249"/>
      <c r="AY120" s="249"/>
      <c r="BB120" s="249"/>
      <c r="BE120" s="249"/>
      <c r="BH120" s="249"/>
      <c r="BK120" s="249"/>
      <c r="BN120" s="249"/>
      <c r="BQ120" s="249"/>
      <c r="BT120" s="249"/>
      <c r="BW120" s="249"/>
      <c r="BZ120" s="249"/>
      <c r="CC120" s="249"/>
      <c r="CF120" s="249"/>
      <c r="CI120" s="249"/>
      <c r="CL120" s="249"/>
      <c r="CO120" s="249"/>
      <c r="CR120" s="249"/>
      <c r="CU120" s="249"/>
      <c r="CX120" s="249"/>
      <c r="DA120" s="249"/>
      <c r="DD120" s="249"/>
      <c r="DG120" s="249"/>
      <c r="DJ120" s="249"/>
      <c r="DM120" s="249"/>
      <c r="DP120" s="249"/>
      <c r="DS120" s="249"/>
      <c r="DV120" s="249"/>
      <c r="DY120" s="249"/>
      <c r="EB120" s="249"/>
      <c r="EE120" s="249"/>
      <c r="EH120" s="249"/>
      <c r="EK120" s="249"/>
      <c r="EN120" s="249"/>
      <c r="EQ120" s="249"/>
      <c r="ET120" s="249"/>
      <c r="EW120" s="249"/>
      <c r="EZ120" s="249"/>
      <c r="FC120" s="249"/>
      <c r="FF120" s="249"/>
      <c r="FI120" s="249"/>
      <c r="FL120" s="249"/>
      <c r="FO120" s="249"/>
      <c r="FR120" s="249"/>
      <c r="FU120" s="249"/>
      <c r="FX120" s="249"/>
      <c r="GA120" s="249"/>
      <c r="GD120" s="249"/>
      <c r="GG120" s="249"/>
      <c r="GJ120" s="249"/>
      <c r="GM120" s="249"/>
      <c r="GP120" s="249"/>
      <c r="GS120" s="249"/>
      <c r="GV120" s="249"/>
      <c r="GY120" s="249"/>
      <c r="HB120" s="249"/>
      <c r="HE120" s="249"/>
    </row>
    <row r="121" spans="1:213" x14ac:dyDescent="0.2">
      <c r="A121" s="263" t="s">
        <v>189</v>
      </c>
      <c r="B121" s="283">
        <v>1</v>
      </c>
      <c r="C121" s="249" t="s">
        <v>283</v>
      </c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W121" s="249"/>
      <c r="Z121" s="249"/>
      <c r="AC121" s="249"/>
      <c r="AD121" s="249"/>
      <c r="AE121" s="249"/>
      <c r="AF121" s="249"/>
      <c r="AG121" s="249"/>
      <c r="AJ121" s="249"/>
      <c r="AM121" s="249"/>
      <c r="AP121" s="249"/>
      <c r="AS121" s="249"/>
      <c r="AV121" s="249"/>
      <c r="AY121" s="249"/>
      <c r="BB121" s="249"/>
      <c r="BE121" s="249"/>
      <c r="BH121" s="249"/>
      <c r="BK121" s="249"/>
      <c r="BN121" s="249"/>
      <c r="BQ121" s="249"/>
      <c r="BT121" s="249"/>
      <c r="BW121" s="249"/>
      <c r="BZ121" s="249"/>
      <c r="CC121" s="249"/>
      <c r="CF121" s="249"/>
      <c r="CI121" s="249"/>
      <c r="CL121" s="249"/>
      <c r="CO121" s="249"/>
      <c r="CR121" s="249"/>
      <c r="CU121" s="249"/>
      <c r="CX121" s="249"/>
      <c r="DA121" s="249"/>
      <c r="DD121" s="249"/>
      <c r="DG121" s="249"/>
      <c r="DJ121" s="249"/>
      <c r="DM121" s="249"/>
      <c r="DP121" s="249"/>
      <c r="DS121" s="249"/>
      <c r="DV121" s="249"/>
      <c r="DY121" s="249"/>
      <c r="EB121" s="249"/>
      <c r="EE121" s="249"/>
      <c r="EH121" s="249"/>
      <c r="EK121" s="249"/>
      <c r="EN121" s="249"/>
      <c r="EQ121" s="249"/>
      <c r="ET121" s="249"/>
      <c r="EW121" s="249"/>
      <c r="EZ121" s="249"/>
      <c r="FC121" s="249"/>
      <c r="FF121" s="249"/>
      <c r="FI121" s="249"/>
      <c r="FL121" s="249"/>
      <c r="FO121" s="249"/>
      <c r="FR121" s="249"/>
      <c r="FU121" s="249"/>
      <c r="FX121" s="249"/>
      <c r="GA121" s="249"/>
      <c r="GD121" s="249"/>
      <c r="GG121" s="249"/>
      <c r="GJ121" s="249"/>
      <c r="GM121" s="249"/>
      <c r="GP121" s="249"/>
      <c r="GS121" s="249"/>
      <c r="GV121" s="249"/>
      <c r="GY121" s="249"/>
      <c r="HB121" s="249"/>
      <c r="HE121" s="249"/>
    </row>
    <row r="122" spans="1:213" x14ac:dyDescent="0.2">
      <c r="A122" s="263" t="s">
        <v>190</v>
      </c>
      <c r="B122" s="283">
        <v>1</v>
      </c>
      <c r="C122" s="249" t="s">
        <v>47</v>
      </c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W122" s="249"/>
      <c r="Z122" s="249"/>
      <c r="AC122" s="249"/>
      <c r="AD122" s="249"/>
      <c r="AE122" s="249"/>
      <c r="AF122" s="249"/>
      <c r="AG122" s="249"/>
      <c r="AJ122" s="249"/>
      <c r="AM122" s="249"/>
      <c r="AP122" s="249"/>
      <c r="AS122" s="249"/>
      <c r="AV122" s="249"/>
      <c r="AY122" s="249"/>
      <c r="BB122" s="249"/>
      <c r="BE122" s="249"/>
      <c r="BH122" s="249"/>
      <c r="BK122" s="249"/>
      <c r="BN122" s="249"/>
      <c r="BQ122" s="249"/>
      <c r="BT122" s="249"/>
      <c r="BW122" s="249"/>
      <c r="BZ122" s="249"/>
      <c r="CC122" s="249"/>
      <c r="CF122" s="249"/>
      <c r="CI122" s="249"/>
      <c r="CL122" s="249"/>
      <c r="CO122" s="249"/>
      <c r="CR122" s="249"/>
      <c r="CU122" s="249"/>
      <c r="CX122" s="249"/>
      <c r="DA122" s="249"/>
      <c r="DD122" s="249"/>
      <c r="DG122" s="249"/>
      <c r="DJ122" s="249"/>
      <c r="DM122" s="249"/>
      <c r="DP122" s="249"/>
      <c r="DS122" s="249"/>
      <c r="DV122" s="249"/>
      <c r="DY122" s="249"/>
      <c r="EB122" s="249"/>
      <c r="EE122" s="249"/>
      <c r="EH122" s="249"/>
      <c r="EK122" s="249"/>
      <c r="EN122" s="249"/>
      <c r="EQ122" s="249"/>
      <c r="ET122" s="249"/>
      <c r="EW122" s="249"/>
      <c r="EZ122" s="249"/>
      <c r="FC122" s="249"/>
      <c r="FF122" s="249"/>
      <c r="FI122" s="249"/>
      <c r="FL122" s="249"/>
      <c r="FO122" s="249"/>
      <c r="FR122" s="249"/>
      <c r="FU122" s="249"/>
      <c r="FX122" s="249"/>
      <c r="GA122" s="249"/>
      <c r="GD122" s="249"/>
      <c r="GG122" s="249"/>
      <c r="GJ122" s="249"/>
      <c r="GM122" s="249"/>
      <c r="GP122" s="249"/>
      <c r="GS122" s="249"/>
      <c r="GV122" s="249"/>
      <c r="GY122" s="249"/>
      <c r="HB122" s="249"/>
      <c r="HE122" s="249"/>
    </row>
    <row r="123" spans="1:213" x14ac:dyDescent="0.2">
      <c r="A123" s="263" t="s">
        <v>191</v>
      </c>
      <c r="B123" s="283">
        <v>1</v>
      </c>
      <c r="C123" s="249" t="s">
        <v>47</v>
      </c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W123" s="249"/>
      <c r="Z123" s="249"/>
      <c r="AC123" s="249"/>
      <c r="AD123" s="249"/>
      <c r="AE123" s="249"/>
      <c r="AF123" s="249"/>
      <c r="AG123" s="249"/>
      <c r="AJ123" s="249"/>
      <c r="AM123" s="249"/>
      <c r="AP123" s="249"/>
      <c r="AS123" s="249"/>
      <c r="AV123" s="249"/>
      <c r="AY123" s="249"/>
      <c r="BB123" s="249"/>
      <c r="BE123" s="249"/>
      <c r="BH123" s="249"/>
      <c r="BK123" s="249"/>
      <c r="BN123" s="249"/>
      <c r="BQ123" s="249"/>
      <c r="BT123" s="249"/>
      <c r="BW123" s="249"/>
      <c r="BZ123" s="249"/>
      <c r="CC123" s="249"/>
      <c r="CF123" s="249"/>
      <c r="CI123" s="249"/>
      <c r="CL123" s="249"/>
      <c r="CO123" s="249"/>
      <c r="CR123" s="249"/>
      <c r="CU123" s="249"/>
      <c r="CX123" s="249"/>
      <c r="DA123" s="249"/>
      <c r="DD123" s="249"/>
      <c r="DG123" s="249"/>
      <c r="DJ123" s="249"/>
      <c r="DM123" s="249"/>
      <c r="DP123" s="249"/>
      <c r="DS123" s="249"/>
      <c r="DV123" s="249"/>
      <c r="DY123" s="249"/>
      <c r="EB123" s="249"/>
      <c r="EE123" s="249"/>
      <c r="EH123" s="249"/>
      <c r="EK123" s="249"/>
      <c r="EN123" s="249"/>
      <c r="EQ123" s="249"/>
      <c r="ET123" s="249"/>
      <c r="EW123" s="249"/>
      <c r="EZ123" s="249"/>
      <c r="FC123" s="249"/>
      <c r="FF123" s="249"/>
      <c r="FI123" s="249"/>
      <c r="FL123" s="249"/>
      <c r="FO123" s="249"/>
      <c r="FR123" s="249"/>
      <c r="FU123" s="249"/>
      <c r="FX123" s="249"/>
      <c r="GA123" s="249"/>
      <c r="GD123" s="249"/>
      <c r="GG123" s="249"/>
      <c r="GJ123" s="249"/>
      <c r="GM123" s="249"/>
      <c r="GP123" s="249"/>
      <c r="GS123" s="249"/>
      <c r="GV123" s="249"/>
      <c r="GY123" s="249"/>
      <c r="HB123" s="249"/>
      <c r="HE123" s="249"/>
    </row>
    <row r="124" spans="1:213" x14ac:dyDescent="0.2">
      <c r="A124" s="263" t="s">
        <v>199</v>
      </c>
      <c r="B124" s="283">
        <v>1</v>
      </c>
      <c r="C124" s="249" t="s">
        <v>30</v>
      </c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W124" s="249"/>
      <c r="Z124" s="249"/>
      <c r="AC124" s="249"/>
      <c r="AD124" s="249"/>
      <c r="AE124" s="249"/>
      <c r="AF124" s="249"/>
      <c r="AG124" s="249"/>
      <c r="AJ124" s="249"/>
      <c r="AM124" s="249"/>
      <c r="AP124" s="249"/>
      <c r="AS124" s="249"/>
      <c r="AV124" s="249"/>
      <c r="AY124" s="249"/>
      <c r="BB124" s="249"/>
      <c r="BE124" s="249"/>
      <c r="BH124" s="249"/>
      <c r="BK124" s="249"/>
      <c r="BN124" s="249"/>
      <c r="BQ124" s="249"/>
      <c r="BT124" s="249"/>
      <c r="BW124" s="249"/>
      <c r="BZ124" s="249"/>
      <c r="CC124" s="249"/>
      <c r="CF124" s="249"/>
      <c r="CI124" s="249"/>
      <c r="CL124" s="249"/>
      <c r="CO124" s="249"/>
      <c r="CR124" s="249"/>
      <c r="CU124" s="249"/>
      <c r="CX124" s="249"/>
      <c r="DA124" s="249"/>
      <c r="DD124" s="249"/>
      <c r="DG124" s="249"/>
      <c r="DJ124" s="249"/>
      <c r="DM124" s="249"/>
      <c r="DP124" s="249"/>
      <c r="DS124" s="249"/>
      <c r="DV124" s="249"/>
      <c r="DY124" s="249"/>
      <c r="EB124" s="249"/>
      <c r="EE124" s="249"/>
      <c r="EH124" s="249"/>
      <c r="EK124" s="249"/>
      <c r="EN124" s="249"/>
      <c r="EQ124" s="249"/>
      <c r="ET124" s="249"/>
      <c r="EW124" s="249"/>
      <c r="EZ124" s="249"/>
      <c r="FC124" s="249"/>
      <c r="FF124" s="249"/>
      <c r="FI124" s="249"/>
      <c r="FL124" s="249"/>
      <c r="FO124" s="249"/>
      <c r="FR124" s="249"/>
      <c r="FU124" s="249"/>
      <c r="FX124" s="249"/>
      <c r="GA124" s="249"/>
      <c r="GD124" s="249"/>
      <c r="GG124" s="249"/>
      <c r="GJ124" s="249"/>
      <c r="GM124" s="249"/>
      <c r="GP124" s="249"/>
      <c r="GS124" s="249"/>
      <c r="GV124" s="249"/>
      <c r="GY124" s="249"/>
      <c r="HB124" s="249"/>
      <c r="HE124" s="249"/>
    </row>
    <row r="125" spans="1:213" x14ac:dyDescent="0.2">
      <c r="A125" s="249" t="s">
        <v>193</v>
      </c>
      <c r="B125" s="283">
        <v>1</v>
      </c>
      <c r="C125" s="249" t="s">
        <v>283</v>
      </c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W125" s="249"/>
      <c r="Z125" s="249"/>
      <c r="AC125" s="249"/>
      <c r="AD125" s="249"/>
      <c r="AE125" s="249"/>
      <c r="AF125" s="249"/>
      <c r="AG125" s="249"/>
      <c r="AJ125" s="249"/>
      <c r="AM125" s="249"/>
      <c r="AP125" s="249"/>
      <c r="AS125" s="249"/>
      <c r="AV125" s="249"/>
      <c r="AY125" s="249"/>
      <c r="BB125" s="249"/>
      <c r="BE125" s="249"/>
      <c r="BH125" s="249"/>
      <c r="BK125" s="249"/>
      <c r="BN125" s="249"/>
      <c r="BQ125" s="249"/>
      <c r="BT125" s="249"/>
      <c r="BW125" s="249"/>
      <c r="BZ125" s="249"/>
      <c r="CC125" s="249"/>
      <c r="CF125" s="249"/>
      <c r="CI125" s="249"/>
      <c r="CL125" s="249"/>
      <c r="CO125" s="249"/>
      <c r="CR125" s="249"/>
      <c r="CU125" s="249"/>
      <c r="CX125" s="249"/>
      <c r="DA125" s="249"/>
      <c r="DD125" s="249"/>
      <c r="DG125" s="249"/>
      <c r="DJ125" s="249"/>
      <c r="DM125" s="249"/>
      <c r="DP125" s="249"/>
      <c r="DS125" s="249"/>
      <c r="DV125" s="249"/>
      <c r="DY125" s="249"/>
      <c r="EB125" s="249"/>
      <c r="EE125" s="249"/>
      <c r="EH125" s="249"/>
      <c r="EK125" s="249"/>
      <c r="EN125" s="249"/>
      <c r="EQ125" s="249"/>
      <c r="ET125" s="249"/>
      <c r="EW125" s="249"/>
      <c r="EZ125" s="249"/>
      <c r="FC125" s="249"/>
      <c r="FF125" s="249"/>
      <c r="FI125" s="249"/>
      <c r="FL125" s="249"/>
      <c r="FO125" s="249"/>
      <c r="FR125" s="249"/>
      <c r="FU125" s="249"/>
      <c r="FX125" s="249"/>
      <c r="GA125" s="249"/>
      <c r="GD125" s="249"/>
      <c r="GG125" s="249"/>
      <c r="GJ125" s="249"/>
      <c r="GM125" s="249"/>
      <c r="GP125" s="249"/>
      <c r="GS125" s="249"/>
      <c r="GV125" s="249"/>
      <c r="GY125" s="249"/>
      <c r="HB125" s="249"/>
      <c r="HE125" s="249"/>
    </row>
    <row r="126" spans="1:213" x14ac:dyDescent="0.2">
      <c r="A126" s="249" t="s">
        <v>196</v>
      </c>
      <c r="B126" s="283">
        <v>1</v>
      </c>
      <c r="C126" s="249" t="s">
        <v>283</v>
      </c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W126" s="249"/>
      <c r="Z126" s="249"/>
      <c r="AC126" s="249"/>
      <c r="AD126" s="249"/>
      <c r="AE126" s="249"/>
      <c r="AF126" s="249"/>
      <c r="AG126" s="249"/>
      <c r="AJ126" s="249"/>
      <c r="AM126" s="249"/>
      <c r="AP126" s="249"/>
      <c r="AS126" s="249"/>
      <c r="AV126" s="249"/>
      <c r="AY126" s="249"/>
      <c r="BB126" s="249"/>
      <c r="BE126" s="249"/>
      <c r="BH126" s="249"/>
      <c r="BK126" s="249"/>
      <c r="BN126" s="249"/>
      <c r="BQ126" s="249"/>
      <c r="BT126" s="249"/>
      <c r="BW126" s="249"/>
      <c r="BZ126" s="249"/>
      <c r="CC126" s="249"/>
      <c r="CF126" s="249"/>
      <c r="CI126" s="249"/>
      <c r="CL126" s="249"/>
      <c r="CO126" s="249"/>
      <c r="CR126" s="249"/>
      <c r="CU126" s="249"/>
      <c r="CX126" s="249"/>
      <c r="DA126" s="249"/>
      <c r="DD126" s="249"/>
      <c r="DG126" s="249"/>
      <c r="DJ126" s="249"/>
      <c r="DM126" s="249"/>
      <c r="DP126" s="249"/>
      <c r="DS126" s="249"/>
      <c r="DV126" s="249"/>
      <c r="DY126" s="249"/>
      <c r="EB126" s="249"/>
      <c r="EE126" s="249"/>
      <c r="EH126" s="249"/>
      <c r="EK126" s="249"/>
      <c r="EN126" s="249"/>
      <c r="EQ126" s="249"/>
      <c r="ET126" s="249"/>
      <c r="EW126" s="249"/>
      <c r="EZ126" s="249"/>
      <c r="FC126" s="249"/>
      <c r="FF126" s="249"/>
      <c r="FI126" s="249"/>
      <c r="FL126" s="249"/>
      <c r="FO126" s="249"/>
      <c r="FR126" s="249"/>
      <c r="FU126" s="249"/>
      <c r="FX126" s="249"/>
      <c r="GA126" s="249"/>
      <c r="GD126" s="249"/>
      <c r="GG126" s="249"/>
      <c r="GJ126" s="249"/>
      <c r="GM126" s="249"/>
      <c r="GP126" s="249"/>
      <c r="GS126" s="249"/>
      <c r="GV126" s="249"/>
      <c r="GY126" s="249"/>
      <c r="HB126" s="249"/>
      <c r="HE126" s="249"/>
    </row>
    <row r="127" spans="1:213" x14ac:dyDescent="0.2">
      <c r="A127" s="268" t="s">
        <v>197</v>
      </c>
      <c r="B127" s="283">
        <v>1</v>
      </c>
      <c r="C127" s="249" t="s">
        <v>47</v>
      </c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W127" s="249"/>
      <c r="Z127" s="249"/>
      <c r="AC127" s="249"/>
      <c r="AD127" s="249"/>
      <c r="AE127" s="249"/>
      <c r="AF127" s="249"/>
      <c r="AG127" s="249"/>
      <c r="AJ127" s="249"/>
      <c r="AM127" s="249"/>
      <c r="AP127" s="249"/>
      <c r="AS127" s="249"/>
      <c r="AV127" s="249"/>
      <c r="AY127" s="249"/>
      <c r="BB127" s="249"/>
      <c r="BE127" s="249"/>
      <c r="BH127" s="249"/>
      <c r="BK127" s="249"/>
      <c r="BN127" s="249"/>
      <c r="BQ127" s="249"/>
      <c r="BT127" s="249"/>
      <c r="BW127" s="249"/>
      <c r="BZ127" s="249"/>
      <c r="CC127" s="249"/>
      <c r="CF127" s="249"/>
      <c r="CI127" s="249"/>
      <c r="CL127" s="249"/>
      <c r="CO127" s="249"/>
      <c r="CR127" s="249"/>
      <c r="CU127" s="249"/>
      <c r="CX127" s="249"/>
      <c r="DA127" s="249"/>
      <c r="DD127" s="249"/>
      <c r="DG127" s="249"/>
      <c r="DJ127" s="249"/>
      <c r="DM127" s="249"/>
      <c r="DP127" s="249"/>
      <c r="DS127" s="249"/>
      <c r="DV127" s="249"/>
      <c r="DY127" s="249"/>
      <c r="EB127" s="249"/>
      <c r="EE127" s="249"/>
      <c r="EH127" s="249"/>
      <c r="EK127" s="249"/>
      <c r="EN127" s="249"/>
      <c r="EQ127" s="249"/>
      <c r="ET127" s="249"/>
      <c r="EW127" s="249"/>
      <c r="EZ127" s="249"/>
      <c r="FC127" s="249"/>
      <c r="FF127" s="249"/>
      <c r="FI127" s="249"/>
      <c r="FL127" s="249"/>
      <c r="FO127" s="249"/>
      <c r="FR127" s="249"/>
      <c r="FU127" s="249"/>
      <c r="FX127" s="249"/>
      <c r="GA127" s="249"/>
      <c r="GD127" s="249"/>
      <c r="GG127" s="249"/>
      <c r="GJ127" s="249"/>
      <c r="GM127" s="249"/>
      <c r="GP127" s="249"/>
      <c r="GS127" s="249"/>
      <c r="GV127" s="249"/>
      <c r="GY127" s="249"/>
      <c r="HB127" s="249"/>
      <c r="HE127" s="249"/>
    </row>
    <row r="128" spans="1:213" x14ac:dyDescent="0.2">
      <c r="A128" s="262" t="s">
        <v>198</v>
      </c>
      <c r="B128" s="283">
        <v>1</v>
      </c>
      <c r="C128" s="249" t="s">
        <v>47</v>
      </c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W128" s="249"/>
      <c r="Z128" s="249"/>
      <c r="AC128" s="249"/>
      <c r="AD128" s="249"/>
      <c r="AE128" s="249"/>
      <c r="AF128" s="249"/>
      <c r="AG128" s="249"/>
      <c r="AJ128" s="249"/>
      <c r="AM128" s="249"/>
      <c r="AP128" s="249"/>
      <c r="AS128" s="249"/>
      <c r="AV128" s="249"/>
      <c r="AY128" s="249"/>
      <c r="BB128" s="249"/>
      <c r="BE128" s="249"/>
      <c r="BH128" s="249"/>
      <c r="BK128" s="249"/>
      <c r="BN128" s="249"/>
      <c r="BQ128" s="249"/>
      <c r="BT128" s="249"/>
      <c r="BW128" s="249"/>
      <c r="BZ128" s="249"/>
      <c r="CC128" s="249"/>
      <c r="CF128" s="249"/>
      <c r="CI128" s="249"/>
      <c r="CL128" s="249"/>
      <c r="CO128" s="249"/>
      <c r="CR128" s="249"/>
      <c r="CU128" s="249"/>
      <c r="CX128" s="249"/>
      <c r="DA128" s="249"/>
      <c r="DD128" s="249"/>
      <c r="DG128" s="249"/>
      <c r="DJ128" s="249"/>
      <c r="DM128" s="249"/>
      <c r="DP128" s="249"/>
      <c r="DS128" s="249"/>
      <c r="DV128" s="249"/>
      <c r="DY128" s="249"/>
      <c r="EB128" s="249"/>
      <c r="EE128" s="249"/>
      <c r="EH128" s="249"/>
      <c r="EK128" s="249"/>
      <c r="EN128" s="249"/>
      <c r="EQ128" s="249"/>
      <c r="ET128" s="249"/>
      <c r="EW128" s="249"/>
      <c r="EZ128" s="249"/>
      <c r="FC128" s="249"/>
      <c r="FF128" s="249"/>
      <c r="FI128" s="249"/>
      <c r="FL128" s="249"/>
      <c r="FO128" s="249"/>
      <c r="FR128" s="249"/>
      <c r="FU128" s="249"/>
      <c r="FX128" s="249"/>
      <c r="GA128" s="249"/>
      <c r="GD128" s="249"/>
      <c r="GG128" s="249"/>
      <c r="GJ128" s="249"/>
      <c r="GM128" s="249"/>
      <c r="GP128" s="249"/>
      <c r="GS128" s="249"/>
      <c r="GV128" s="249"/>
      <c r="GY128" s="249"/>
      <c r="HB128" s="249"/>
      <c r="HE128" s="249"/>
    </row>
    <row r="129" spans="1:213" x14ac:dyDescent="0.2">
      <c r="A129" s="263" t="s">
        <v>200</v>
      </c>
      <c r="B129" s="283">
        <v>1</v>
      </c>
      <c r="C129" s="249" t="s">
        <v>30</v>
      </c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W129" s="249"/>
      <c r="Z129" s="249"/>
      <c r="AC129" s="249"/>
      <c r="AD129" s="249"/>
      <c r="AE129" s="249"/>
      <c r="AF129" s="249"/>
      <c r="AG129" s="249"/>
      <c r="AJ129" s="249"/>
      <c r="AM129" s="249"/>
      <c r="AP129" s="249"/>
      <c r="AS129" s="249"/>
      <c r="AV129" s="249"/>
      <c r="AY129" s="249"/>
      <c r="BB129" s="249"/>
      <c r="BE129" s="249"/>
      <c r="BH129" s="249"/>
      <c r="BK129" s="249"/>
      <c r="BN129" s="249"/>
      <c r="BQ129" s="249"/>
      <c r="BT129" s="249"/>
      <c r="BW129" s="249"/>
      <c r="BZ129" s="249"/>
      <c r="CC129" s="249"/>
      <c r="CF129" s="249"/>
      <c r="CI129" s="249"/>
      <c r="CL129" s="249"/>
      <c r="CO129" s="249"/>
      <c r="CR129" s="249"/>
      <c r="CU129" s="249"/>
      <c r="CX129" s="249"/>
      <c r="DA129" s="249"/>
      <c r="DD129" s="249"/>
      <c r="DG129" s="249"/>
      <c r="DJ129" s="249"/>
      <c r="DM129" s="249"/>
      <c r="DP129" s="249"/>
      <c r="DS129" s="249"/>
      <c r="DV129" s="249"/>
      <c r="DY129" s="249"/>
      <c r="EB129" s="249"/>
      <c r="EE129" s="249"/>
      <c r="EH129" s="249"/>
      <c r="EK129" s="249"/>
      <c r="EN129" s="249"/>
      <c r="EQ129" s="249"/>
      <c r="ET129" s="249"/>
      <c r="EW129" s="249"/>
      <c r="EZ129" s="249"/>
      <c r="FC129" s="249"/>
      <c r="FF129" s="249"/>
      <c r="FI129" s="249"/>
      <c r="FL129" s="249"/>
      <c r="FO129" s="249"/>
      <c r="FR129" s="249"/>
      <c r="FU129" s="249"/>
      <c r="FX129" s="249"/>
      <c r="GA129" s="249"/>
      <c r="GD129" s="249"/>
      <c r="GG129" s="249"/>
      <c r="GJ129" s="249"/>
      <c r="GM129" s="249"/>
      <c r="GP129" s="249"/>
      <c r="GS129" s="249"/>
      <c r="GV129" s="249"/>
      <c r="GY129" s="249"/>
      <c r="HB129" s="249"/>
      <c r="HE129" s="249"/>
    </row>
    <row r="130" spans="1:213" x14ac:dyDescent="0.2">
      <c r="A130" s="262" t="s">
        <v>255</v>
      </c>
      <c r="B130" s="284">
        <v>1</v>
      </c>
      <c r="C130" s="249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W130" s="249"/>
      <c r="Z130" s="249"/>
      <c r="AC130" s="249"/>
      <c r="AD130" s="249"/>
      <c r="AE130" s="249"/>
      <c r="AF130" s="249"/>
      <c r="AG130" s="249"/>
      <c r="AJ130" s="249"/>
      <c r="AM130" s="249"/>
      <c r="AP130" s="249"/>
      <c r="AS130" s="249"/>
      <c r="AV130" s="249"/>
      <c r="AY130" s="249"/>
      <c r="BB130" s="249"/>
      <c r="BE130" s="249"/>
      <c r="BH130" s="249"/>
      <c r="BK130" s="249"/>
      <c r="BN130" s="249"/>
      <c r="BQ130" s="249"/>
      <c r="BT130" s="249"/>
      <c r="BW130" s="249"/>
      <c r="BZ130" s="249"/>
      <c r="CC130" s="249"/>
      <c r="CF130" s="249"/>
      <c r="CI130" s="249"/>
      <c r="CL130" s="249"/>
      <c r="CO130" s="249"/>
      <c r="CR130" s="249"/>
      <c r="CU130" s="249"/>
      <c r="CX130" s="249"/>
      <c r="DA130" s="249"/>
      <c r="DD130" s="249"/>
      <c r="DG130" s="249"/>
      <c r="DJ130" s="249"/>
      <c r="DM130" s="249"/>
      <c r="DP130" s="249"/>
      <c r="DS130" s="249"/>
      <c r="DV130" s="249"/>
      <c r="DY130" s="249"/>
      <c r="EB130" s="249"/>
      <c r="EE130" s="249"/>
      <c r="EH130" s="249"/>
      <c r="EK130" s="249"/>
      <c r="EN130" s="249"/>
      <c r="EQ130" s="249"/>
      <c r="ET130" s="249"/>
      <c r="EW130" s="249"/>
      <c r="EZ130" s="249"/>
      <c r="FC130" s="249"/>
      <c r="FF130" s="249"/>
      <c r="FI130" s="249"/>
      <c r="FL130" s="249"/>
      <c r="FO130" s="249"/>
      <c r="FR130" s="249"/>
      <c r="FU130" s="249"/>
      <c r="FX130" s="249"/>
      <c r="GA130" s="249"/>
      <c r="GD130" s="249"/>
      <c r="GG130" s="249"/>
      <c r="GJ130" s="249"/>
      <c r="GM130" s="249"/>
      <c r="GP130" s="249"/>
      <c r="GS130" s="249"/>
      <c r="GV130" s="249"/>
      <c r="GY130" s="249"/>
      <c r="HB130" s="249"/>
      <c r="HE130" s="249"/>
    </row>
    <row r="131" spans="1:213" x14ac:dyDescent="0.2">
      <c r="A131" s="249" t="s">
        <v>83</v>
      </c>
      <c r="B131" s="284">
        <v>0.5</v>
      </c>
      <c r="C131" s="249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W131" s="249"/>
      <c r="Z131" s="249"/>
      <c r="AC131" s="249"/>
      <c r="AD131" s="249"/>
      <c r="AE131" s="249"/>
      <c r="AF131" s="249"/>
      <c r="AG131" s="249"/>
      <c r="AJ131" s="249"/>
      <c r="AM131" s="249"/>
      <c r="AP131" s="249"/>
      <c r="AS131" s="249"/>
      <c r="AV131" s="249"/>
      <c r="AY131" s="249"/>
      <c r="BB131" s="249"/>
      <c r="BE131" s="249"/>
      <c r="BH131" s="249"/>
      <c r="BK131" s="249"/>
      <c r="BN131" s="249"/>
      <c r="BQ131" s="249"/>
      <c r="BT131" s="249"/>
      <c r="BW131" s="249"/>
      <c r="BZ131" s="249"/>
      <c r="CC131" s="249"/>
      <c r="CF131" s="249"/>
      <c r="CI131" s="249"/>
      <c r="CL131" s="249"/>
      <c r="CO131" s="249"/>
      <c r="CR131" s="249"/>
      <c r="CU131" s="249"/>
      <c r="CX131" s="249"/>
      <c r="DA131" s="249"/>
      <c r="DD131" s="249"/>
      <c r="DG131" s="249"/>
      <c r="DJ131" s="249"/>
      <c r="DM131" s="249"/>
      <c r="DP131" s="249"/>
      <c r="DS131" s="249"/>
      <c r="DV131" s="249"/>
      <c r="DY131" s="249"/>
      <c r="EB131" s="249"/>
      <c r="EE131" s="249"/>
      <c r="EH131" s="249"/>
      <c r="EK131" s="249"/>
      <c r="EN131" s="249"/>
      <c r="EQ131" s="249"/>
      <c r="ET131" s="249"/>
      <c r="EW131" s="249"/>
      <c r="EZ131" s="249"/>
      <c r="FC131" s="249"/>
      <c r="FF131" s="249"/>
      <c r="FI131" s="249"/>
      <c r="FL131" s="249"/>
      <c r="FO131" s="249"/>
      <c r="FR131" s="249"/>
      <c r="FU131" s="249"/>
      <c r="FX131" s="249"/>
      <c r="GA131" s="249"/>
      <c r="GD131" s="249"/>
      <c r="GG131" s="249"/>
      <c r="GJ131" s="249"/>
      <c r="GM131" s="249"/>
      <c r="GP131" s="249"/>
      <c r="GS131" s="249"/>
      <c r="GV131" s="249"/>
      <c r="GY131" s="249"/>
      <c r="HB131" s="249"/>
      <c r="HE131" s="249"/>
    </row>
    <row r="132" spans="1:213" ht="15" x14ac:dyDescent="0.2">
      <c r="A132" s="518" t="s">
        <v>180</v>
      </c>
      <c r="B132" s="518"/>
      <c r="C132" s="518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W132" s="249"/>
      <c r="Z132" s="249"/>
      <c r="AC132" s="249"/>
      <c r="AD132" s="249"/>
      <c r="AE132" s="249"/>
      <c r="AF132" s="249"/>
      <c r="AG132" s="249"/>
      <c r="AJ132" s="249"/>
      <c r="AM132" s="249"/>
      <c r="AP132" s="249"/>
      <c r="AS132" s="249"/>
      <c r="AV132" s="249"/>
      <c r="AY132" s="249"/>
      <c r="BB132" s="249"/>
      <c r="BE132" s="249"/>
      <c r="BH132" s="249"/>
      <c r="BK132" s="249"/>
      <c r="BN132" s="249"/>
      <c r="BQ132" s="249"/>
      <c r="BT132" s="249"/>
      <c r="BW132" s="249"/>
      <c r="BZ132" s="249"/>
      <c r="CC132" s="249"/>
      <c r="CF132" s="249"/>
      <c r="CI132" s="249"/>
      <c r="CL132" s="249"/>
      <c r="CO132" s="249"/>
      <c r="CR132" s="249"/>
      <c r="CU132" s="249"/>
      <c r="CX132" s="249"/>
      <c r="DA132" s="249"/>
      <c r="DD132" s="249"/>
      <c r="DG132" s="249"/>
      <c r="DJ132" s="249"/>
      <c r="DM132" s="249"/>
      <c r="DP132" s="249"/>
      <c r="DS132" s="249"/>
      <c r="DV132" s="249"/>
      <c r="DY132" s="249"/>
      <c r="EB132" s="249"/>
      <c r="EE132" s="249"/>
      <c r="EH132" s="249"/>
      <c r="EK132" s="249"/>
      <c r="EN132" s="249"/>
      <c r="EQ132" s="249"/>
      <c r="ET132" s="249"/>
      <c r="EW132" s="249"/>
      <c r="EZ132" s="249"/>
      <c r="FC132" s="249"/>
      <c r="FF132" s="249"/>
      <c r="FI132" s="249"/>
      <c r="FL132" s="249"/>
      <c r="FO132" s="249"/>
      <c r="FR132" s="249"/>
      <c r="FU132" s="249"/>
      <c r="FX132" s="249"/>
      <c r="GA132" s="249"/>
      <c r="GD132" s="249"/>
      <c r="GG132" s="249"/>
      <c r="GJ132" s="249"/>
      <c r="GM132" s="249"/>
      <c r="GP132" s="249"/>
      <c r="GS132" s="249"/>
      <c r="GV132" s="249"/>
      <c r="GY132" s="249"/>
      <c r="HB132" s="249"/>
      <c r="HE132" s="249"/>
    </row>
    <row r="133" spans="1:213" x14ac:dyDescent="0.2">
      <c r="A133" s="262" t="s">
        <v>374</v>
      </c>
      <c r="B133" s="283">
        <v>200</v>
      </c>
      <c r="C133" s="263" t="s">
        <v>54</v>
      </c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W133" s="249"/>
      <c r="Z133" s="249"/>
      <c r="AC133" s="249"/>
      <c r="AD133" s="249"/>
      <c r="AE133" s="249"/>
      <c r="AF133" s="249"/>
      <c r="AG133" s="249"/>
      <c r="AJ133" s="249"/>
      <c r="AM133" s="249"/>
      <c r="AP133" s="249"/>
      <c r="AS133" s="249"/>
      <c r="AV133" s="249"/>
      <c r="AY133" s="249"/>
      <c r="BB133" s="249"/>
      <c r="BE133" s="249"/>
      <c r="BH133" s="249"/>
      <c r="BK133" s="249"/>
      <c r="BN133" s="249"/>
      <c r="BQ133" s="249"/>
      <c r="BT133" s="249"/>
      <c r="BW133" s="249"/>
      <c r="BZ133" s="249"/>
      <c r="CC133" s="249"/>
      <c r="CF133" s="249"/>
      <c r="CI133" s="249"/>
      <c r="CL133" s="249"/>
      <c r="CO133" s="249"/>
      <c r="CR133" s="249"/>
      <c r="CU133" s="249"/>
      <c r="CX133" s="249"/>
      <c r="DA133" s="249"/>
      <c r="DD133" s="249"/>
      <c r="DG133" s="249"/>
      <c r="DJ133" s="249"/>
      <c r="DM133" s="249"/>
      <c r="DP133" s="249"/>
      <c r="DS133" s="249"/>
      <c r="DV133" s="249"/>
      <c r="DY133" s="249"/>
      <c r="EB133" s="249"/>
      <c r="EE133" s="249"/>
      <c r="EH133" s="249"/>
      <c r="EK133" s="249"/>
      <c r="EN133" s="249"/>
      <c r="EQ133" s="249"/>
      <c r="ET133" s="249"/>
      <c r="EW133" s="249"/>
      <c r="EZ133" s="249"/>
      <c r="FC133" s="249"/>
      <c r="FF133" s="249"/>
      <c r="FI133" s="249"/>
      <c r="FL133" s="249"/>
      <c r="FO133" s="249"/>
      <c r="FR133" s="249"/>
      <c r="FU133" s="249"/>
      <c r="FX133" s="249"/>
      <c r="GA133" s="249"/>
      <c r="GD133" s="249"/>
      <c r="GG133" s="249"/>
      <c r="GJ133" s="249"/>
      <c r="GM133" s="249"/>
      <c r="GP133" s="249"/>
      <c r="GS133" s="249"/>
      <c r="GV133" s="249"/>
      <c r="GY133" s="249"/>
      <c r="HB133" s="249"/>
      <c r="HE133" s="249"/>
    </row>
    <row r="134" spans="1:213" x14ac:dyDescent="0.2">
      <c r="A134" s="262" t="s">
        <v>375</v>
      </c>
      <c r="B134" s="283">
        <v>100</v>
      </c>
      <c r="C134" s="263" t="s">
        <v>54</v>
      </c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W134" s="249"/>
      <c r="Z134" s="249"/>
      <c r="AC134" s="249"/>
      <c r="AD134" s="249"/>
      <c r="AE134" s="249"/>
      <c r="AF134" s="249"/>
      <c r="AG134" s="249"/>
      <c r="AJ134" s="249"/>
      <c r="AM134" s="249"/>
      <c r="AP134" s="249"/>
      <c r="AS134" s="249"/>
      <c r="AV134" s="249"/>
      <c r="AY134" s="249"/>
      <c r="BB134" s="249"/>
      <c r="BE134" s="249"/>
      <c r="BH134" s="249"/>
      <c r="BK134" s="249"/>
      <c r="BN134" s="249"/>
      <c r="BQ134" s="249"/>
      <c r="BT134" s="249"/>
      <c r="BW134" s="249"/>
      <c r="BZ134" s="249"/>
      <c r="CC134" s="249"/>
      <c r="CF134" s="249"/>
      <c r="CI134" s="249"/>
      <c r="CL134" s="249"/>
      <c r="CO134" s="249"/>
      <c r="CR134" s="249"/>
      <c r="CU134" s="249"/>
      <c r="CX134" s="249"/>
      <c r="DA134" s="249"/>
      <c r="DD134" s="249"/>
      <c r="DG134" s="249"/>
      <c r="DJ134" s="249"/>
      <c r="DM134" s="249"/>
      <c r="DP134" s="249"/>
      <c r="DS134" s="249"/>
      <c r="DV134" s="249"/>
      <c r="DY134" s="249"/>
      <c r="EB134" s="249"/>
      <c r="EE134" s="249"/>
      <c r="EH134" s="249"/>
      <c r="EK134" s="249"/>
      <c r="EN134" s="249"/>
      <c r="EQ134" s="249"/>
      <c r="ET134" s="249"/>
      <c r="EW134" s="249"/>
      <c r="EZ134" s="249"/>
      <c r="FC134" s="249"/>
      <c r="FF134" s="249"/>
      <c r="FI134" s="249"/>
      <c r="FL134" s="249"/>
      <c r="FO134" s="249"/>
      <c r="FR134" s="249"/>
      <c r="FU134" s="249"/>
      <c r="FX134" s="249"/>
      <c r="GA134" s="249"/>
      <c r="GD134" s="249"/>
      <c r="GG134" s="249"/>
      <c r="GJ134" s="249"/>
      <c r="GM134" s="249"/>
      <c r="GP134" s="249"/>
      <c r="GS134" s="249"/>
      <c r="GV134" s="249"/>
      <c r="GY134" s="249"/>
      <c r="HB134" s="249"/>
      <c r="HE134" s="249"/>
    </row>
    <row r="135" spans="1:213" x14ac:dyDescent="0.2">
      <c r="A135" s="262" t="s">
        <v>376</v>
      </c>
      <c r="B135" s="283">
        <v>10</v>
      </c>
      <c r="C135" s="267" t="s">
        <v>359</v>
      </c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W135" s="249"/>
      <c r="Z135" s="249"/>
      <c r="AC135" s="249"/>
      <c r="AD135" s="249"/>
      <c r="AE135" s="249"/>
      <c r="AF135" s="249"/>
      <c r="AG135" s="249"/>
      <c r="AJ135" s="249"/>
      <c r="AM135" s="249"/>
      <c r="AP135" s="249"/>
      <c r="AS135" s="249"/>
      <c r="AV135" s="249"/>
      <c r="AY135" s="249"/>
      <c r="BB135" s="249"/>
      <c r="BE135" s="249"/>
      <c r="BH135" s="249"/>
      <c r="BK135" s="249"/>
      <c r="BN135" s="249"/>
      <c r="BQ135" s="249"/>
      <c r="BT135" s="249"/>
      <c r="BW135" s="249"/>
      <c r="BZ135" s="249"/>
      <c r="CC135" s="249"/>
      <c r="CF135" s="249"/>
      <c r="CI135" s="249"/>
      <c r="CL135" s="249"/>
      <c r="CO135" s="249"/>
      <c r="CR135" s="249"/>
      <c r="CU135" s="249"/>
      <c r="CX135" s="249"/>
      <c r="DA135" s="249"/>
      <c r="DD135" s="249"/>
      <c r="DG135" s="249"/>
      <c r="DJ135" s="249"/>
      <c r="DM135" s="249"/>
      <c r="DP135" s="249"/>
      <c r="DS135" s="249"/>
      <c r="DV135" s="249"/>
      <c r="DY135" s="249"/>
      <c r="EB135" s="249"/>
      <c r="EE135" s="249"/>
      <c r="EH135" s="249"/>
      <c r="EK135" s="249"/>
      <c r="EN135" s="249"/>
      <c r="EQ135" s="249"/>
      <c r="ET135" s="249"/>
      <c r="EW135" s="249"/>
      <c r="EZ135" s="249"/>
      <c r="FC135" s="249"/>
      <c r="FF135" s="249"/>
      <c r="FI135" s="249"/>
      <c r="FL135" s="249"/>
      <c r="FO135" s="249"/>
      <c r="FR135" s="249"/>
      <c r="FU135" s="249"/>
      <c r="FX135" s="249"/>
      <c r="GA135" s="249"/>
      <c r="GD135" s="249"/>
      <c r="GG135" s="249"/>
      <c r="GJ135" s="249"/>
      <c r="GM135" s="249"/>
      <c r="GP135" s="249"/>
      <c r="GS135" s="249"/>
      <c r="GV135" s="249"/>
      <c r="GY135" s="249"/>
      <c r="HB135" s="249"/>
      <c r="HE135" s="249"/>
    </row>
    <row r="136" spans="1:213" x14ac:dyDescent="0.2">
      <c r="A136" s="262" t="s">
        <v>377</v>
      </c>
      <c r="B136" s="283">
        <v>20</v>
      </c>
      <c r="C136" s="267" t="s">
        <v>359</v>
      </c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W136" s="249"/>
      <c r="Z136" s="249"/>
      <c r="AC136" s="249"/>
      <c r="AD136" s="249"/>
      <c r="AE136" s="249"/>
      <c r="AF136" s="249"/>
      <c r="AG136" s="249"/>
      <c r="AJ136" s="249"/>
      <c r="AM136" s="249"/>
      <c r="AP136" s="249"/>
      <c r="AS136" s="249"/>
      <c r="AV136" s="249"/>
      <c r="AY136" s="249"/>
      <c r="BB136" s="249"/>
      <c r="BE136" s="249"/>
      <c r="BH136" s="249"/>
      <c r="BK136" s="249"/>
      <c r="BN136" s="249"/>
      <c r="BQ136" s="249"/>
      <c r="BT136" s="249"/>
      <c r="BW136" s="249"/>
      <c r="BZ136" s="249"/>
      <c r="CC136" s="249"/>
      <c r="CF136" s="249"/>
      <c r="CI136" s="249"/>
      <c r="CL136" s="249"/>
      <c r="CO136" s="249"/>
      <c r="CR136" s="249"/>
      <c r="CU136" s="249"/>
      <c r="CX136" s="249"/>
      <c r="DA136" s="249"/>
      <c r="DD136" s="249"/>
      <c r="DG136" s="249"/>
      <c r="DJ136" s="249"/>
      <c r="DM136" s="249"/>
      <c r="DP136" s="249"/>
      <c r="DS136" s="249"/>
      <c r="DV136" s="249"/>
      <c r="DY136" s="249"/>
      <c r="EB136" s="249"/>
      <c r="EE136" s="249"/>
      <c r="EH136" s="249"/>
      <c r="EK136" s="249"/>
      <c r="EN136" s="249"/>
      <c r="EQ136" s="249"/>
      <c r="ET136" s="249"/>
      <c r="EW136" s="249"/>
      <c r="EZ136" s="249"/>
      <c r="FC136" s="249"/>
      <c r="FF136" s="249"/>
      <c r="FI136" s="249"/>
      <c r="FL136" s="249"/>
      <c r="FO136" s="249"/>
      <c r="FR136" s="249"/>
      <c r="FU136" s="249"/>
      <c r="FX136" s="249"/>
      <c r="GA136" s="249"/>
      <c r="GD136" s="249"/>
      <c r="GG136" s="249"/>
      <c r="GJ136" s="249"/>
      <c r="GM136" s="249"/>
      <c r="GP136" s="249"/>
      <c r="GS136" s="249"/>
      <c r="GV136" s="249"/>
      <c r="GY136" s="249"/>
      <c r="HB136" s="249"/>
      <c r="HE136" s="249"/>
    </row>
    <row r="137" spans="1:213" x14ac:dyDescent="0.2">
      <c r="A137" s="267" t="s">
        <v>378</v>
      </c>
      <c r="B137" s="284">
        <v>0.78</v>
      </c>
      <c r="C137" s="262" t="s">
        <v>30</v>
      </c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W137" s="249"/>
      <c r="Z137" s="249"/>
      <c r="AC137" s="249"/>
      <c r="AD137" s="249"/>
      <c r="AE137" s="249"/>
      <c r="AF137" s="249"/>
      <c r="AG137" s="249"/>
      <c r="AJ137" s="249"/>
      <c r="AM137" s="249"/>
      <c r="AP137" s="249"/>
      <c r="AS137" s="249"/>
      <c r="AV137" s="249"/>
      <c r="AY137" s="249"/>
      <c r="BB137" s="249"/>
      <c r="BE137" s="249"/>
      <c r="BH137" s="249"/>
      <c r="BK137" s="249"/>
      <c r="BN137" s="249"/>
      <c r="BQ137" s="249"/>
      <c r="BT137" s="249"/>
      <c r="BW137" s="249"/>
      <c r="BZ137" s="249"/>
      <c r="CC137" s="249"/>
      <c r="CF137" s="249"/>
      <c r="CI137" s="249"/>
      <c r="CL137" s="249"/>
      <c r="CO137" s="249"/>
      <c r="CR137" s="249"/>
      <c r="CU137" s="249"/>
      <c r="CX137" s="249"/>
      <c r="DA137" s="249"/>
      <c r="DD137" s="249"/>
      <c r="DG137" s="249"/>
      <c r="DJ137" s="249"/>
      <c r="DM137" s="249"/>
      <c r="DP137" s="249"/>
      <c r="DS137" s="249"/>
      <c r="DV137" s="249"/>
      <c r="DY137" s="249"/>
      <c r="EB137" s="249"/>
      <c r="EE137" s="249"/>
      <c r="EH137" s="249"/>
      <c r="EK137" s="249"/>
      <c r="EN137" s="249"/>
      <c r="EQ137" s="249"/>
      <c r="ET137" s="249"/>
      <c r="EW137" s="249"/>
      <c r="EZ137" s="249"/>
      <c r="FC137" s="249"/>
      <c r="FF137" s="249"/>
      <c r="FI137" s="249"/>
      <c r="FL137" s="249"/>
      <c r="FO137" s="249"/>
      <c r="FR137" s="249"/>
      <c r="FU137" s="249"/>
      <c r="FX137" s="249"/>
      <c r="GA137" s="249"/>
      <c r="GD137" s="249"/>
      <c r="GG137" s="249"/>
      <c r="GJ137" s="249"/>
      <c r="GM137" s="249"/>
      <c r="GP137" s="249"/>
      <c r="GS137" s="249"/>
      <c r="GV137" s="249"/>
      <c r="GY137" s="249"/>
      <c r="HB137" s="249"/>
      <c r="HE137" s="249"/>
    </row>
    <row r="138" spans="1:213" x14ac:dyDescent="0.2">
      <c r="A138" s="267" t="s">
        <v>379</v>
      </c>
      <c r="B138" s="284">
        <v>2.5</v>
      </c>
      <c r="C138" s="262" t="s">
        <v>30</v>
      </c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W138" s="249"/>
      <c r="Z138" s="249"/>
      <c r="AC138" s="249"/>
      <c r="AD138" s="249"/>
      <c r="AE138" s="249"/>
      <c r="AF138" s="249"/>
      <c r="AG138" s="249"/>
      <c r="AJ138" s="249"/>
      <c r="AM138" s="249"/>
      <c r="AP138" s="249"/>
      <c r="AS138" s="249"/>
      <c r="AV138" s="249"/>
      <c r="AY138" s="249"/>
      <c r="BB138" s="249"/>
      <c r="BE138" s="249"/>
      <c r="BH138" s="249"/>
      <c r="BK138" s="249"/>
      <c r="BN138" s="249"/>
      <c r="BQ138" s="249"/>
      <c r="BT138" s="249"/>
      <c r="BW138" s="249"/>
      <c r="BZ138" s="249"/>
      <c r="CC138" s="249"/>
      <c r="CF138" s="249"/>
      <c r="CI138" s="249"/>
      <c r="CL138" s="249"/>
      <c r="CO138" s="249"/>
      <c r="CR138" s="249"/>
      <c r="CU138" s="249"/>
      <c r="CX138" s="249"/>
      <c r="DA138" s="249"/>
      <c r="DD138" s="249"/>
      <c r="DG138" s="249"/>
      <c r="DJ138" s="249"/>
      <c r="DM138" s="249"/>
      <c r="DP138" s="249"/>
      <c r="DS138" s="249"/>
      <c r="DV138" s="249"/>
      <c r="DY138" s="249"/>
      <c r="EB138" s="249"/>
      <c r="EE138" s="249"/>
      <c r="EH138" s="249"/>
      <c r="EK138" s="249"/>
      <c r="EN138" s="249"/>
      <c r="EQ138" s="249"/>
      <c r="ET138" s="249"/>
      <c r="EW138" s="249"/>
      <c r="EZ138" s="249"/>
      <c r="FC138" s="249"/>
      <c r="FF138" s="249"/>
      <c r="FI138" s="249"/>
      <c r="FL138" s="249"/>
      <c r="FO138" s="249"/>
      <c r="FR138" s="249"/>
      <c r="FU138" s="249"/>
      <c r="FX138" s="249"/>
      <c r="GA138" s="249"/>
      <c r="GD138" s="249"/>
      <c r="GG138" s="249"/>
      <c r="GJ138" s="249"/>
      <c r="GM138" s="249"/>
      <c r="GP138" s="249"/>
      <c r="GS138" s="249"/>
      <c r="GV138" s="249"/>
      <c r="GY138" s="249"/>
      <c r="HB138" s="249"/>
      <c r="HE138" s="249"/>
    </row>
    <row r="139" spans="1:213" x14ac:dyDescent="0.2">
      <c r="A139" s="262" t="s">
        <v>380</v>
      </c>
      <c r="B139" s="283">
        <v>68.099999999999994</v>
      </c>
      <c r="C139" s="267" t="s">
        <v>254</v>
      </c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W139" s="249"/>
      <c r="Z139" s="249"/>
      <c r="AC139" s="249"/>
      <c r="AD139" s="249"/>
      <c r="AE139" s="249"/>
      <c r="AF139" s="249"/>
      <c r="AG139" s="249"/>
      <c r="AJ139" s="249"/>
      <c r="AM139" s="249"/>
      <c r="AP139" s="249"/>
      <c r="AS139" s="249"/>
      <c r="AV139" s="249"/>
      <c r="AY139" s="249"/>
      <c r="BB139" s="249"/>
      <c r="BE139" s="249"/>
      <c r="BH139" s="249"/>
      <c r="BK139" s="249"/>
      <c r="BN139" s="249"/>
      <c r="BQ139" s="249"/>
      <c r="BT139" s="249"/>
      <c r="BW139" s="249"/>
      <c r="BZ139" s="249"/>
      <c r="CC139" s="249"/>
      <c r="CF139" s="249"/>
      <c r="CI139" s="249"/>
      <c r="CL139" s="249"/>
      <c r="CO139" s="249"/>
      <c r="CR139" s="249"/>
      <c r="CU139" s="249"/>
      <c r="CX139" s="249"/>
      <c r="DA139" s="249"/>
      <c r="DD139" s="249"/>
      <c r="DG139" s="249"/>
      <c r="DJ139" s="249"/>
      <c r="DM139" s="249"/>
      <c r="DP139" s="249"/>
      <c r="DS139" s="249"/>
      <c r="DV139" s="249"/>
      <c r="DY139" s="249"/>
      <c r="EB139" s="249"/>
      <c r="EE139" s="249"/>
      <c r="EH139" s="249"/>
      <c r="EK139" s="249"/>
      <c r="EN139" s="249"/>
      <c r="EQ139" s="249"/>
      <c r="ET139" s="249"/>
      <c r="EW139" s="249"/>
      <c r="EZ139" s="249"/>
      <c r="FC139" s="249"/>
      <c r="FF139" s="249"/>
      <c r="FI139" s="249"/>
      <c r="FL139" s="249"/>
      <c r="FO139" s="249"/>
      <c r="FR139" s="249"/>
      <c r="FU139" s="249"/>
      <c r="FX139" s="249"/>
      <c r="GA139" s="249"/>
      <c r="GD139" s="249"/>
      <c r="GG139" s="249"/>
      <c r="GJ139" s="249"/>
      <c r="GM139" s="249"/>
      <c r="GP139" s="249"/>
      <c r="GS139" s="249"/>
      <c r="GV139" s="249"/>
      <c r="GY139" s="249"/>
      <c r="HB139" s="249"/>
      <c r="HE139" s="249"/>
    </row>
    <row r="140" spans="1:213" x14ac:dyDescent="0.2">
      <c r="A140" s="262" t="s">
        <v>381</v>
      </c>
      <c r="B140" s="283">
        <v>176.8</v>
      </c>
      <c r="C140" s="267" t="s">
        <v>254</v>
      </c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W140" s="249"/>
      <c r="Z140" s="249"/>
      <c r="AC140" s="249"/>
      <c r="AD140" s="249"/>
      <c r="AE140" s="249"/>
      <c r="AF140" s="249"/>
      <c r="AG140" s="249"/>
      <c r="AJ140" s="249"/>
      <c r="AM140" s="249"/>
      <c r="AP140" s="249"/>
      <c r="AS140" s="249"/>
      <c r="AV140" s="249"/>
      <c r="AY140" s="249"/>
      <c r="BB140" s="249"/>
      <c r="BE140" s="249"/>
      <c r="BH140" s="249"/>
      <c r="BK140" s="249"/>
      <c r="BN140" s="249"/>
      <c r="BQ140" s="249"/>
      <c r="BT140" s="249"/>
      <c r="BW140" s="249"/>
      <c r="BZ140" s="249"/>
      <c r="CC140" s="249"/>
      <c r="CF140" s="249"/>
      <c r="CI140" s="249"/>
      <c r="CL140" s="249"/>
      <c r="CO140" s="249"/>
      <c r="CR140" s="249"/>
      <c r="CU140" s="249"/>
      <c r="CX140" s="249"/>
      <c r="DA140" s="249"/>
      <c r="DD140" s="249"/>
      <c r="DG140" s="249"/>
      <c r="DJ140" s="249"/>
      <c r="DM140" s="249"/>
      <c r="DP140" s="249"/>
      <c r="DS140" s="249"/>
      <c r="DV140" s="249"/>
      <c r="DY140" s="249"/>
      <c r="EB140" s="249"/>
      <c r="EE140" s="249"/>
      <c r="EH140" s="249"/>
      <c r="EK140" s="249"/>
      <c r="EN140" s="249"/>
      <c r="EQ140" s="249"/>
      <c r="ET140" s="249"/>
      <c r="EW140" s="249"/>
      <c r="EZ140" s="249"/>
      <c r="FC140" s="249"/>
      <c r="FF140" s="249"/>
      <c r="FI140" s="249"/>
      <c r="FL140" s="249"/>
      <c r="FO140" s="249"/>
      <c r="FR140" s="249"/>
      <c r="FU140" s="249"/>
      <c r="FX140" s="249"/>
      <c r="GA140" s="249"/>
      <c r="GD140" s="249"/>
      <c r="GG140" s="249"/>
      <c r="GJ140" s="249"/>
      <c r="GM140" s="249"/>
      <c r="GP140" s="249"/>
      <c r="GS140" s="249"/>
      <c r="GV140" s="249"/>
      <c r="GY140" s="249"/>
      <c r="HB140" s="249"/>
      <c r="HE140" s="249"/>
    </row>
    <row r="141" spans="1:213" x14ac:dyDescent="0.2">
      <c r="A141" s="262" t="s">
        <v>382</v>
      </c>
      <c r="B141" s="283">
        <v>41.7</v>
      </c>
      <c r="C141" s="267" t="s">
        <v>254</v>
      </c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W141" s="249"/>
      <c r="Z141" s="249"/>
      <c r="AC141" s="249"/>
      <c r="AD141" s="249"/>
      <c r="AE141" s="249"/>
      <c r="AF141" s="249"/>
      <c r="AG141" s="249"/>
      <c r="AJ141" s="249"/>
      <c r="AM141" s="249"/>
      <c r="AP141" s="249"/>
      <c r="AS141" s="249"/>
      <c r="AV141" s="249"/>
      <c r="AY141" s="249"/>
      <c r="BB141" s="249"/>
      <c r="BE141" s="249"/>
      <c r="BH141" s="249"/>
      <c r="BK141" s="249"/>
      <c r="BN141" s="249"/>
      <c r="BQ141" s="249"/>
      <c r="BT141" s="249"/>
      <c r="BW141" s="249"/>
      <c r="BZ141" s="249"/>
      <c r="CC141" s="249"/>
      <c r="CF141" s="249"/>
      <c r="CI141" s="249"/>
      <c r="CL141" s="249"/>
      <c r="CO141" s="249"/>
      <c r="CR141" s="249"/>
      <c r="CU141" s="249"/>
      <c r="CX141" s="249"/>
      <c r="DA141" s="249"/>
      <c r="DD141" s="249"/>
      <c r="DG141" s="249"/>
      <c r="DJ141" s="249"/>
      <c r="DM141" s="249"/>
      <c r="DP141" s="249"/>
      <c r="DS141" s="249"/>
      <c r="DV141" s="249"/>
      <c r="DY141" s="249"/>
      <c r="EB141" s="249"/>
      <c r="EE141" s="249"/>
      <c r="EH141" s="249"/>
      <c r="EK141" s="249"/>
      <c r="EN141" s="249"/>
      <c r="EQ141" s="249"/>
      <c r="ET141" s="249"/>
      <c r="EW141" s="249"/>
      <c r="EZ141" s="249"/>
      <c r="FC141" s="249"/>
      <c r="FF141" s="249"/>
      <c r="FI141" s="249"/>
      <c r="FL141" s="249"/>
      <c r="FO141" s="249"/>
      <c r="FR141" s="249"/>
      <c r="FU141" s="249"/>
      <c r="FX141" s="249"/>
      <c r="GA141" s="249"/>
      <c r="GD141" s="249"/>
      <c r="GG141" s="249"/>
      <c r="GJ141" s="249"/>
      <c r="GM141" s="249"/>
      <c r="GP141" s="249"/>
      <c r="GS141" s="249"/>
      <c r="GV141" s="249"/>
      <c r="GY141" s="249"/>
      <c r="HB141" s="249"/>
      <c r="HE141" s="249"/>
    </row>
    <row r="142" spans="1:213" x14ac:dyDescent="0.2">
      <c r="A142" s="262" t="s">
        <v>383</v>
      </c>
      <c r="B142" s="283">
        <v>125.7</v>
      </c>
      <c r="C142" s="267" t="s">
        <v>254</v>
      </c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W142" s="249"/>
      <c r="Z142" s="249"/>
      <c r="AC142" s="249"/>
      <c r="AD142" s="249"/>
      <c r="AE142" s="249"/>
      <c r="AF142" s="249"/>
      <c r="AG142" s="249"/>
      <c r="AJ142" s="249"/>
      <c r="AM142" s="249"/>
      <c r="AP142" s="249"/>
      <c r="AS142" s="249"/>
      <c r="AV142" s="249"/>
      <c r="AY142" s="249"/>
      <c r="BB142" s="249"/>
      <c r="BE142" s="249"/>
      <c r="BH142" s="249"/>
      <c r="BK142" s="249"/>
      <c r="BN142" s="249"/>
      <c r="BQ142" s="249"/>
      <c r="BT142" s="249"/>
      <c r="BW142" s="249"/>
      <c r="BZ142" s="249"/>
      <c r="CC142" s="249"/>
      <c r="CF142" s="249"/>
      <c r="CI142" s="249"/>
      <c r="CL142" s="249"/>
      <c r="CO142" s="249"/>
      <c r="CR142" s="249"/>
      <c r="CU142" s="249"/>
      <c r="CX142" s="249"/>
      <c r="DA142" s="249"/>
      <c r="DD142" s="249"/>
      <c r="DG142" s="249"/>
      <c r="DJ142" s="249"/>
      <c r="DM142" s="249"/>
      <c r="DP142" s="249"/>
      <c r="DS142" s="249"/>
      <c r="DV142" s="249"/>
      <c r="DY142" s="249"/>
      <c r="EB142" s="249"/>
      <c r="EE142" s="249"/>
      <c r="EH142" s="249"/>
      <c r="EK142" s="249"/>
      <c r="EN142" s="249"/>
      <c r="EQ142" s="249"/>
      <c r="ET142" s="249"/>
      <c r="EW142" s="249"/>
      <c r="EZ142" s="249"/>
      <c r="FC142" s="249"/>
      <c r="FF142" s="249"/>
      <c r="FI142" s="249"/>
      <c r="FL142" s="249"/>
      <c r="FO142" s="249"/>
      <c r="FR142" s="249"/>
      <c r="FU142" s="249"/>
      <c r="FX142" s="249"/>
      <c r="GA142" s="249"/>
      <c r="GD142" s="249"/>
      <c r="GG142" s="249"/>
      <c r="GJ142" s="249"/>
      <c r="GM142" s="249"/>
      <c r="GP142" s="249"/>
      <c r="GS142" s="249"/>
      <c r="GV142" s="249"/>
      <c r="GY142" s="249"/>
      <c r="HB142" s="249"/>
      <c r="HE142" s="249"/>
    </row>
    <row r="143" spans="1:213" x14ac:dyDescent="0.2">
      <c r="A143" s="262" t="s">
        <v>479</v>
      </c>
      <c r="B143" s="283">
        <v>349.5</v>
      </c>
      <c r="C143" s="267" t="s">
        <v>254</v>
      </c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W143" s="249"/>
      <c r="Z143" s="249"/>
      <c r="AC143" s="249"/>
      <c r="AD143" s="249"/>
      <c r="AE143" s="249"/>
      <c r="AF143" s="249"/>
      <c r="AG143" s="249"/>
      <c r="AJ143" s="249"/>
      <c r="AM143" s="249"/>
      <c r="AP143" s="249"/>
      <c r="AS143" s="249"/>
      <c r="AV143" s="249"/>
      <c r="AY143" s="249"/>
      <c r="BB143" s="249"/>
      <c r="BE143" s="249"/>
      <c r="BH143" s="249"/>
      <c r="BK143" s="249"/>
      <c r="BN143" s="249"/>
      <c r="BQ143" s="249"/>
      <c r="BT143" s="249"/>
      <c r="BW143" s="249"/>
      <c r="BZ143" s="249"/>
      <c r="CC143" s="249"/>
      <c r="CF143" s="249"/>
      <c r="CI143" s="249"/>
      <c r="CL143" s="249"/>
      <c r="CO143" s="249"/>
      <c r="CR143" s="249"/>
      <c r="CU143" s="249"/>
      <c r="CX143" s="249"/>
      <c r="DA143" s="249"/>
      <c r="DD143" s="249"/>
      <c r="DG143" s="249"/>
      <c r="DJ143" s="249"/>
      <c r="DM143" s="249"/>
      <c r="DP143" s="249"/>
      <c r="DS143" s="249"/>
      <c r="DV143" s="249"/>
      <c r="DY143" s="249"/>
      <c r="EB143" s="249"/>
      <c r="EE143" s="249"/>
      <c r="EH143" s="249"/>
      <c r="EK143" s="249"/>
      <c r="EN143" s="249"/>
      <c r="EQ143" s="249"/>
      <c r="ET143" s="249"/>
      <c r="EW143" s="249"/>
      <c r="EZ143" s="249"/>
      <c r="FC143" s="249"/>
      <c r="FF143" s="249"/>
      <c r="FI143" s="249"/>
      <c r="FL143" s="249"/>
      <c r="FO143" s="249"/>
      <c r="FR143" s="249"/>
      <c r="FU143" s="249"/>
      <c r="FX143" s="249"/>
      <c r="GA143" s="249"/>
      <c r="GD143" s="249"/>
      <c r="GG143" s="249"/>
      <c r="GJ143" s="249"/>
      <c r="GM143" s="249"/>
      <c r="GP143" s="249"/>
      <c r="GS143" s="249"/>
      <c r="GV143" s="249"/>
      <c r="GY143" s="249"/>
      <c r="HB143" s="249"/>
      <c r="HE143" s="249"/>
    </row>
    <row r="144" spans="1:213" x14ac:dyDescent="0.2">
      <c r="A144" s="262" t="s">
        <v>480</v>
      </c>
      <c r="B144" s="283">
        <v>445.6</v>
      </c>
      <c r="C144" s="267" t="s">
        <v>254</v>
      </c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W144" s="249"/>
      <c r="Z144" s="249"/>
      <c r="AC144" s="249"/>
      <c r="AD144" s="249"/>
      <c r="AE144" s="249"/>
      <c r="AF144" s="249"/>
      <c r="AG144" s="249"/>
      <c r="AJ144" s="249"/>
      <c r="AM144" s="249"/>
      <c r="AP144" s="249"/>
      <c r="AS144" s="249"/>
      <c r="AV144" s="249"/>
      <c r="AY144" s="249"/>
      <c r="BB144" s="249"/>
      <c r="BE144" s="249"/>
      <c r="BH144" s="249"/>
      <c r="BK144" s="249"/>
      <c r="BN144" s="249"/>
      <c r="BQ144" s="249"/>
      <c r="BT144" s="249"/>
      <c r="BW144" s="249"/>
      <c r="BZ144" s="249"/>
      <c r="CC144" s="249"/>
      <c r="CF144" s="249"/>
      <c r="CI144" s="249"/>
      <c r="CL144" s="249"/>
      <c r="CO144" s="249"/>
      <c r="CR144" s="249"/>
      <c r="CU144" s="249"/>
      <c r="CX144" s="249"/>
      <c r="DA144" s="249"/>
      <c r="DD144" s="249"/>
      <c r="DG144" s="249"/>
      <c r="DJ144" s="249"/>
      <c r="DM144" s="249"/>
      <c r="DP144" s="249"/>
      <c r="DS144" s="249"/>
      <c r="DV144" s="249"/>
      <c r="DY144" s="249"/>
      <c r="EB144" s="249"/>
      <c r="EE144" s="249"/>
      <c r="EH144" s="249"/>
      <c r="EK144" s="249"/>
      <c r="EN144" s="249"/>
      <c r="EQ144" s="249"/>
      <c r="ET144" s="249"/>
      <c r="EW144" s="249"/>
      <c r="EZ144" s="249"/>
      <c r="FC144" s="249"/>
      <c r="FF144" s="249"/>
      <c r="FI144" s="249"/>
      <c r="FL144" s="249"/>
      <c r="FO144" s="249"/>
      <c r="FR144" s="249"/>
      <c r="FU144" s="249"/>
      <c r="FX144" s="249"/>
      <c r="GA144" s="249"/>
      <c r="GD144" s="249"/>
      <c r="GG144" s="249"/>
      <c r="GJ144" s="249"/>
      <c r="GM144" s="249"/>
      <c r="GP144" s="249"/>
      <c r="GS144" s="249"/>
      <c r="GV144" s="249"/>
      <c r="GY144" s="249"/>
      <c r="HB144" s="249"/>
      <c r="HE144" s="249"/>
    </row>
    <row r="145" spans="1:213" x14ac:dyDescent="0.2">
      <c r="A145" s="262" t="s">
        <v>481</v>
      </c>
      <c r="B145" s="283">
        <v>40.1</v>
      </c>
      <c r="C145" s="267" t="s">
        <v>254</v>
      </c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W145" s="249"/>
      <c r="Z145" s="249"/>
      <c r="AC145" s="249"/>
      <c r="AD145" s="249"/>
      <c r="AE145" s="249"/>
      <c r="AF145" s="249"/>
      <c r="AG145" s="249"/>
      <c r="AJ145" s="249"/>
      <c r="AM145" s="249"/>
      <c r="AP145" s="249"/>
      <c r="AS145" s="249"/>
      <c r="AV145" s="249"/>
      <c r="AY145" s="249"/>
      <c r="BB145" s="249"/>
      <c r="BE145" s="249"/>
      <c r="BH145" s="249"/>
      <c r="BK145" s="249"/>
      <c r="BN145" s="249"/>
      <c r="BQ145" s="249"/>
      <c r="BT145" s="249"/>
      <c r="BW145" s="249"/>
      <c r="BZ145" s="249"/>
      <c r="CC145" s="249"/>
      <c r="CF145" s="249"/>
      <c r="CI145" s="249"/>
      <c r="CL145" s="249"/>
      <c r="CO145" s="249"/>
      <c r="CR145" s="249"/>
      <c r="CU145" s="249"/>
      <c r="CX145" s="249"/>
      <c r="DA145" s="249"/>
      <c r="DD145" s="249"/>
      <c r="DG145" s="249"/>
      <c r="DJ145" s="249"/>
      <c r="DM145" s="249"/>
      <c r="DP145" s="249"/>
      <c r="DS145" s="249"/>
      <c r="DV145" s="249"/>
      <c r="DY145" s="249"/>
      <c r="EB145" s="249"/>
      <c r="EE145" s="249"/>
      <c r="EH145" s="249"/>
      <c r="EK145" s="249"/>
      <c r="EN145" s="249"/>
      <c r="EQ145" s="249"/>
      <c r="ET145" s="249"/>
      <c r="EW145" s="249"/>
      <c r="EZ145" s="249"/>
      <c r="FC145" s="249"/>
      <c r="FF145" s="249"/>
      <c r="FI145" s="249"/>
      <c r="FL145" s="249"/>
      <c r="FO145" s="249"/>
      <c r="FR145" s="249"/>
      <c r="FU145" s="249"/>
      <c r="FX145" s="249"/>
      <c r="GA145" s="249"/>
      <c r="GD145" s="249"/>
      <c r="GG145" s="249"/>
      <c r="GJ145" s="249"/>
      <c r="GM145" s="249"/>
      <c r="GP145" s="249"/>
      <c r="GS145" s="249"/>
      <c r="GV145" s="249"/>
      <c r="GY145" s="249"/>
      <c r="HB145" s="249"/>
      <c r="HE145" s="249"/>
    </row>
    <row r="146" spans="1:213" x14ac:dyDescent="0.2">
      <c r="A146" s="262" t="s">
        <v>482</v>
      </c>
      <c r="B146" s="283">
        <v>178</v>
      </c>
      <c r="C146" s="267" t="s">
        <v>254</v>
      </c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W146" s="249"/>
      <c r="Z146" s="249"/>
      <c r="AC146" s="249"/>
      <c r="AD146" s="249"/>
      <c r="AE146" s="249"/>
      <c r="AF146" s="249"/>
      <c r="AG146" s="249"/>
      <c r="AJ146" s="249"/>
      <c r="AM146" s="249"/>
      <c r="AP146" s="249"/>
      <c r="AS146" s="249"/>
      <c r="AV146" s="249"/>
      <c r="AY146" s="249"/>
      <c r="BB146" s="249"/>
      <c r="BE146" s="249"/>
      <c r="BH146" s="249"/>
      <c r="BK146" s="249"/>
      <c r="BN146" s="249"/>
      <c r="BQ146" s="249"/>
      <c r="BT146" s="249"/>
      <c r="BW146" s="249"/>
      <c r="BZ146" s="249"/>
      <c r="CC146" s="249"/>
      <c r="CF146" s="249"/>
      <c r="CI146" s="249"/>
      <c r="CL146" s="249"/>
      <c r="CO146" s="249"/>
      <c r="CR146" s="249"/>
      <c r="CU146" s="249"/>
      <c r="CX146" s="249"/>
      <c r="DA146" s="249"/>
      <c r="DD146" s="249"/>
      <c r="DG146" s="249"/>
      <c r="DJ146" s="249"/>
      <c r="DM146" s="249"/>
      <c r="DP146" s="249"/>
      <c r="DS146" s="249"/>
      <c r="DV146" s="249"/>
      <c r="DY146" s="249"/>
      <c r="EB146" s="249"/>
      <c r="EE146" s="249"/>
      <c r="EH146" s="249"/>
      <c r="EK146" s="249"/>
      <c r="EN146" s="249"/>
      <c r="EQ146" s="249"/>
      <c r="ET146" s="249"/>
      <c r="EW146" s="249"/>
      <c r="EZ146" s="249"/>
      <c r="FC146" s="249"/>
      <c r="FF146" s="249"/>
      <c r="FI146" s="249"/>
      <c r="FL146" s="249"/>
      <c r="FO146" s="249"/>
      <c r="FR146" s="249"/>
      <c r="FU146" s="249"/>
      <c r="FX146" s="249"/>
      <c r="GA146" s="249"/>
      <c r="GD146" s="249"/>
      <c r="GG146" s="249"/>
      <c r="GJ146" s="249"/>
      <c r="GM146" s="249"/>
      <c r="GP146" s="249"/>
      <c r="GS146" s="249"/>
      <c r="GV146" s="249"/>
      <c r="GY146" s="249"/>
      <c r="HB146" s="249"/>
      <c r="HE146" s="249"/>
    </row>
    <row r="147" spans="1:213" x14ac:dyDescent="0.2">
      <c r="A147" s="262" t="s">
        <v>326</v>
      </c>
      <c r="B147" s="283">
        <v>10.95</v>
      </c>
      <c r="C147" s="262" t="s">
        <v>254</v>
      </c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W147" s="249"/>
      <c r="Z147" s="249"/>
      <c r="AC147" s="249"/>
      <c r="AD147" s="249"/>
      <c r="AE147" s="249"/>
      <c r="AF147" s="249"/>
      <c r="AG147" s="249"/>
      <c r="AJ147" s="249"/>
      <c r="AM147" s="249"/>
      <c r="AP147" s="249"/>
      <c r="AS147" s="249"/>
      <c r="AV147" s="249"/>
      <c r="AY147" s="249"/>
      <c r="BB147" s="249"/>
      <c r="BE147" s="249"/>
      <c r="BH147" s="249"/>
      <c r="BK147" s="249"/>
      <c r="BN147" s="249"/>
      <c r="BQ147" s="249"/>
      <c r="BT147" s="249"/>
      <c r="BW147" s="249"/>
      <c r="BZ147" s="249"/>
      <c r="CC147" s="249"/>
      <c r="CF147" s="249"/>
      <c r="CI147" s="249"/>
      <c r="CL147" s="249"/>
      <c r="CO147" s="249"/>
      <c r="CR147" s="249"/>
      <c r="CU147" s="249"/>
      <c r="CX147" s="249"/>
      <c r="DA147" s="249"/>
      <c r="DD147" s="249"/>
      <c r="DG147" s="249"/>
      <c r="DJ147" s="249"/>
      <c r="DM147" s="249"/>
      <c r="DP147" s="249"/>
      <c r="DS147" s="249"/>
      <c r="DV147" s="249"/>
      <c r="DY147" s="249"/>
      <c r="EB147" s="249"/>
      <c r="EE147" s="249"/>
      <c r="EH147" s="249"/>
      <c r="EK147" s="249"/>
      <c r="EN147" s="249"/>
      <c r="EQ147" s="249"/>
      <c r="ET147" s="249"/>
      <c r="EW147" s="249"/>
      <c r="EZ147" s="249"/>
      <c r="FC147" s="249"/>
      <c r="FF147" s="249"/>
      <c r="FI147" s="249"/>
      <c r="FL147" s="249"/>
      <c r="FO147" s="249"/>
      <c r="FR147" s="249"/>
      <c r="FU147" s="249"/>
      <c r="FX147" s="249"/>
      <c r="GA147" s="249"/>
      <c r="GD147" s="249"/>
      <c r="GG147" s="249"/>
      <c r="GJ147" s="249"/>
      <c r="GM147" s="249"/>
      <c r="GP147" s="249"/>
      <c r="GS147" s="249"/>
      <c r="GV147" s="249"/>
      <c r="GY147" s="249"/>
      <c r="HB147" s="249"/>
      <c r="HE147" s="249"/>
    </row>
    <row r="148" spans="1:213" x14ac:dyDescent="0.2">
      <c r="A148" s="262" t="s">
        <v>327</v>
      </c>
      <c r="B148" s="283">
        <v>53.4</v>
      </c>
      <c r="C148" s="262" t="s">
        <v>254</v>
      </c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W148" s="249"/>
      <c r="Z148" s="249"/>
      <c r="AC148" s="249"/>
      <c r="AD148" s="249"/>
      <c r="AE148" s="249"/>
      <c r="AF148" s="249"/>
      <c r="AG148" s="249"/>
      <c r="AJ148" s="249"/>
      <c r="AM148" s="249"/>
      <c r="AP148" s="249"/>
      <c r="AS148" s="249"/>
      <c r="AV148" s="249"/>
      <c r="AY148" s="249"/>
      <c r="BB148" s="249"/>
      <c r="BE148" s="249"/>
      <c r="BH148" s="249"/>
      <c r="BK148" s="249"/>
      <c r="BN148" s="249"/>
      <c r="BQ148" s="249"/>
      <c r="BT148" s="249"/>
      <c r="BW148" s="249"/>
      <c r="BZ148" s="249"/>
      <c r="CC148" s="249"/>
      <c r="CF148" s="249"/>
      <c r="CI148" s="249"/>
      <c r="CL148" s="249"/>
      <c r="CO148" s="249"/>
      <c r="CR148" s="249"/>
      <c r="CU148" s="249"/>
      <c r="CX148" s="249"/>
      <c r="DA148" s="249"/>
      <c r="DD148" s="249"/>
      <c r="DG148" s="249"/>
      <c r="DJ148" s="249"/>
      <c r="DM148" s="249"/>
      <c r="DP148" s="249"/>
      <c r="DS148" s="249"/>
      <c r="DV148" s="249"/>
      <c r="DY148" s="249"/>
      <c r="EB148" s="249"/>
      <c r="EE148" s="249"/>
      <c r="EH148" s="249"/>
      <c r="EK148" s="249"/>
      <c r="EN148" s="249"/>
      <c r="EQ148" s="249"/>
      <c r="ET148" s="249"/>
      <c r="EW148" s="249"/>
      <c r="EZ148" s="249"/>
      <c r="FC148" s="249"/>
      <c r="FF148" s="249"/>
      <c r="FI148" s="249"/>
      <c r="FL148" s="249"/>
      <c r="FO148" s="249"/>
      <c r="FR148" s="249"/>
      <c r="FU148" s="249"/>
      <c r="FX148" s="249"/>
      <c r="GA148" s="249"/>
      <c r="GD148" s="249"/>
      <c r="GG148" s="249"/>
      <c r="GJ148" s="249"/>
      <c r="GM148" s="249"/>
      <c r="GP148" s="249"/>
      <c r="GS148" s="249"/>
      <c r="GV148" s="249"/>
      <c r="GY148" s="249"/>
      <c r="HB148" s="249"/>
      <c r="HE148" s="249"/>
    </row>
    <row r="149" spans="1:213" x14ac:dyDescent="0.2">
      <c r="A149" s="262" t="s">
        <v>483</v>
      </c>
      <c r="B149" s="283">
        <v>32.799999999999997</v>
      </c>
      <c r="C149" s="267" t="s">
        <v>254</v>
      </c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W149" s="249"/>
      <c r="Z149" s="249"/>
      <c r="AC149" s="249"/>
      <c r="AD149" s="249"/>
      <c r="AE149" s="249"/>
      <c r="AF149" s="249"/>
      <c r="AG149" s="249"/>
      <c r="AJ149" s="249"/>
      <c r="AM149" s="249"/>
      <c r="AP149" s="249"/>
      <c r="AS149" s="249"/>
      <c r="AV149" s="249"/>
      <c r="AY149" s="249"/>
      <c r="BB149" s="249"/>
      <c r="BE149" s="249"/>
      <c r="BH149" s="249"/>
      <c r="BK149" s="249"/>
      <c r="BN149" s="249"/>
      <c r="BQ149" s="249"/>
      <c r="BT149" s="249"/>
      <c r="BW149" s="249"/>
      <c r="BZ149" s="249"/>
      <c r="CC149" s="249"/>
      <c r="CF149" s="249"/>
      <c r="CI149" s="249"/>
      <c r="CL149" s="249"/>
      <c r="CO149" s="249"/>
      <c r="CR149" s="249"/>
      <c r="CU149" s="249"/>
      <c r="CX149" s="249"/>
      <c r="DA149" s="249"/>
      <c r="DD149" s="249"/>
      <c r="DG149" s="249"/>
      <c r="DJ149" s="249"/>
      <c r="DM149" s="249"/>
      <c r="DP149" s="249"/>
      <c r="DS149" s="249"/>
      <c r="DV149" s="249"/>
      <c r="DY149" s="249"/>
      <c r="EB149" s="249"/>
      <c r="EE149" s="249"/>
      <c r="EH149" s="249"/>
      <c r="EK149" s="249"/>
      <c r="EN149" s="249"/>
      <c r="EQ149" s="249"/>
      <c r="ET149" s="249"/>
      <c r="EW149" s="249"/>
      <c r="EZ149" s="249"/>
      <c r="FC149" s="249"/>
      <c r="FF149" s="249"/>
      <c r="FI149" s="249"/>
      <c r="FL149" s="249"/>
      <c r="FO149" s="249"/>
      <c r="FR149" s="249"/>
      <c r="FU149" s="249"/>
      <c r="FX149" s="249"/>
      <c r="GA149" s="249"/>
      <c r="GD149" s="249"/>
      <c r="GG149" s="249"/>
      <c r="GJ149" s="249"/>
      <c r="GM149" s="249"/>
      <c r="GP149" s="249"/>
      <c r="GS149" s="249"/>
      <c r="GV149" s="249"/>
      <c r="GY149" s="249"/>
      <c r="HB149" s="249"/>
      <c r="HE149" s="249"/>
    </row>
    <row r="150" spans="1:213" x14ac:dyDescent="0.2">
      <c r="A150" s="262" t="s">
        <v>484</v>
      </c>
      <c r="B150" s="283">
        <v>155.4</v>
      </c>
      <c r="C150" s="267" t="s">
        <v>254</v>
      </c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W150" s="249"/>
      <c r="Z150" s="249"/>
      <c r="AC150" s="249"/>
      <c r="AD150" s="249"/>
      <c r="AE150" s="249"/>
      <c r="AF150" s="249"/>
      <c r="AG150" s="249"/>
      <c r="AJ150" s="249"/>
      <c r="AM150" s="249"/>
      <c r="AP150" s="249"/>
      <c r="AS150" s="249"/>
      <c r="AV150" s="249"/>
      <c r="AY150" s="249"/>
      <c r="BB150" s="249"/>
      <c r="BE150" s="249"/>
      <c r="BH150" s="249"/>
      <c r="BK150" s="249"/>
      <c r="BN150" s="249"/>
      <c r="BQ150" s="249"/>
      <c r="BT150" s="249"/>
      <c r="BW150" s="249"/>
      <c r="BZ150" s="249"/>
      <c r="CC150" s="249"/>
      <c r="CF150" s="249"/>
      <c r="CI150" s="249"/>
      <c r="CL150" s="249"/>
      <c r="CO150" s="249"/>
      <c r="CR150" s="249"/>
      <c r="CU150" s="249"/>
      <c r="CX150" s="249"/>
      <c r="DA150" s="249"/>
      <c r="DD150" s="249"/>
      <c r="DG150" s="249"/>
      <c r="DJ150" s="249"/>
      <c r="DM150" s="249"/>
      <c r="DP150" s="249"/>
      <c r="DS150" s="249"/>
      <c r="DV150" s="249"/>
      <c r="DY150" s="249"/>
      <c r="EB150" s="249"/>
      <c r="EE150" s="249"/>
      <c r="EH150" s="249"/>
      <c r="EK150" s="249"/>
      <c r="EN150" s="249"/>
      <c r="EQ150" s="249"/>
      <c r="ET150" s="249"/>
      <c r="EW150" s="249"/>
      <c r="EZ150" s="249"/>
      <c r="FC150" s="249"/>
      <c r="FF150" s="249"/>
      <c r="FI150" s="249"/>
      <c r="FL150" s="249"/>
      <c r="FO150" s="249"/>
      <c r="FR150" s="249"/>
      <c r="FU150" s="249"/>
      <c r="FX150" s="249"/>
      <c r="GA150" s="249"/>
      <c r="GD150" s="249"/>
      <c r="GG150" s="249"/>
      <c r="GJ150" s="249"/>
      <c r="GM150" s="249"/>
      <c r="GP150" s="249"/>
      <c r="GS150" s="249"/>
      <c r="GV150" s="249"/>
      <c r="GY150" s="249"/>
      <c r="HB150" s="249"/>
      <c r="HE150" s="249"/>
    </row>
    <row r="151" spans="1:213" x14ac:dyDescent="0.2">
      <c r="A151" s="262" t="s">
        <v>324</v>
      </c>
      <c r="B151" s="283">
        <v>23.6</v>
      </c>
      <c r="C151" s="262" t="s">
        <v>254</v>
      </c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W151" s="249"/>
      <c r="Z151" s="249"/>
      <c r="AC151" s="249"/>
      <c r="AD151" s="249"/>
      <c r="AE151" s="249"/>
      <c r="AF151" s="249"/>
      <c r="AG151" s="249"/>
      <c r="AJ151" s="249"/>
      <c r="AM151" s="249"/>
      <c r="AP151" s="249"/>
      <c r="AS151" s="249"/>
      <c r="AV151" s="249"/>
      <c r="AY151" s="249"/>
      <c r="BB151" s="249"/>
      <c r="BE151" s="249"/>
      <c r="BH151" s="249"/>
      <c r="BK151" s="249"/>
      <c r="BN151" s="249"/>
      <c r="BQ151" s="249"/>
      <c r="BT151" s="249"/>
      <c r="BW151" s="249"/>
      <c r="BZ151" s="249"/>
      <c r="CC151" s="249"/>
      <c r="CF151" s="249"/>
      <c r="CI151" s="249"/>
      <c r="CL151" s="249"/>
      <c r="CO151" s="249"/>
      <c r="CR151" s="249"/>
      <c r="CU151" s="249"/>
      <c r="CX151" s="249"/>
      <c r="DA151" s="249"/>
      <c r="DD151" s="249"/>
      <c r="DG151" s="249"/>
      <c r="DJ151" s="249"/>
      <c r="DM151" s="249"/>
      <c r="DP151" s="249"/>
      <c r="DS151" s="249"/>
      <c r="DV151" s="249"/>
      <c r="DY151" s="249"/>
      <c r="EB151" s="249"/>
      <c r="EE151" s="249"/>
      <c r="EH151" s="249"/>
      <c r="EK151" s="249"/>
      <c r="EN151" s="249"/>
      <c r="EQ151" s="249"/>
      <c r="ET151" s="249"/>
      <c r="EW151" s="249"/>
      <c r="EZ151" s="249"/>
      <c r="FC151" s="249"/>
      <c r="FF151" s="249"/>
      <c r="FI151" s="249"/>
      <c r="FL151" s="249"/>
      <c r="FO151" s="249"/>
      <c r="FR151" s="249"/>
      <c r="FU151" s="249"/>
      <c r="FX151" s="249"/>
      <c r="GA151" s="249"/>
      <c r="GD151" s="249"/>
      <c r="GG151" s="249"/>
      <c r="GJ151" s="249"/>
      <c r="GM151" s="249"/>
      <c r="GP151" s="249"/>
      <c r="GS151" s="249"/>
      <c r="GV151" s="249"/>
      <c r="GY151" s="249"/>
      <c r="HB151" s="249"/>
      <c r="HE151" s="249"/>
    </row>
    <row r="152" spans="1:213" x14ac:dyDescent="0.2">
      <c r="A152" s="262" t="s">
        <v>325</v>
      </c>
      <c r="B152" s="283">
        <v>106.6</v>
      </c>
      <c r="C152" s="262" t="s">
        <v>254</v>
      </c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W152" s="249"/>
      <c r="Z152" s="249"/>
      <c r="AC152" s="249"/>
      <c r="AD152" s="249"/>
      <c r="AE152" s="249"/>
      <c r="AF152" s="249"/>
      <c r="AG152" s="249"/>
      <c r="AJ152" s="249"/>
      <c r="AM152" s="249"/>
      <c r="AP152" s="249"/>
      <c r="AS152" s="249"/>
      <c r="AV152" s="249"/>
      <c r="AY152" s="249"/>
      <c r="BB152" s="249"/>
      <c r="BE152" s="249"/>
      <c r="BH152" s="249"/>
      <c r="BK152" s="249"/>
      <c r="BN152" s="249"/>
      <c r="BQ152" s="249"/>
      <c r="BT152" s="249"/>
      <c r="BW152" s="249"/>
      <c r="BZ152" s="249"/>
      <c r="CC152" s="249"/>
      <c r="CF152" s="249"/>
      <c r="CI152" s="249"/>
      <c r="CL152" s="249"/>
      <c r="CO152" s="249"/>
      <c r="CR152" s="249"/>
      <c r="CU152" s="249"/>
      <c r="CX152" s="249"/>
      <c r="DA152" s="249"/>
      <c r="DD152" s="249"/>
      <c r="DG152" s="249"/>
      <c r="DJ152" s="249"/>
      <c r="DM152" s="249"/>
      <c r="DP152" s="249"/>
      <c r="DS152" s="249"/>
      <c r="DV152" s="249"/>
      <c r="DY152" s="249"/>
      <c r="EB152" s="249"/>
      <c r="EE152" s="249"/>
      <c r="EH152" s="249"/>
      <c r="EK152" s="249"/>
      <c r="EN152" s="249"/>
      <c r="EQ152" s="249"/>
      <c r="ET152" s="249"/>
      <c r="EW152" s="249"/>
      <c r="EZ152" s="249"/>
      <c r="FC152" s="249"/>
      <c r="FF152" s="249"/>
      <c r="FI152" s="249"/>
      <c r="FL152" s="249"/>
      <c r="FO152" s="249"/>
      <c r="FR152" s="249"/>
      <c r="FU152" s="249"/>
      <c r="FX152" s="249"/>
      <c r="GA152" s="249"/>
      <c r="GD152" s="249"/>
      <c r="GG152" s="249"/>
      <c r="GJ152" s="249"/>
      <c r="GM152" s="249"/>
      <c r="GP152" s="249"/>
      <c r="GS152" s="249"/>
      <c r="GV152" s="249"/>
      <c r="GY152" s="249"/>
      <c r="HB152" s="249"/>
      <c r="HE152" s="249"/>
    </row>
    <row r="153" spans="1:213" x14ac:dyDescent="0.2">
      <c r="A153" s="262" t="s">
        <v>328</v>
      </c>
      <c r="B153" s="283">
        <v>18.5</v>
      </c>
      <c r="C153" s="262" t="s">
        <v>254</v>
      </c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W153" s="249"/>
      <c r="Z153" s="249"/>
      <c r="AC153" s="249"/>
      <c r="AD153" s="249"/>
      <c r="AE153" s="249"/>
      <c r="AF153" s="249"/>
      <c r="AG153" s="249"/>
      <c r="AJ153" s="249"/>
      <c r="AM153" s="249"/>
      <c r="AP153" s="249"/>
      <c r="AS153" s="249"/>
      <c r="AV153" s="249"/>
      <c r="AY153" s="249"/>
      <c r="BB153" s="249"/>
      <c r="BE153" s="249"/>
      <c r="BH153" s="249"/>
      <c r="BK153" s="249"/>
      <c r="BN153" s="249"/>
      <c r="BQ153" s="249"/>
      <c r="BT153" s="249"/>
      <c r="BW153" s="249"/>
      <c r="BZ153" s="249"/>
      <c r="CC153" s="249"/>
      <c r="CF153" s="249"/>
      <c r="CI153" s="249"/>
      <c r="CL153" s="249"/>
      <c r="CO153" s="249"/>
      <c r="CR153" s="249"/>
      <c r="CU153" s="249"/>
      <c r="CX153" s="249"/>
      <c r="DA153" s="249"/>
      <c r="DD153" s="249"/>
      <c r="DG153" s="249"/>
      <c r="DJ153" s="249"/>
      <c r="DM153" s="249"/>
      <c r="DP153" s="249"/>
      <c r="DS153" s="249"/>
      <c r="DV153" s="249"/>
      <c r="DY153" s="249"/>
      <c r="EB153" s="249"/>
      <c r="EE153" s="249"/>
      <c r="EH153" s="249"/>
      <c r="EK153" s="249"/>
      <c r="EN153" s="249"/>
      <c r="EQ153" s="249"/>
      <c r="ET153" s="249"/>
      <c r="EW153" s="249"/>
      <c r="EZ153" s="249"/>
      <c r="FC153" s="249"/>
      <c r="FF153" s="249"/>
      <c r="FI153" s="249"/>
      <c r="FL153" s="249"/>
      <c r="FO153" s="249"/>
      <c r="FR153" s="249"/>
      <c r="FU153" s="249"/>
      <c r="FX153" s="249"/>
      <c r="GA153" s="249"/>
      <c r="GD153" s="249"/>
      <c r="GG153" s="249"/>
      <c r="GJ153" s="249"/>
      <c r="GM153" s="249"/>
      <c r="GP153" s="249"/>
      <c r="GS153" s="249"/>
      <c r="GV153" s="249"/>
      <c r="GY153" s="249"/>
      <c r="HB153" s="249"/>
      <c r="HE153" s="249"/>
    </row>
    <row r="154" spans="1:213" x14ac:dyDescent="0.2">
      <c r="A154" s="262" t="s">
        <v>329</v>
      </c>
      <c r="B154" s="283">
        <v>97.9</v>
      </c>
      <c r="C154" s="262" t="s">
        <v>254</v>
      </c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W154" s="249"/>
      <c r="Z154" s="249"/>
      <c r="AC154" s="249"/>
      <c r="AD154" s="249"/>
      <c r="AE154" s="249"/>
      <c r="AF154" s="249"/>
      <c r="AG154" s="249"/>
      <c r="AJ154" s="249"/>
      <c r="AM154" s="249"/>
      <c r="AP154" s="249"/>
      <c r="AS154" s="249"/>
      <c r="AV154" s="249"/>
      <c r="AY154" s="249"/>
      <c r="BB154" s="249"/>
      <c r="BE154" s="249"/>
      <c r="BH154" s="249"/>
      <c r="BK154" s="249"/>
      <c r="BN154" s="249"/>
      <c r="BQ154" s="249"/>
      <c r="BT154" s="249"/>
      <c r="BW154" s="249"/>
      <c r="BZ154" s="249"/>
      <c r="CC154" s="249"/>
      <c r="CF154" s="249"/>
      <c r="CI154" s="249"/>
      <c r="CL154" s="249"/>
      <c r="CO154" s="249"/>
      <c r="CR154" s="249"/>
      <c r="CU154" s="249"/>
      <c r="CX154" s="249"/>
      <c r="DA154" s="249"/>
      <c r="DD154" s="249"/>
      <c r="DG154" s="249"/>
      <c r="DJ154" s="249"/>
      <c r="DM154" s="249"/>
      <c r="DP154" s="249"/>
      <c r="DS154" s="249"/>
      <c r="DV154" s="249"/>
      <c r="DY154" s="249"/>
      <c r="EB154" s="249"/>
      <c r="EE154" s="249"/>
      <c r="EH154" s="249"/>
      <c r="EK154" s="249"/>
      <c r="EN154" s="249"/>
      <c r="EQ154" s="249"/>
      <c r="ET154" s="249"/>
      <c r="EW154" s="249"/>
      <c r="EZ154" s="249"/>
      <c r="FC154" s="249"/>
      <c r="FF154" s="249"/>
      <c r="FI154" s="249"/>
      <c r="FL154" s="249"/>
      <c r="FO154" s="249"/>
      <c r="FR154" s="249"/>
      <c r="FU154" s="249"/>
      <c r="FX154" s="249"/>
      <c r="GA154" s="249"/>
      <c r="GD154" s="249"/>
      <c r="GG154" s="249"/>
      <c r="GJ154" s="249"/>
      <c r="GM154" s="249"/>
      <c r="GP154" s="249"/>
      <c r="GS154" s="249"/>
      <c r="GV154" s="249"/>
      <c r="GY154" s="249"/>
      <c r="HB154" s="249"/>
      <c r="HE154" s="249"/>
    </row>
    <row r="155" spans="1:213" x14ac:dyDescent="0.2">
      <c r="A155" s="262" t="s">
        <v>384</v>
      </c>
      <c r="B155" s="284">
        <v>6</v>
      </c>
      <c r="C155" s="93" t="s">
        <v>69</v>
      </c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W155" s="249"/>
      <c r="Z155" s="249"/>
      <c r="AC155" s="249"/>
      <c r="AD155" s="249"/>
      <c r="AE155" s="249"/>
      <c r="AF155" s="249"/>
      <c r="AG155" s="249"/>
      <c r="AJ155" s="249"/>
      <c r="AM155" s="249"/>
      <c r="AP155" s="249"/>
      <c r="AS155" s="249"/>
      <c r="AV155" s="249"/>
      <c r="AY155" s="249"/>
      <c r="BB155" s="249"/>
      <c r="BE155" s="249"/>
      <c r="BH155" s="249"/>
      <c r="BK155" s="249"/>
      <c r="BN155" s="249"/>
      <c r="BQ155" s="249"/>
      <c r="BT155" s="249"/>
      <c r="BW155" s="249"/>
      <c r="BZ155" s="249"/>
      <c r="CC155" s="249"/>
      <c r="CF155" s="249"/>
      <c r="CI155" s="249"/>
      <c r="CL155" s="249"/>
      <c r="CO155" s="249"/>
      <c r="CR155" s="249"/>
      <c r="CU155" s="249"/>
      <c r="CX155" s="249"/>
      <c r="DA155" s="249"/>
      <c r="DD155" s="249"/>
      <c r="DG155" s="249"/>
      <c r="DJ155" s="249"/>
      <c r="DM155" s="249"/>
      <c r="DP155" s="249"/>
      <c r="DS155" s="249"/>
      <c r="DV155" s="249"/>
      <c r="DY155" s="249"/>
      <c r="EB155" s="249"/>
      <c r="EE155" s="249"/>
      <c r="EH155" s="249"/>
      <c r="EK155" s="249"/>
      <c r="EN155" s="249"/>
      <c r="EQ155" s="249"/>
      <c r="ET155" s="249"/>
      <c r="EW155" s="249"/>
      <c r="EZ155" s="249"/>
      <c r="FC155" s="249"/>
      <c r="FF155" s="249"/>
      <c r="FI155" s="249"/>
      <c r="FL155" s="249"/>
      <c r="FO155" s="249"/>
      <c r="FR155" s="249"/>
      <c r="FU155" s="249"/>
      <c r="FX155" s="249"/>
      <c r="GA155" s="249"/>
      <c r="GD155" s="249"/>
      <c r="GG155" s="249"/>
      <c r="GJ155" s="249"/>
      <c r="GM155" s="249"/>
      <c r="GP155" s="249"/>
      <c r="GS155" s="249"/>
      <c r="GV155" s="249"/>
      <c r="GY155" s="249"/>
      <c r="HB155" s="249"/>
      <c r="HE155" s="249"/>
    </row>
    <row r="156" spans="1:213" x14ac:dyDescent="0.2">
      <c r="A156" s="262" t="s">
        <v>385</v>
      </c>
      <c r="B156" s="284">
        <v>34</v>
      </c>
      <c r="C156" s="93" t="s">
        <v>69</v>
      </c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W156" s="249"/>
      <c r="Z156" s="249"/>
      <c r="AC156" s="249"/>
      <c r="AD156" s="249"/>
      <c r="AE156" s="249"/>
      <c r="AF156" s="249"/>
      <c r="AG156" s="249"/>
      <c r="AJ156" s="249"/>
      <c r="AM156" s="249"/>
      <c r="AP156" s="249"/>
      <c r="AS156" s="249"/>
      <c r="AV156" s="249"/>
      <c r="AY156" s="249"/>
      <c r="BB156" s="249"/>
      <c r="BE156" s="249"/>
      <c r="BH156" s="249"/>
      <c r="BK156" s="249"/>
      <c r="BN156" s="249"/>
      <c r="BQ156" s="249"/>
      <c r="BT156" s="249"/>
      <c r="BW156" s="249"/>
      <c r="BZ156" s="249"/>
      <c r="CC156" s="249"/>
      <c r="CF156" s="249"/>
      <c r="CI156" s="249"/>
      <c r="CL156" s="249"/>
      <c r="CO156" s="249"/>
      <c r="CR156" s="249"/>
      <c r="CU156" s="249"/>
      <c r="CX156" s="249"/>
      <c r="DA156" s="249"/>
      <c r="DD156" s="249"/>
      <c r="DG156" s="249"/>
      <c r="DJ156" s="249"/>
      <c r="DM156" s="249"/>
      <c r="DP156" s="249"/>
      <c r="DS156" s="249"/>
      <c r="DV156" s="249"/>
      <c r="DY156" s="249"/>
      <c r="EB156" s="249"/>
      <c r="EE156" s="249"/>
      <c r="EH156" s="249"/>
      <c r="EK156" s="249"/>
      <c r="EN156" s="249"/>
      <c r="EQ156" s="249"/>
      <c r="ET156" s="249"/>
      <c r="EW156" s="249"/>
      <c r="EZ156" s="249"/>
      <c r="FC156" s="249"/>
      <c r="FF156" s="249"/>
      <c r="FI156" s="249"/>
      <c r="FL156" s="249"/>
      <c r="FO156" s="249"/>
      <c r="FR156" s="249"/>
      <c r="FU156" s="249"/>
      <c r="FX156" s="249"/>
      <c r="GA156" s="249"/>
      <c r="GD156" s="249"/>
      <c r="GG156" s="249"/>
      <c r="GJ156" s="249"/>
      <c r="GM156" s="249"/>
      <c r="GP156" s="249"/>
      <c r="GS156" s="249"/>
      <c r="GV156" s="249"/>
      <c r="GY156" s="249"/>
      <c r="HB156" s="249"/>
      <c r="HE156" s="249"/>
    </row>
    <row r="157" spans="1:213" x14ac:dyDescent="0.2">
      <c r="A157" s="262" t="s">
        <v>386</v>
      </c>
      <c r="B157" s="284">
        <v>40</v>
      </c>
      <c r="C157" s="93" t="s">
        <v>69</v>
      </c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W157" s="249"/>
      <c r="Z157" s="249"/>
      <c r="AC157" s="249"/>
      <c r="AD157" s="249"/>
      <c r="AE157" s="249"/>
      <c r="AF157" s="249"/>
      <c r="AG157" s="249"/>
      <c r="AJ157" s="249"/>
      <c r="AM157" s="249"/>
      <c r="AP157" s="249"/>
      <c r="AS157" s="249"/>
      <c r="AV157" s="249"/>
      <c r="AY157" s="249"/>
      <c r="BB157" s="249"/>
      <c r="BE157" s="249"/>
      <c r="BH157" s="249"/>
      <c r="BK157" s="249"/>
      <c r="BN157" s="249"/>
      <c r="BQ157" s="249"/>
      <c r="BT157" s="249"/>
      <c r="BW157" s="249"/>
      <c r="BZ157" s="249"/>
      <c r="CC157" s="249"/>
      <c r="CF157" s="249"/>
      <c r="CI157" s="249"/>
      <c r="CL157" s="249"/>
      <c r="CO157" s="249"/>
      <c r="CR157" s="249"/>
      <c r="CU157" s="249"/>
      <c r="CX157" s="249"/>
      <c r="DA157" s="249"/>
      <c r="DD157" s="249"/>
      <c r="DG157" s="249"/>
      <c r="DJ157" s="249"/>
      <c r="DM157" s="249"/>
      <c r="DP157" s="249"/>
      <c r="DS157" s="249"/>
      <c r="DV157" s="249"/>
      <c r="DY157" s="249"/>
      <c r="EB157" s="249"/>
      <c r="EE157" s="249"/>
      <c r="EH157" s="249"/>
      <c r="EK157" s="249"/>
      <c r="EN157" s="249"/>
      <c r="EQ157" s="249"/>
      <c r="ET157" s="249"/>
      <c r="EW157" s="249"/>
      <c r="EZ157" s="249"/>
      <c r="FC157" s="249"/>
      <c r="FF157" s="249"/>
      <c r="FI157" s="249"/>
      <c r="FL157" s="249"/>
      <c r="FO157" s="249"/>
      <c r="FR157" s="249"/>
      <c r="FU157" s="249"/>
      <c r="FX157" s="249"/>
      <c r="GA157" s="249"/>
      <c r="GD157" s="249"/>
      <c r="GG157" s="249"/>
      <c r="GJ157" s="249"/>
      <c r="GM157" s="249"/>
      <c r="GP157" s="249"/>
      <c r="GS157" s="249"/>
      <c r="GV157" s="249"/>
      <c r="GY157" s="249"/>
      <c r="HB157" s="249"/>
      <c r="HE157" s="249"/>
    </row>
    <row r="158" spans="1:213" x14ac:dyDescent="0.2">
      <c r="A158" s="262" t="s">
        <v>387</v>
      </c>
      <c r="B158" s="284">
        <v>350</v>
      </c>
      <c r="C158" s="262" t="s">
        <v>26</v>
      </c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W158" s="249"/>
      <c r="Z158" s="249"/>
      <c r="AC158" s="249"/>
      <c r="AD158" s="249"/>
      <c r="AE158" s="249"/>
      <c r="AF158" s="249"/>
      <c r="AG158" s="249"/>
      <c r="AJ158" s="249"/>
      <c r="AM158" s="249"/>
      <c r="AP158" s="249"/>
      <c r="AS158" s="249"/>
      <c r="AV158" s="249"/>
      <c r="AY158" s="249"/>
      <c r="BB158" s="249"/>
      <c r="BE158" s="249"/>
      <c r="BH158" s="249"/>
      <c r="BK158" s="249"/>
      <c r="BN158" s="249"/>
      <c r="BQ158" s="249"/>
      <c r="BT158" s="249"/>
      <c r="BW158" s="249"/>
      <c r="BZ158" s="249"/>
      <c r="CC158" s="249"/>
      <c r="CF158" s="249"/>
      <c r="CI158" s="249"/>
      <c r="CL158" s="249"/>
      <c r="CO158" s="249"/>
      <c r="CR158" s="249"/>
      <c r="CU158" s="249"/>
      <c r="CX158" s="249"/>
      <c r="DA158" s="249"/>
      <c r="DD158" s="249"/>
      <c r="DG158" s="249"/>
      <c r="DJ158" s="249"/>
      <c r="DM158" s="249"/>
      <c r="DP158" s="249"/>
      <c r="DS158" s="249"/>
      <c r="DV158" s="249"/>
      <c r="DY158" s="249"/>
      <c r="EB158" s="249"/>
      <c r="EE158" s="249"/>
      <c r="EH158" s="249"/>
      <c r="EK158" s="249"/>
      <c r="EN158" s="249"/>
      <c r="EQ158" s="249"/>
      <c r="ET158" s="249"/>
      <c r="EW158" s="249"/>
      <c r="EZ158" s="249"/>
      <c r="FC158" s="249"/>
      <c r="FF158" s="249"/>
      <c r="FI158" s="249"/>
      <c r="FL158" s="249"/>
      <c r="FO158" s="249"/>
      <c r="FR158" s="249"/>
      <c r="FU158" s="249"/>
      <c r="FX158" s="249"/>
      <c r="GA158" s="249"/>
      <c r="GD158" s="249"/>
      <c r="GG158" s="249"/>
      <c r="GJ158" s="249"/>
      <c r="GM158" s="249"/>
      <c r="GP158" s="249"/>
      <c r="GS158" s="249"/>
      <c r="GV158" s="249"/>
      <c r="GY158" s="249"/>
      <c r="HB158" s="249"/>
      <c r="HE158" s="249"/>
    </row>
    <row r="159" spans="1:213" x14ac:dyDescent="0.2">
      <c r="A159" s="262" t="s">
        <v>388</v>
      </c>
      <c r="B159" s="284">
        <v>350</v>
      </c>
      <c r="C159" s="262" t="s">
        <v>26</v>
      </c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W159" s="249"/>
      <c r="Z159" s="249"/>
      <c r="AC159" s="249"/>
      <c r="AD159" s="249"/>
      <c r="AE159" s="249"/>
      <c r="AF159" s="249"/>
      <c r="AG159" s="249"/>
      <c r="AJ159" s="249"/>
      <c r="AM159" s="249"/>
      <c r="AP159" s="249"/>
      <c r="AS159" s="249"/>
      <c r="AV159" s="249"/>
      <c r="AY159" s="249"/>
      <c r="BB159" s="249"/>
      <c r="BE159" s="249"/>
      <c r="BH159" s="249"/>
      <c r="BK159" s="249"/>
      <c r="BN159" s="249"/>
      <c r="BQ159" s="249"/>
      <c r="BT159" s="249"/>
      <c r="BW159" s="249"/>
      <c r="BZ159" s="249"/>
      <c r="CC159" s="249"/>
      <c r="CF159" s="249"/>
      <c r="CI159" s="249"/>
      <c r="CL159" s="249"/>
      <c r="CO159" s="249"/>
      <c r="CR159" s="249"/>
      <c r="CU159" s="249"/>
      <c r="CX159" s="249"/>
      <c r="DA159" s="249"/>
      <c r="DD159" s="249"/>
      <c r="DG159" s="249"/>
      <c r="DJ159" s="249"/>
      <c r="DM159" s="249"/>
      <c r="DP159" s="249"/>
      <c r="DS159" s="249"/>
      <c r="DV159" s="249"/>
      <c r="DY159" s="249"/>
      <c r="EB159" s="249"/>
      <c r="EE159" s="249"/>
      <c r="EH159" s="249"/>
      <c r="EK159" s="249"/>
      <c r="EN159" s="249"/>
      <c r="EQ159" s="249"/>
      <c r="ET159" s="249"/>
      <c r="EW159" s="249"/>
      <c r="EZ159" s="249"/>
      <c r="FC159" s="249"/>
      <c r="FF159" s="249"/>
      <c r="FI159" s="249"/>
      <c r="FL159" s="249"/>
      <c r="FO159" s="249"/>
      <c r="FR159" s="249"/>
      <c r="FU159" s="249"/>
      <c r="FX159" s="249"/>
      <c r="GA159" s="249"/>
      <c r="GD159" s="249"/>
      <c r="GG159" s="249"/>
      <c r="GJ159" s="249"/>
      <c r="GM159" s="249"/>
      <c r="GP159" s="249"/>
      <c r="GS159" s="249"/>
      <c r="GV159" s="249"/>
      <c r="GY159" s="249"/>
      <c r="HB159" s="249"/>
      <c r="HE159" s="249"/>
    </row>
    <row r="160" spans="1:213" x14ac:dyDescent="0.2">
      <c r="A160" s="262" t="s">
        <v>389</v>
      </c>
      <c r="B160" s="283">
        <v>24</v>
      </c>
      <c r="C160" s="263" t="s">
        <v>224</v>
      </c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W160" s="249"/>
      <c r="Z160" s="249"/>
      <c r="AC160" s="249"/>
      <c r="AD160" s="249"/>
      <c r="AE160" s="249"/>
      <c r="AF160" s="249"/>
      <c r="AG160" s="249"/>
      <c r="AJ160" s="249"/>
      <c r="AM160" s="249"/>
      <c r="AP160" s="249"/>
      <c r="AS160" s="249"/>
      <c r="AV160" s="249"/>
      <c r="AY160" s="249"/>
      <c r="BB160" s="249"/>
      <c r="BE160" s="249"/>
      <c r="BH160" s="249"/>
      <c r="BK160" s="249"/>
      <c r="BN160" s="249"/>
      <c r="BQ160" s="249"/>
      <c r="BT160" s="249"/>
      <c r="BW160" s="249"/>
      <c r="BZ160" s="249"/>
      <c r="CC160" s="249"/>
      <c r="CF160" s="249"/>
      <c r="CI160" s="249"/>
      <c r="CL160" s="249"/>
      <c r="CO160" s="249"/>
      <c r="CR160" s="249"/>
      <c r="CU160" s="249"/>
      <c r="CX160" s="249"/>
      <c r="DA160" s="249"/>
      <c r="DD160" s="249"/>
      <c r="DG160" s="249"/>
      <c r="DJ160" s="249"/>
      <c r="DM160" s="249"/>
      <c r="DP160" s="249"/>
      <c r="DS160" s="249"/>
      <c r="DV160" s="249"/>
      <c r="DY160" s="249"/>
      <c r="EB160" s="249"/>
      <c r="EE160" s="249"/>
      <c r="EH160" s="249"/>
      <c r="EK160" s="249"/>
      <c r="EN160" s="249"/>
      <c r="EQ160" s="249"/>
      <c r="ET160" s="249"/>
      <c r="EW160" s="249"/>
      <c r="EZ160" s="249"/>
      <c r="FC160" s="249"/>
      <c r="FF160" s="249"/>
      <c r="FI160" s="249"/>
      <c r="FL160" s="249"/>
      <c r="FO160" s="249"/>
      <c r="FR160" s="249"/>
      <c r="FU160" s="249"/>
      <c r="FX160" s="249"/>
      <c r="GA160" s="249"/>
      <c r="GD160" s="249"/>
      <c r="GG160" s="249"/>
      <c r="GJ160" s="249"/>
      <c r="GM160" s="249"/>
      <c r="GP160" s="249"/>
      <c r="GS160" s="249"/>
      <c r="GV160" s="249"/>
      <c r="GY160" s="249"/>
      <c r="HB160" s="249"/>
      <c r="HE160" s="249"/>
    </row>
    <row r="161" spans="1:213" x14ac:dyDescent="0.2">
      <c r="A161" s="262" t="s">
        <v>390</v>
      </c>
      <c r="B161" s="283">
        <v>24</v>
      </c>
      <c r="C161" s="263" t="s">
        <v>224</v>
      </c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W161" s="249"/>
      <c r="Z161" s="249"/>
      <c r="AC161" s="249"/>
      <c r="AD161" s="249"/>
      <c r="AE161" s="249"/>
      <c r="AF161" s="249"/>
      <c r="AG161" s="249"/>
      <c r="AJ161" s="249"/>
      <c r="AM161" s="249"/>
      <c r="AP161" s="249"/>
      <c r="AS161" s="249"/>
      <c r="AV161" s="249"/>
      <c r="AY161" s="249"/>
      <c r="BB161" s="249"/>
      <c r="BE161" s="249"/>
      <c r="BH161" s="249"/>
      <c r="BK161" s="249"/>
      <c r="BN161" s="249"/>
      <c r="BQ161" s="249"/>
      <c r="BT161" s="249"/>
      <c r="BW161" s="249"/>
      <c r="BZ161" s="249"/>
      <c r="CC161" s="249"/>
      <c r="CF161" s="249"/>
      <c r="CI161" s="249"/>
      <c r="CL161" s="249"/>
      <c r="CO161" s="249"/>
      <c r="CR161" s="249"/>
      <c r="CU161" s="249"/>
      <c r="CX161" s="249"/>
      <c r="DA161" s="249"/>
      <c r="DD161" s="249"/>
      <c r="DG161" s="249"/>
      <c r="DJ161" s="249"/>
      <c r="DM161" s="249"/>
      <c r="DP161" s="249"/>
      <c r="DS161" s="249"/>
      <c r="DV161" s="249"/>
      <c r="DY161" s="249"/>
      <c r="EB161" s="249"/>
      <c r="EE161" s="249"/>
      <c r="EH161" s="249"/>
      <c r="EK161" s="249"/>
      <c r="EN161" s="249"/>
      <c r="EQ161" s="249"/>
      <c r="ET161" s="249"/>
      <c r="EW161" s="249"/>
      <c r="EZ161" s="249"/>
      <c r="FC161" s="249"/>
      <c r="FF161" s="249"/>
      <c r="FI161" s="249"/>
      <c r="FL161" s="249"/>
      <c r="FO161" s="249"/>
      <c r="FR161" s="249"/>
      <c r="FU161" s="249"/>
      <c r="FX161" s="249"/>
      <c r="GA161" s="249"/>
      <c r="GD161" s="249"/>
      <c r="GG161" s="249"/>
      <c r="GJ161" s="249"/>
      <c r="GM161" s="249"/>
      <c r="GP161" s="249"/>
      <c r="GS161" s="249"/>
      <c r="GV161" s="249"/>
      <c r="GY161" s="249"/>
      <c r="HB161" s="249"/>
      <c r="HE161" s="249"/>
    </row>
    <row r="162" spans="1:213" x14ac:dyDescent="0.2">
      <c r="A162" s="262" t="s">
        <v>396</v>
      </c>
      <c r="B162" s="283">
        <v>24</v>
      </c>
      <c r="C162" s="263" t="s">
        <v>224</v>
      </c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W162" s="249"/>
      <c r="Z162" s="249"/>
      <c r="AC162" s="249"/>
      <c r="AD162" s="249"/>
      <c r="AE162" s="249"/>
      <c r="AF162" s="249"/>
      <c r="AG162" s="249"/>
      <c r="AJ162" s="249"/>
      <c r="AM162" s="249"/>
      <c r="AP162" s="249"/>
      <c r="AS162" s="249"/>
      <c r="AV162" s="249"/>
      <c r="AY162" s="249"/>
      <c r="BB162" s="249"/>
      <c r="BE162" s="249"/>
      <c r="BH162" s="249"/>
      <c r="BK162" s="249"/>
      <c r="BN162" s="249"/>
      <c r="BQ162" s="249"/>
      <c r="BT162" s="249"/>
      <c r="BW162" s="249"/>
      <c r="BZ162" s="249"/>
      <c r="CC162" s="249"/>
      <c r="CF162" s="249"/>
      <c r="CI162" s="249"/>
      <c r="CL162" s="249"/>
      <c r="CO162" s="249"/>
      <c r="CR162" s="249"/>
      <c r="CU162" s="249"/>
      <c r="CX162" s="249"/>
      <c r="DA162" s="249"/>
      <c r="DD162" s="249"/>
      <c r="DG162" s="249"/>
      <c r="DJ162" s="249"/>
      <c r="DM162" s="249"/>
      <c r="DP162" s="249"/>
      <c r="DS162" s="249"/>
      <c r="DV162" s="249"/>
      <c r="DY162" s="249"/>
      <c r="EB162" s="249"/>
      <c r="EE162" s="249"/>
      <c r="EH162" s="249"/>
      <c r="EK162" s="249"/>
      <c r="EN162" s="249"/>
      <c r="EQ162" s="249"/>
      <c r="ET162" s="249"/>
      <c r="EW162" s="249"/>
      <c r="EZ162" s="249"/>
      <c r="FC162" s="249"/>
      <c r="FF162" s="249"/>
      <c r="FI162" s="249"/>
      <c r="FL162" s="249"/>
      <c r="FO162" s="249"/>
      <c r="FR162" s="249"/>
      <c r="FU162" s="249"/>
      <c r="FX162" s="249"/>
      <c r="GA162" s="249"/>
      <c r="GD162" s="249"/>
      <c r="GG162" s="249"/>
      <c r="GJ162" s="249"/>
      <c r="GM162" s="249"/>
      <c r="GP162" s="249"/>
      <c r="GS162" s="249"/>
      <c r="GV162" s="249"/>
      <c r="GY162" s="249"/>
      <c r="HB162" s="249"/>
      <c r="HE162" s="249"/>
    </row>
    <row r="163" spans="1:213" x14ac:dyDescent="0.2">
      <c r="A163" s="249" t="s">
        <v>393</v>
      </c>
      <c r="B163" s="283">
        <v>0.54</v>
      </c>
      <c r="C163" s="267" t="s">
        <v>395</v>
      </c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W163" s="249"/>
      <c r="Z163" s="249"/>
      <c r="AC163" s="249"/>
      <c r="AD163" s="249"/>
      <c r="AE163" s="249"/>
      <c r="AF163" s="249"/>
      <c r="AG163" s="249"/>
      <c r="AJ163" s="249"/>
      <c r="AM163" s="249"/>
      <c r="AP163" s="249"/>
      <c r="AS163" s="249"/>
      <c r="AV163" s="249"/>
      <c r="AY163" s="249"/>
      <c r="BB163" s="249"/>
      <c r="BE163" s="249"/>
      <c r="BH163" s="249"/>
      <c r="BK163" s="249"/>
      <c r="BN163" s="249"/>
      <c r="BQ163" s="249"/>
      <c r="BT163" s="249"/>
      <c r="BW163" s="249"/>
      <c r="BZ163" s="249"/>
      <c r="CC163" s="249"/>
      <c r="CF163" s="249"/>
      <c r="CI163" s="249"/>
      <c r="CL163" s="249"/>
      <c r="CO163" s="249"/>
      <c r="CR163" s="249"/>
      <c r="CU163" s="249"/>
      <c r="CX163" s="249"/>
      <c r="DA163" s="249"/>
      <c r="DD163" s="249"/>
      <c r="DG163" s="249"/>
      <c r="DJ163" s="249"/>
      <c r="DM163" s="249"/>
      <c r="DP163" s="249"/>
      <c r="DS163" s="249"/>
      <c r="DV163" s="249"/>
      <c r="DY163" s="249"/>
      <c r="EB163" s="249"/>
      <c r="EE163" s="249"/>
      <c r="EH163" s="249"/>
      <c r="EK163" s="249"/>
      <c r="EN163" s="249"/>
      <c r="EQ163" s="249"/>
      <c r="ET163" s="249"/>
      <c r="EW163" s="249"/>
      <c r="EZ163" s="249"/>
      <c r="FC163" s="249"/>
      <c r="FF163" s="249"/>
      <c r="FI163" s="249"/>
      <c r="FL163" s="249"/>
      <c r="FO163" s="249"/>
      <c r="FR163" s="249"/>
      <c r="FU163" s="249"/>
      <c r="FX163" s="249"/>
      <c r="GA163" s="249"/>
      <c r="GD163" s="249"/>
      <c r="GG163" s="249"/>
      <c r="GJ163" s="249"/>
      <c r="GM163" s="249"/>
      <c r="GP163" s="249"/>
      <c r="GS163" s="249"/>
      <c r="GV163" s="249"/>
      <c r="GY163" s="249"/>
      <c r="HB163" s="249"/>
      <c r="HE163" s="249"/>
    </row>
    <row r="164" spans="1:213" x14ac:dyDescent="0.2">
      <c r="A164" s="249" t="s">
        <v>394</v>
      </c>
      <c r="B164" s="283">
        <v>0.71</v>
      </c>
      <c r="C164" s="267" t="s">
        <v>395</v>
      </c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W164" s="249"/>
      <c r="Z164" s="249"/>
      <c r="AC164" s="249"/>
      <c r="AD164" s="249"/>
      <c r="AE164" s="249"/>
      <c r="AF164" s="249"/>
      <c r="AG164" s="249"/>
      <c r="AJ164" s="249"/>
      <c r="AM164" s="249"/>
      <c r="AP164" s="249"/>
      <c r="AS164" s="249"/>
      <c r="AV164" s="249"/>
      <c r="AY164" s="249"/>
      <c r="BB164" s="249"/>
      <c r="BE164" s="249"/>
      <c r="BH164" s="249"/>
      <c r="BK164" s="249"/>
      <c r="BN164" s="249"/>
      <c r="BQ164" s="249"/>
      <c r="BT164" s="249"/>
      <c r="BW164" s="249"/>
      <c r="BZ164" s="249"/>
      <c r="CC164" s="249"/>
      <c r="CF164" s="249"/>
      <c r="CI164" s="249"/>
      <c r="CL164" s="249"/>
      <c r="CO164" s="249"/>
      <c r="CR164" s="249"/>
      <c r="CU164" s="249"/>
      <c r="CX164" s="249"/>
      <c r="DA164" s="249"/>
      <c r="DD164" s="249"/>
      <c r="DG164" s="249"/>
      <c r="DJ164" s="249"/>
      <c r="DM164" s="249"/>
      <c r="DP164" s="249"/>
      <c r="DS164" s="249"/>
      <c r="DV164" s="249"/>
      <c r="DY164" s="249"/>
      <c r="EB164" s="249"/>
      <c r="EE164" s="249"/>
      <c r="EH164" s="249"/>
      <c r="EK164" s="249"/>
      <c r="EN164" s="249"/>
      <c r="EQ164" s="249"/>
      <c r="ET164" s="249"/>
      <c r="EW164" s="249"/>
      <c r="EZ164" s="249"/>
      <c r="FC164" s="249"/>
      <c r="FF164" s="249"/>
      <c r="FI164" s="249"/>
      <c r="FL164" s="249"/>
      <c r="FO164" s="249"/>
      <c r="FR164" s="249"/>
      <c r="FU164" s="249"/>
      <c r="FX164" s="249"/>
      <c r="GA164" s="249"/>
      <c r="GD164" s="249"/>
      <c r="GG164" s="249"/>
      <c r="GJ164" s="249"/>
      <c r="GM164" s="249"/>
      <c r="GP164" s="249"/>
      <c r="GS164" s="249"/>
      <c r="GV164" s="249"/>
      <c r="GY164" s="249"/>
      <c r="HB164" s="249"/>
      <c r="HE164" s="249"/>
    </row>
    <row r="165" spans="1:213" x14ac:dyDescent="0.2">
      <c r="A165" s="262" t="s">
        <v>391</v>
      </c>
      <c r="B165" s="283">
        <v>12.167999999999999</v>
      </c>
      <c r="C165" s="263" t="s">
        <v>224</v>
      </c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W165" s="249"/>
      <c r="Z165" s="249"/>
      <c r="AC165" s="249"/>
      <c r="AD165" s="249"/>
      <c r="AE165" s="249"/>
      <c r="AF165" s="249"/>
      <c r="AG165" s="249"/>
      <c r="AJ165" s="249"/>
      <c r="AM165" s="249"/>
      <c r="AP165" s="249"/>
      <c r="AS165" s="249"/>
      <c r="AV165" s="249"/>
      <c r="AY165" s="249"/>
      <c r="BB165" s="249"/>
      <c r="BE165" s="249"/>
      <c r="BH165" s="249"/>
      <c r="BK165" s="249"/>
      <c r="BN165" s="249"/>
      <c r="BQ165" s="249"/>
      <c r="BT165" s="249"/>
      <c r="BW165" s="249"/>
      <c r="BZ165" s="249"/>
      <c r="CC165" s="249"/>
      <c r="CF165" s="249"/>
      <c r="CI165" s="249"/>
      <c r="CL165" s="249"/>
      <c r="CO165" s="249"/>
      <c r="CR165" s="249"/>
      <c r="CU165" s="249"/>
      <c r="CX165" s="249"/>
      <c r="DA165" s="249"/>
      <c r="DD165" s="249"/>
      <c r="DG165" s="249"/>
      <c r="DJ165" s="249"/>
      <c r="DM165" s="249"/>
      <c r="DP165" s="249"/>
      <c r="DS165" s="249"/>
      <c r="DV165" s="249"/>
      <c r="DY165" s="249"/>
      <c r="EB165" s="249"/>
      <c r="EE165" s="249"/>
      <c r="EH165" s="249"/>
      <c r="EK165" s="249"/>
      <c r="EN165" s="249"/>
      <c r="EQ165" s="249"/>
      <c r="ET165" s="249"/>
      <c r="EW165" s="249"/>
      <c r="EZ165" s="249"/>
      <c r="FC165" s="249"/>
      <c r="FF165" s="249"/>
      <c r="FI165" s="249"/>
      <c r="FL165" s="249"/>
      <c r="FO165" s="249"/>
      <c r="FR165" s="249"/>
      <c r="FU165" s="249"/>
      <c r="FX165" s="249"/>
      <c r="GA165" s="249"/>
      <c r="GD165" s="249"/>
      <c r="GG165" s="249"/>
      <c r="GJ165" s="249"/>
      <c r="GM165" s="249"/>
      <c r="GP165" s="249"/>
      <c r="GS165" s="249"/>
      <c r="GV165" s="249"/>
      <c r="GY165" s="249"/>
      <c r="HB165" s="249"/>
      <c r="HE165" s="249"/>
    </row>
    <row r="166" spans="1:213" x14ac:dyDescent="0.2">
      <c r="A166" s="262" t="s">
        <v>392</v>
      </c>
      <c r="B166" s="283">
        <v>10.007999999999999</v>
      </c>
      <c r="C166" s="263" t="s">
        <v>224</v>
      </c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W166" s="249"/>
      <c r="Z166" s="249"/>
      <c r="AC166" s="249"/>
      <c r="AD166" s="249"/>
      <c r="AE166" s="249"/>
      <c r="AF166" s="249"/>
      <c r="AG166" s="249"/>
      <c r="AJ166" s="249"/>
      <c r="AM166" s="249"/>
      <c r="AP166" s="249"/>
      <c r="AS166" s="249"/>
      <c r="AV166" s="249"/>
      <c r="AY166" s="249"/>
      <c r="BB166" s="249"/>
      <c r="BE166" s="249"/>
      <c r="BH166" s="249"/>
      <c r="BK166" s="249"/>
      <c r="BN166" s="249"/>
      <c r="BQ166" s="249"/>
      <c r="BT166" s="249"/>
      <c r="BW166" s="249"/>
      <c r="BZ166" s="249"/>
      <c r="CC166" s="249"/>
      <c r="CF166" s="249"/>
      <c r="CI166" s="249"/>
      <c r="CL166" s="249"/>
      <c r="CO166" s="249"/>
      <c r="CR166" s="249"/>
      <c r="CU166" s="249"/>
      <c r="CX166" s="249"/>
      <c r="DA166" s="249"/>
      <c r="DD166" s="249"/>
      <c r="DG166" s="249"/>
      <c r="DJ166" s="249"/>
      <c r="DM166" s="249"/>
      <c r="DP166" s="249"/>
      <c r="DS166" s="249"/>
      <c r="DV166" s="249"/>
      <c r="DY166" s="249"/>
      <c r="EB166" s="249"/>
      <c r="EE166" s="249"/>
      <c r="EH166" s="249"/>
      <c r="EK166" s="249"/>
      <c r="EN166" s="249"/>
      <c r="EQ166" s="249"/>
      <c r="ET166" s="249"/>
      <c r="EW166" s="249"/>
      <c r="EZ166" s="249"/>
      <c r="FC166" s="249"/>
      <c r="FF166" s="249"/>
      <c r="FI166" s="249"/>
      <c r="FL166" s="249"/>
      <c r="FO166" s="249"/>
      <c r="FR166" s="249"/>
      <c r="FU166" s="249"/>
      <c r="FX166" s="249"/>
      <c r="GA166" s="249"/>
      <c r="GD166" s="249"/>
      <c r="GG166" s="249"/>
      <c r="GJ166" s="249"/>
      <c r="GM166" s="249"/>
      <c r="GP166" s="249"/>
      <c r="GS166" s="249"/>
      <c r="GV166" s="249"/>
      <c r="GY166" s="249"/>
      <c r="HB166" s="249"/>
      <c r="HE166" s="249"/>
    </row>
    <row r="167" spans="1:213" x14ac:dyDescent="0.2">
      <c r="A167" s="262" t="s">
        <v>397</v>
      </c>
      <c r="B167" s="283">
        <v>1</v>
      </c>
      <c r="C167" s="267" t="s">
        <v>166</v>
      </c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W167" s="249"/>
      <c r="Z167" s="249"/>
      <c r="AC167" s="249"/>
      <c r="AD167" s="249"/>
      <c r="AE167" s="249"/>
      <c r="AF167" s="249"/>
      <c r="AG167" s="249"/>
      <c r="AJ167" s="249"/>
      <c r="AM167" s="249"/>
      <c r="AP167" s="249"/>
      <c r="AS167" s="249"/>
      <c r="AV167" s="249"/>
      <c r="AY167" s="249"/>
      <c r="BB167" s="249"/>
      <c r="BE167" s="249"/>
      <c r="BH167" s="249"/>
      <c r="BK167" s="249"/>
      <c r="BN167" s="249"/>
      <c r="BQ167" s="249"/>
      <c r="BT167" s="249"/>
      <c r="BW167" s="249"/>
      <c r="BZ167" s="249"/>
      <c r="CC167" s="249"/>
      <c r="CF167" s="249"/>
      <c r="CI167" s="249"/>
      <c r="CL167" s="249"/>
      <c r="CO167" s="249"/>
      <c r="CR167" s="249"/>
      <c r="CU167" s="249"/>
      <c r="CX167" s="249"/>
      <c r="DA167" s="249"/>
      <c r="DD167" s="249"/>
      <c r="DG167" s="249"/>
      <c r="DJ167" s="249"/>
      <c r="DM167" s="249"/>
      <c r="DP167" s="249"/>
      <c r="DS167" s="249"/>
      <c r="DV167" s="249"/>
      <c r="DY167" s="249"/>
      <c r="EB167" s="249"/>
      <c r="EE167" s="249"/>
      <c r="EH167" s="249"/>
      <c r="EK167" s="249"/>
      <c r="EN167" s="249"/>
      <c r="EQ167" s="249"/>
      <c r="ET167" s="249"/>
      <c r="EW167" s="249"/>
      <c r="EZ167" s="249"/>
      <c r="FC167" s="249"/>
      <c r="FF167" s="249"/>
      <c r="FI167" s="249"/>
      <c r="FL167" s="249"/>
      <c r="FO167" s="249"/>
      <c r="FR167" s="249"/>
      <c r="FU167" s="249"/>
      <c r="FX167" s="249"/>
      <c r="GA167" s="249"/>
      <c r="GD167" s="249"/>
      <c r="GG167" s="249"/>
      <c r="GJ167" s="249"/>
      <c r="GM167" s="249"/>
      <c r="GP167" s="249"/>
      <c r="GS167" s="249"/>
      <c r="GV167" s="249"/>
      <c r="GY167" s="249"/>
      <c r="HB167" s="249"/>
      <c r="HE167" s="249"/>
    </row>
    <row r="168" spans="1:213" x14ac:dyDescent="0.2">
      <c r="A168" s="262" t="s">
        <v>398</v>
      </c>
      <c r="B168" s="283">
        <v>1</v>
      </c>
      <c r="C168" s="267" t="s">
        <v>166</v>
      </c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W168" s="249"/>
      <c r="Z168" s="249"/>
      <c r="AC168" s="249"/>
      <c r="AD168" s="249"/>
      <c r="AE168" s="249"/>
      <c r="AF168" s="249"/>
      <c r="AG168" s="249"/>
      <c r="AJ168" s="249"/>
      <c r="AM168" s="249"/>
      <c r="AP168" s="249"/>
      <c r="AS168" s="249"/>
      <c r="AV168" s="249"/>
      <c r="AY168" s="249"/>
      <c r="BB168" s="249"/>
      <c r="BE168" s="249"/>
      <c r="BH168" s="249"/>
      <c r="BK168" s="249"/>
      <c r="BN168" s="249"/>
      <c r="BQ168" s="249"/>
      <c r="BT168" s="249"/>
      <c r="BW168" s="249"/>
      <c r="BZ168" s="249"/>
      <c r="CC168" s="249"/>
      <c r="CF168" s="249"/>
      <c r="CI168" s="249"/>
      <c r="CL168" s="249"/>
      <c r="CO168" s="249"/>
      <c r="CR168" s="249"/>
      <c r="CU168" s="249"/>
      <c r="CX168" s="249"/>
      <c r="DA168" s="249"/>
      <c r="DD168" s="249"/>
      <c r="DG168" s="249"/>
      <c r="DJ168" s="249"/>
      <c r="DM168" s="249"/>
      <c r="DP168" s="249"/>
      <c r="DS168" s="249"/>
      <c r="DV168" s="249"/>
      <c r="DY168" s="249"/>
      <c r="EB168" s="249"/>
      <c r="EE168" s="249"/>
      <c r="EH168" s="249"/>
      <c r="EK168" s="249"/>
      <c r="EN168" s="249"/>
      <c r="EQ168" s="249"/>
      <c r="ET168" s="249"/>
      <c r="EW168" s="249"/>
      <c r="EZ168" s="249"/>
      <c r="FC168" s="249"/>
      <c r="FF168" s="249"/>
      <c r="FI168" s="249"/>
      <c r="FL168" s="249"/>
      <c r="FO168" s="249"/>
      <c r="FR168" s="249"/>
      <c r="FU168" s="249"/>
      <c r="FX168" s="249"/>
      <c r="GA168" s="249"/>
      <c r="GD168" s="249"/>
      <c r="GG168" s="249"/>
      <c r="GJ168" s="249"/>
      <c r="GM168" s="249"/>
      <c r="GP168" s="249"/>
      <c r="GS168" s="249"/>
      <c r="GV168" s="249"/>
      <c r="GY168" s="249"/>
      <c r="HB168" s="249"/>
      <c r="HE168" s="249"/>
    </row>
    <row r="169" spans="1:213" x14ac:dyDescent="0.2">
      <c r="A169" s="262" t="s">
        <v>103</v>
      </c>
      <c r="B169" s="283">
        <v>0.4</v>
      </c>
      <c r="C169" s="247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W169" s="249"/>
      <c r="Z169" s="249"/>
      <c r="AC169" s="249"/>
      <c r="AD169" s="249"/>
      <c r="AE169" s="249"/>
      <c r="AF169" s="249"/>
      <c r="AG169" s="249"/>
      <c r="AJ169" s="249"/>
      <c r="AM169" s="249"/>
      <c r="AP169" s="249"/>
      <c r="AS169" s="249"/>
      <c r="AV169" s="249"/>
      <c r="AY169" s="249"/>
      <c r="BB169" s="249"/>
      <c r="BE169" s="249"/>
      <c r="BH169" s="249"/>
      <c r="BK169" s="249"/>
      <c r="BN169" s="249"/>
      <c r="BQ169" s="249"/>
      <c r="BT169" s="249"/>
      <c r="BW169" s="249"/>
      <c r="BZ169" s="249"/>
      <c r="CC169" s="249"/>
      <c r="CF169" s="249"/>
      <c r="CI169" s="249"/>
      <c r="CL169" s="249"/>
      <c r="CO169" s="249"/>
      <c r="CR169" s="249"/>
      <c r="CU169" s="249"/>
      <c r="CX169" s="249"/>
      <c r="DA169" s="249"/>
      <c r="DD169" s="249"/>
      <c r="DG169" s="249"/>
      <c r="DJ169" s="249"/>
      <c r="DM169" s="249"/>
      <c r="DP169" s="249"/>
      <c r="DS169" s="249"/>
      <c r="DV169" s="249"/>
      <c r="DY169" s="249"/>
      <c r="EB169" s="249"/>
      <c r="EE169" s="249"/>
      <c r="EH169" s="249"/>
      <c r="EK169" s="249"/>
      <c r="EN169" s="249"/>
      <c r="EQ169" s="249"/>
      <c r="ET169" s="249"/>
      <c r="EW169" s="249"/>
      <c r="EZ169" s="249"/>
      <c r="FC169" s="249"/>
      <c r="FF169" s="249"/>
      <c r="FI169" s="249"/>
      <c r="FL169" s="249"/>
      <c r="FO169" s="249"/>
      <c r="FR169" s="249"/>
      <c r="FU169" s="249"/>
      <c r="FX169" s="249"/>
      <c r="GA169" s="249"/>
      <c r="GD169" s="249"/>
      <c r="GG169" s="249"/>
      <c r="GJ169" s="249"/>
      <c r="GM169" s="249"/>
      <c r="GP169" s="249"/>
      <c r="GS169" s="249"/>
      <c r="GV169" s="249"/>
      <c r="GY169" s="249"/>
      <c r="HB169" s="249"/>
      <c r="HE169" s="249"/>
    </row>
    <row r="170" spans="1:213" x14ac:dyDescent="0.2">
      <c r="A170" s="262" t="s">
        <v>158</v>
      </c>
      <c r="B170" s="283">
        <v>0.4</v>
      </c>
      <c r="C170" s="247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W170" s="249"/>
      <c r="Z170" s="249"/>
      <c r="AC170" s="249"/>
      <c r="AD170" s="249"/>
      <c r="AE170" s="249"/>
      <c r="AF170" s="249"/>
      <c r="AG170" s="249"/>
      <c r="AJ170" s="249"/>
      <c r="AM170" s="249"/>
      <c r="AP170" s="249"/>
      <c r="AS170" s="249"/>
      <c r="AV170" s="249"/>
      <c r="AY170" s="249"/>
      <c r="BB170" s="249"/>
      <c r="BE170" s="249"/>
      <c r="BH170" s="249"/>
      <c r="BK170" s="249"/>
      <c r="BN170" s="249"/>
      <c r="BQ170" s="249"/>
      <c r="BT170" s="249"/>
      <c r="BW170" s="249"/>
      <c r="BZ170" s="249"/>
      <c r="CC170" s="249"/>
      <c r="CF170" s="249"/>
      <c r="CI170" s="249"/>
      <c r="CL170" s="249"/>
      <c r="CO170" s="249"/>
      <c r="CR170" s="249"/>
      <c r="CU170" s="249"/>
      <c r="CX170" s="249"/>
      <c r="DA170" s="249"/>
      <c r="DD170" s="249"/>
      <c r="DG170" s="249"/>
      <c r="DJ170" s="249"/>
      <c r="DM170" s="249"/>
      <c r="DP170" s="249"/>
      <c r="DS170" s="249"/>
      <c r="DV170" s="249"/>
      <c r="DY170" s="249"/>
      <c r="EB170" s="249"/>
      <c r="EE170" s="249"/>
      <c r="EH170" s="249"/>
      <c r="EK170" s="249"/>
      <c r="EN170" s="249"/>
      <c r="EQ170" s="249"/>
      <c r="ET170" s="249"/>
      <c r="EW170" s="249"/>
      <c r="EZ170" s="249"/>
      <c r="FC170" s="249"/>
      <c r="FF170" s="249"/>
      <c r="FI170" s="249"/>
      <c r="FL170" s="249"/>
      <c r="FO170" s="249"/>
      <c r="FR170" s="249"/>
      <c r="FU170" s="249"/>
      <c r="FX170" s="249"/>
      <c r="GA170" s="249"/>
      <c r="GD170" s="249"/>
      <c r="GG170" s="249"/>
      <c r="GJ170" s="249"/>
      <c r="GM170" s="249"/>
      <c r="GP170" s="249"/>
      <c r="GS170" s="249"/>
      <c r="GV170" s="249"/>
      <c r="GY170" s="249"/>
      <c r="HB170" s="249"/>
      <c r="HE170" s="249"/>
    </row>
    <row r="171" spans="1:213" x14ac:dyDescent="0.2">
      <c r="A171" s="262" t="s">
        <v>159</v>
      </c>
      <c r="B171" s="283">
        <v>1</v>
      </c>
      <c r="C171" s="247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W171" s="249"/>
      <c r="Z171" s="249"/>
      <c r="AC171" s="249"/>
      <c r="AD171" s="249"/>
      <c r="AE171" s="249"/>
      <c r="AF171" s="249"/>
      <c r="AG171" s="249"/>
      <c r="AJ171" s="249"/>
      <c r="AM171" s="249"/>
      <c r="AP171" s="249"/>
      <c r="AS171" s="249"/>
      <c r="AV171" s="249"/>
      <c r="AY171" s="249"/>
      <c r="BB171" s="249"/>
      <c r="BE171" s="249"/>
      <c r="BH171" s="249"/>
      <c r="BK171" s="249"/>
      <c r="BN171" s="249"/>
      <c r="BQ171" s="249"/>
      <c r="BT171" s="249"/>
      <c r="BW171" s="249"/>
      <c r="BZ171" s="249"/>
      <c r="CC171" s="249"/>
      <c r="CF171" s="249"/>
      <c r="CI171" s="249"/>
      <c r="CL171" s="249"/>
      <c r="CO171" s="249"/>
      <c r="CR171" s="249"/>
      <c r="CU171" s="249"/>
      <c r="CX171" s="249"/>
      <c r="DA171" s="249"/>
      <c r="DD171" s="249"/>
      <c r="DG171" s="249"/>
      <c r="DJ171" s="249"/>
      <c r="DM171" s="249"/>
      <c r="DP171" s="249"/>
      <c r="DS171" s="249"/>
      <c r="DV171" s="249"/>
      <c r="DY171" s="249"/>
      <c r="EB171" s="249"/>
      <c r="EE171" s="249"/>
      <c r="EH171" s="249"/>
      <c r="EK171" s="249"/>
      <c r="EN171" s="249"/>
      <c r="EQ171" s="249"/>
      <c r="ET171" s="249"/>
      <c r="EW171" s="249"/>
      <c r="EZ171" s="249"/>
      <c r="FC171" s="249"/>
      <c r="FF171" s="249"/>
      <c r="FI171" s="249"/>
      <c r="FL171" s="249"/>
      <c r="FO171" s="249"/>
      <c r="FR171" s="249"/>
      <c r="FU171" s="249"/>
      <c r="FX171" s="249"/>
      <c r="GA171" s="249"/>
      <c r="GD171" s="249"/>
      <c r="GG171" s="249"/>
      <c r="GJ171" s="249"/>
      <c r="GM171" s="249"/>
      <c r="GP171" s="249"/>
      <c r="GS171" s="249"/>
      <c r="GV171" s="249"/>
      <c r="GY171" s="249"/>
      <c r="HB171" s="249"/>
      <c r="HE171" s="249"/>
    </row>
    <row r="172" spans="1:213" x14ac:dyDescent="0.2">
      <c r="A172" s="262" t="s">
        <v>62</v>
      </c>
      <c r="B172" s="283">
        <v>1</v>
      </c>
      <c r="C172" s="247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W172" s="249"/>
      <c r="Z172" s="249"/>
      <c r="AC172" s="249"/>
      <c r="AD172" s="249"/>
      <c r="AE172" s="249"/>
      <c r="AF172" s="249"/>
      <c r="AG172" s="249"/>
      <c r="AJ172" s="249"/>
      <c r="AM172" s="249"/>
      <c r="AP172" s="249"/>
      <c r="AS172" s="249"/>
      <c r="AV172" s="249"/>
      <c r="AY172" s="249"/>
      <c r="BB172" s="249"/>
      <c r="BE172" s="249"/>
      <c r="BH172" s="249"/>
      <c r="BK172" s="249"/>
      <c r="BN172" s="249"/>
      <c r="BQ172" s="249"/>
      <c r="BT172" s="249"/>
      <c r="BW172" s="249"/>
      <c r="BZ172" s="249"/>
      <c r="CC172" s="249"/>
      <c r="CF172" s="249"/>
      <c r="CI172" s="249"/>
      <c r="CL172" s="249"/>
      <c r="CO172" s="249"/>
      <c r="CR172" s="249"/>
      <c r="CU172" s="249"/>
      <c r="CX172" s="249"/>
      <c r="DA172" s="249"/>
      <c r="DD172" s="249"/>
      <c r="DG172" s="249"/>
      <c r="DJ172" s="249"/>
      <c r="DM172" s="249"/>
      <c r="DP172" s="249"/>
      <c r="DS172" s="249"/>
      <c r="DV172" s="249"/>
      <c r="DY172" s="249"/>
      <c r="EB172" s="249"/>
      <c r="EE172" s="249"/>
      <c r="EH172" s="249"/>
      <c r="EK172" s="249"/>
      <c r="EN172" s="249"/>
      <c r="EQ172" s="249"/>
      <c r="ET172" s="249"/>
      <c r="EW172" s="249"/>
      <c r="EZ172" s="249"/>
      <c r="FC172" s="249"/>
      <c r="FF172" s="249"/>
      <c r="FI172" s="249"/>
      <c r="FL172" s="249"/>
      <c r="FO172" s="249"/>
      <c r="FR172" s="249"/>
      <c r="FU172" s="249"/>
      <c r="FX172" s="249"/>
      <c r="GA172" s="249"/>
      <c r="GD172" s="249"/>
      <c r="GG172" s="249"/>
      <c r="GJ172" s="249"/>
      <c r="GM172" s="249"/>
      <c r="GP172" s="249"/>
      <c r="GS172" s="249"/>
      <c r="GV172" s="249"/>
      <c r="GY172" s="249"/>
      <c r="HB172" s="249"/>
      <c r="HE172" s="249"/>
    </row>
    <row r="173" spans="1:213" x14ac:dyDescent="0.2">
      <c r="A173" s="262" t="s">
        <v>255</v>
      </c>
      <c r="B173" s="284">
        <v>1</v>
      </c>
      <c r="C173" s="247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W173" s="249"/>
      <c r="Z173" s="249"/>
      <c r="AC173" s="249"/>
      <c r="AD173" s="249"/>
      <c r="AE173" s="249"/>
      <c r="AF173" s="249"/>
      <c r="AG173" s="249"/>
      <c r="AJ173" s="249"/>
      <c r="AM173" s="249"/>
      <c r="AP173" s="249"/>
      <c r="AS173" s="249"/>
      <c r="AV173" s="249"/>
      <c r="AY173" s="249"/>
      <c r="BB173" s="249"/>
      <c r="BE173" s="249"/>
      <c r="BH173" s="249"/>
      <c r="BK173" s="249"/>
      <c r="BN173" s="249"/>
      <c r="BQ173" s="249"/>
      <c r="BT173" s="249"/>
      <c r="BW173" s="249"/>
      <c r="BZ173" s="249"/>
      <c r="CC173" s="249"/>
      <c r="CF173" s="249"/>
      <c r="CI173" s="249"/>
      <c r="CL173" s="249"/>
      <c r="CO173" s="249"/>
      <c r="CR173" s="249"/>
      <c r="CU173" s="249"/>
      <c r="CX173" s="249"/>
      <c r="DA173" s="249"/>
      <c r="DD173" s="249"/>
      <c r="DG173" s="249"/>
      <c r="DJ173" s="249"/>
      <c r="DM173" s="249"/>
      <c r="DP173" s="249"/>
      <c r="DS173" s="249"/>
      <c r="DV173" s="249"/>
      <c r="DY173" s="249"/>
      <c r="EB173" s="249"/>
      <c r="EE173" s="249"/>
      <c r="EH173" s="249"/>
      <c r="EK173" s="249"/>
      <c r="EN173" s="249"/>
      <c r="EQ173" s="249"/>
      <c r="ET173" s="249"/>
      <c r="EW173" s="249"/>
      <c r="EZ173" s="249"/>
      <c r="FC173" s="249"/>
      <c r="FF173" s="249"/>
      <c r="FI173" s="249"/>
      <c r="FL173" s="249"/>
      <c r="FO173" s="249"/>
      <c r="FR173" s="249"/>
      <c r="FU173" s="249"/>
      <c r="FX173" s="249"/>
      <c r="GA173" s="249"/>
      <c r="GD173" s="249"/>
      <c r="GG173" s="249"/>
      <c r="GJ173" s="249"/>
      <c r="GM173" s="249"/>
      <c r="GP173" s="249"/>
      <c r="GS173" s="249"/>
      <c r="GV173" s="249"/>
      <c r="GY173" s="249"/>
      <c r="HB173" s="249"/>
      <c r="HE173" s="249"/>
    </row>
    <row r="174" spans="1:213" x14ac:dyDescent="0.2">
      <c r="A174" s="267" t="s">
        <v>399</v>
      </c>
      <c r="B174" s="283">
        <v>1</v>
      </c>
      <c r="C174" s="247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W174" s="249"/>
      <c r="Z174" s="249"/>
      <c r="AC174" s="249"/>
      <c r="AD174" s="249"/>
      <c r="AE174" s="249"/>
      <c r="AF174" s="249"/>
      <c r="AG174" s="249"/>
      <c r="AJ174" s="249"/>
      <c r="AM174" s="249"/>
      <c r="AP174" s="249"/>
      <c r="AS174" s="249"/>
      <c r="AV174" s="249"/>
      <c r="AY174" s="249"/>
      <c r="BB174" s="249"/>
      <c r="BE174" s="249"/>
      <c r="BH174" s="249"/>
      <c r="BK174" s="249"/>
      <c r="BN174" s="249"/>
      <c r="BQ174" s="249"/>
      <c r="BT174" s="249"/>
      <c r="BW174" s="249"/>
      <c r="BZ174" s="249"/>
      <c r="CC174" s="249"/>
      <c r="CF174" s="249"/>
      <c r="CI174" s="249"/>
      <c r="CL174" s="249"/>
      <c r="CO174" s="249"/>
      <c r="CR174" s="249"/>
      <c r="CU174" s="249"/>
      <c r="CX174" s="249"/>
      <c r="DA174" s="249"/>
      <c r="DD174" s="249"/>
      <c r="DG174" s="249"/>
      <c r="DJ174" s="249"/>
      <c r="DM174" s="249"/>
      <c r="DP174" s="249"/>
      <c r="DS174" s="249"/>
      <c r="DV174" s="249"/>
      <c r="DY174" s="249"/>
      <c r="EB174" s="249"/>
      <c r="EE174" s="249"/>
      <c r="EH174" s="249"/>
      <c r="EK174" s="249"/>
      <c r="EN174" s="249"/>
      <c r="EQ174" s="249"/>
      <c r="ET174" s="249"/>
      <c r="EW174" s="249"/>
      <c r="EZ174" s="249"/>
      <c r="FC174" s="249"/>
      <c r="FF174" s="249"/>
      <c r="FI174" s="249"/>
      <c r="FL174" s="249"/>
      <c r="FO174" s="249"/>
      <c r="FR174" s="249"/>
      <c r="FU174" s="249"/>
      <c r="FX174" s="249"/>
      <c r="GA174" s="249"/>
      <c r="GD174" s="249"/>
      <c r="GG174" s="249"/>
      <c r="GJ174" s="249"/>
      <c r="GM174" s="249"/>
      <c r="GP174" s="249"/>
      <c r="GS174" s="249"/>
      <c r="GV174" s="249"/>
      <c r="GY174" s="249"/>
      <c r="HB174" s="249"/>
      <c r="HE174" s="249"/>
    </row>
    <row r="175" spans="1:213" x14ac:dyDescent="0.2">
      <c r="A175" s="267" t="s">
        <v>400</v>
      </c>
      <c r="B175" s="283">
        <v>1</v>
      </c>
      <c r="C175" s="247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W175" s="249"/>
      <c r="Z175" s="249"/>
      <c r="AC175" s="249"/>
      <c r="AD175" s="249"/>
      <c r="AE175" s="249"/>
      <c r="AF175" s="249"/>
      <c r="AG175" s="249"/>
      <c r="AJ175" s="249"/>
      <c r="AM175" s="249"/>
      <c r="AP175" s="249"/>
      <c r="AS175" s="249"/>
      <c r="AV175" s="249"/>
      <c r="AY175" s="249"/>
      <c r="BB175" s="249"/>
      <c r="BE175" s="249"/>
      <c r="BH175" s="249"/>
      <c r="BK175" s="249"/>
      <c r="BN175" s="249"/>
      <c r="BQ175" s="249"/>
      <c r="BT175" s="249"/>
      <c r="BW175" s="249"/>
      <c r="BZ175" s="249"/>
      <c r="CC175" s="249"/>
      <c r="CF175" s="249"/>
      <c r="CI175" s="249"/>
      <c r="CL175" s="249"/>
      <c r="CO175" s="249"/>
      <c r="CR175" s="249"/>
      <c r="CU175" s="249"/>
      <c r="CX175" s="249"/>
      <c r="DA175" s="249"/>
      <c r="DD175" s="249"/>
      <c r="DG175" s="249"/>
      <c r="DJ175" s="249"/>
      <c r="DM175" s="249"/>
      <c r="DP175" s="249"/>
      <c r="DS175" s="249"/>
      <c r="DV175" s="249"/>
      <c r="DY175" s="249"/>
      <c r="EB175" s="249"/>
      <c r="EE175" s="249"/>
      <c r="EH175" s="249"/>
      <c r="EK175" s="249"/>
      <c r="EN175" s="249"/>
      <c r="EQ175" s="249"/>
      <c r="ET175" s="249"/>
      <c r="EW175" s="249"/>
      <c r="EZ175" s="249"/>
      <c r="FC175" s="249"/>
      <c r="FF175" s="249"/>
      <c r="FI175" s="249"/>
      <c r="FL175" s="249"/>
      <c r="FO175" s="249"/>
      <c r="FR175" s="249"/>
      <c r="FU175" s="249"/>
      <c r="FX175" s="249"/>
      <c r="GA175" s="249"/>
      <c r="GD175" s="249"/>
      <c r="GG175" s="249"/>
      <c r="GJ175" s="249"/>
      <c r="GM175" s="249"/>
      <c r="GP175" s="249"/>
      <c r="GS175" s="249"/>
      <c r="GV175" s="249"/>
      <c r="GY175" s="249"/>
      <c r="HB175" s="249"/>
      <c r="HE175" s="249"/>
    </row>
    <row r="176" spans="1:213" x14ac:dyDescent="0.2">
      <c r="A176" s="267" t="s">
        <v>401</v>
      </c>
      <c r="B176" s="283">
        <v>1</v>
      </c>
      <c r="C176" s="247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W176" s="249"/>
      <c r="Z176" s="249"/>
      <c r="AC176" s="249"/>
      <c r="AD176" s="249"/>
      <c r="AE176" s="249"/>
      <c r="AF176" s="249"/>
      <c r="AG176" s="249"/>
      <c r="AJ176" s="249"/>
      <c r="AM176" s="249"/>
      <c r="AP176" s="249"/>
      <c r="AS176" s="249"/>
      <c r="AV176" s="249"/>
      <c r="AY176" s="249"/>
      <c r="BB176" s="249"/>
      <c r="BE176" s="249"/>
      <c r="BH176" s="249"/>
      <c r="BK176" s="249"/>
      <c r="BN176" s="249"/>
      <c r="BQ176" s="249"/>
      <c r="BT176" s="249"/>
      <c r="BW176" s="249"/>
      <c r="BZ176" s="249"/>
      <c r="CC176" s="249"/>
      <c r="CF176" s="249"/>
      <c r="CI176" s="249"/>
      <c r="CL176" s="249"/>
      <c r="CO176" s="249"/>
      <c r="CR176" s="249"/>
      <c r="CU176" s="249"/>
      <c r="CX176" s="249"/>
      <c r="DA176" s="249"/>
      <c r="DD176" s="249"/>
      <c r="DG176" s="249"/>
      <c r="DJ176" s="249"/>
      <c r="DM176" s="249"/>
      <c r="DP176" s="249"/>
      <c r="DS176" s="249"/>
      <c r="DV176" s="249"/>
      <c r="DY176" s="249"/>
      <c r="EB176" s="249"/>
      <c r="EE176" s="249"/>
      <c r="EH176" s="249"/>
      <c r="EK176" s="249"/>
      <c r="EN176" s="249"/>
      <c r="EQ176" s="249"/>
      <c r="ET176" s="249"/>
      <c r="EW176" s="249"/>
      <c r="EZ176" s="249"/>
      <c r="FC176" s="249"/>
      <c r="FF176" s="249"/>
      <c r="FI176" s="249"/>
      <c r="FL176" s="249"/>
      <c r="FO176" s="249"/>
      <c r="FR176" s="249"/>
      <c r="FU176" s="249"/>
      <c r="FX176" s="249"/>
      <c r="GA176" s="249"/>
      <c r="GD176" s="249"/>
      <c r="GG176" s="249"/>
      <c r="GJ176" s="249"/>
      <c r="GM176" s="249"/>
      <c r="GP176" s="249"/>
      <c r="GS176" s="249"/>
      <c r="GV176" s="249"/>
      <c r="GY176" s="249"/>
      <c r="HB176" s="249"/>
      <c r="HE176" s="249"/>
    </row>
    <row r="177" spans="1:213" x14ac:dyDescent="0.2">
      <c r="A177" s="267" t="s">
        <v>402</v>
      </c>
      <c r="B177" s="283">
        <v>1</v>
      </c>
      <c r="C177" s="247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W177" s="249"/>
      <c r="Z177" s="249"/>
      <c r="AC177" s="249"/>
      <c r="AD177" s="249"/>
      <c r="AE177" s="249"/>
      <c r="AF177" s="249"/>
      <c r="AG177" s="249"/>
      <c r="AJ177" s="249"/>
      <c r="AM177" s="249"/>
      <c r="AP177" s="249"/>
      <c r="AS177" s="249"/>
      <c r="AV177" s="249"/>
      <c r="AY177" s="249"/>
      <c r="BB177" s="249"/>
      <c r="BE177" s="249"/>
      <c r="BH177" s="249"/>
      <c r="BK177" s="249"/>
      <c r="BN177" s="249"/>
      <c r="BQ177" s="249"/>
      <c r="BT177" s="249"/>
      <c r="BW177" s="249"/>
      <c r="BZ177" s="249"/>
      <c r="CC177" s="249"/>
      <c r="CF177" s="249"/>
      <c r="CI177" s="249"/>
      <c r="CL177" s="249"/>
      <c r="CO177" s="249"/>
      <c r="CR177" s="249"/>
      <c r="CU177" s="249"/>
      <c r="CX177" s="249"/>
      <c r="DA177" s="249"/>
      <c r="DD177" s="249"/>
      <c r="DG177" s="249"/>
      <c r="DJ177" s="249"/>
      <c r="DM177" s="249"/>
      <c r="DP177" s="249"/>
      <c r="DS177" s="249"/>
      <c r="DV177" s="249"/>
      <c r="DY177" s="249"/>
      <c r="EB177" s="249"/>
      <c r="EE177" s="249"/>
      <c r="EH177" s="249"/>
      <c r="EK177" s="249"/>
      <c r="EN177" s="249"/>
      <c r="EQ177" s="249"/>
      <c r="ET177" s="249"/>
      <c r="EW177" s="249"/>
      <c r="EZ177" s="249"/>
      <c r="FC177" s="249"/>
      <c r="FF177" s="249"/>
      <c r="FI177" s="249"/>
      <c r="FL177" s="249"/>
      <c r="FO177" s="249"/>
      <c r="FR177" s="249"/>
      <c r="FU177" s="249"/>
      <c r="FX177" s="249"/>
      <c r="GA177" s="249"/>
      <c r="GD177" s="249"/>
      <c r="GG177" s="249"/>
      <c r="GJ177" s="249"/>
      <c r="GM177" s="249"/>
      <c r="GP177" s="249"/>
      <c r="GS177" s="249"/>
      <c r="GV177" s="249"/>
      <c r="GY177" s="249"/>
      <c r="HB177" s="249"/>
      <c r="HE177" s="249"/>
    </row>
    <row r="178" spans="1:213" x14ac:dyDescent="0.2">
      <c r="A178" s="267" t="s">
        <v>403</v>
      </c>
      <c r="B178" s="283">
        <v>1</v>
      </c>
      <c r="C178" s="247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W178" s="249"/>
      <c r="Z178" s="249"/>
      <c r="AC178" s="249"/>
      <c r="AD178" s="249"/>
      <c r="AE178" s="249"/>
      <c r="AF178" s="249"/>
      <c r="AG178" s="249"/>
      <c r="AJ178" s="249"/>
      <c r="AM178" s="249"/>
      <c r="AP178" s="249"/>
      <c r="AS178" s="249"/>
      <c r="AV178" s="249"/>
      <c r="AY178" s="249"/>
      <c r="BB178" s="249"/>
      <c r="BE178" s="249"/>
      <c r="BH178" s="249"/>
      <c r="BK178" s="249"/>
      <c r="BN178" s="249"/>
      <c r="BQ178" s="249"/>
      <c r="BT178" s="249"/>
      <c r="BW178" s="249"/>
      <c r="BZ178" s="249"/>
      <c r="CC178" s="249"/>
      <c r="CF178" s="249"/>
      <c r="CI178" s="249"/>
      <c r="CL178" s="249"/>
      <c r="CO178" s="249"/>
      <c r="CR178" s="249"/>
      <c r="CU178" s="249"/>
      <c r="CX178" s="249"/>
      <c r="DA178" s="249"/>
      <c r="DD178" s="249"/>
      <c r="DG178" s="249"/>
      <c r="DJ178" s="249"/>
      <c r="DM178" s="249"/>
      <c r="DP178" s="249"/>
      <c r="DS178" s="249"/>
      <c r="DV178" s="249"/>
      <c r="DY178" s="249"/>
      <c r="EB178" s="249"/>
      <c r="EE178" s="249"/>
      <c r="EH178" s="249"/>
      <c r="EK178" s="249"/>
      <c r="EN178" s="249"/>
      <c r="EQ178" s="249"/>
      <c r="ET178" s="249"/>
      <c r="EW178" s="249"/>
      <c r="EZ178" s="249"/>
      <c r="FC178" s="249"/>
      <c r="FF178" s="249"/>
      <c r="FI178" s="249"/>
      <c r="FL178" s="249"/>
      <c r="FO178" s="249"/>
      <c r="FR178" s="249"/>
      <c r="FU178" s="249"/>
      <c r="FX178" s="249"/>
      <c r="GA178" s="249"/>
      <c r="GD178" s="249"/>
      <c r="GG178" s="249"/>
      <c r="GJ178" s="249"/>
      <c r="GM178" s="249"/>
      <c r="GP178" s="249"/>
      <c r="GS178" s="249"/>
      <c r="GV178" s="249"/>
      <c r="GY178" s="249"/>
      <c r="HB178" s="249"/>
      <c r="HE178" s="249"/>
    </row>
    <row r="179" spans="1:213" x14ac:dyDescent="0.2">
      <c r="A179" s="267" t="s">
        <v>404</v>
      </c>
      <c r="B179" s="283">
        <v>1</v>
      </c>
      <c r="C179" s="247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W179" s="249"/>
      <c r="Z179" s="249"/>
      <c r="AC179" s="249"/>
      <c r="AD179" s="249"/>
      <c r="AE179" s="249"/>
      <c r="AF179" s="249"/>
      <c r="AG179" s="249"/>
      <c r="AJ179" s="249"/>
      <c r="AM179" s="249"/>
      <c r="AP179" s="249"/>
      <c r="AS179" s="249"/>
      <c r="AV179" s="249"/>
      <c r="AY179" s="249"/>
      <c r="BB179" s="249"/>
      <c r="BE179" s="249"/>
      <c r="BH179" s="249"/>
      <c r="BK179" s="249"/>
      <c r="BN179" s="249"/>
      <c r="BQ179" s="249"/>
      <c r="BT179" s="249"/>
      <c r="BW179" s="249"/>
      <c r="BZ179" s="249"/>
      <c r="CC179" s="249"/>
      <c r="CF179" s="249"/>
      <c r="CI179" s="249"/>
      <c r="CL179" s="249"/>
      <c r="CO179" s="249"/>
      <c r="CR179" s="249"/>
      <c r="CU179" s="249"/>
      <c r="CX179" s="249"/>
      <c r="DA179" s="249"/>
      <c r="DD179" s="249"/>
      <c r="DG179" s="249"/>
      <c r="DJ179" s="249"/>
      <c r="DM179" s="249"/>
      <c r="DP179" s="249"/>
      <c r="DS179" s="249"/>
      <c r="DV179" s="249"/>
      <c r="DY179" s="249"/>
      <c r="EB179" s="249"/>
      <c r="EE179" s="249"/>
      <c r="EH179" s="249"/>
      <c r="EK179" s="249"/>
      <c r="EN179" s="249"/>
      <c r="EQ179" s="249"/>
      <c r="ET179" s="249"/>
      <c r="EW179" s="249"/>
      <c r="EZ179" s="249"/>
      <c r="FC179" s="249"/>
      <c r="FF179" s="249"/>
      <c r="FI179" s="249"/>
      <c r="FL179" s="249"/>
      <c r="FO179" s="249"/>
      <c r="FR179" s="249"/>
      <c r="FU179" s="249"/>
      <c r="FX179" s="249"/>
      <c r="GA179" s="249"/>
      <c r="GD179" s="249"/>
      <c r="GG179" s="249"/>
      <c r="GJ179" s="249"/>
      <c r="GM179" s="249"/>
      <c r="GP179" s="249"/>
      <c r="GS179" s="249"/>
      <c r="GV179" s="249"/>
      <c r="GY179" s="249"/>
      <c r="HB179" s="249"/>
      <c r="HE179" s="249"/>
    </row>
    <row r="180" spans="1:213" x14ac:dyDescent="0.2">
      <c r="A180" s="267" t="s">
        <v>405</v>
      </c>
      <c r="B180" s="284">
        <v>1</v>
      </c>
      <c r="C180" s="247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W180" s="249"/>
      <c r="Z180" s="249"/>
      <c r="AC180" s="249"/>
      <c r="AD180" s="249"/>
      <c r="AE180" s="249"/>
      <c r="AF180" s="249"/>
      <c r="AG180" s="249"/>
      <c r="AJ180" s="249"/>
      <c r="AM180" s="249"/>
      <c r="AP180" s="249"/>
      <c r="AS180" s="249"/>
      <c r="AV180" s="249"/>
      <c r="AY180" s="249"/>
      <c r="BB180" s="249"/>
      <c r="BE180" s="249"/>
      <c r="BH180" s="249"/>
      <c r="BK180" s="249"/>
      <c r="BN180" s="249"/>
      <c r="BQ180" s="249"/>
      <c r="BT180" s="249"/>
      <c r="BW180" s="249"/>
      <c r="BZ180" s="249"/>
      <c r="CC180" s="249"/>
      <c r="CF180" s="249"/>
      <c r="CI180" s="249"/>
      <c r="CL180" s="249"/>
      <c r="CO180" s="249"/>
      <c r="CR180" s="249"/>
      <c r="CU180" s="249"/>
      <c r="CX180" s="249"/>
      <c r="DA180" s="249"/>
      <c r="DD180" s="249"/>
      <c r="DG180" s="249"/>
      <c r="DJ180" s="249"/>
      <c r="DM180" s="249"/>
      <c r="DP180" s="249"/>
      <c r="DS180" s="249"/>
      <c r="DV180" s="249"/>
      <c r="DY180" s="249"/>
      <c r="EB180" s="249"/>
      <c r="EE180" s="249"/>
      <c r="EH180" s="249"/>
      <c r="EK180" s="249"/>
      <c r="EN180" s="249"/>
      <c r="EQ180" s="249"/>
      <c r="ET180" s="249"/>
      <c r="EW180" s="249"/>
      <c r="EZ180" s="249"/>
      <c r="FC180" s="249"/>
      <c r="FF180" s="249"/>
      <c r="FI180" s="249"/>
      <c r="FL180" s="249"/>
      <c r="FO180" s="249"/>
      <c r="FR180" s="249"/>
      <c r="FU180" s="249"/>
      <c r="FX180" s="249"/>
      <c r="GA180" s="249"/>
      <c r="GD180" s="249"/>
      <c r="GG180" s="249"/>
      <c r="GJ180" s="249"/>
      <c r="GM180" s="249"/>
      <c r="GP180" s="249"/>
      <c r="GS180" s="249"/>
      <c r="GV180" s="249"/>
      <c r="GY180" s="249"/>
      <c r="HB180" s="249"/>
      <c r="HE180" s="249"/>
    </row>
    <row r="181" spans="1:213" x14ac:dyDescent="0.2">
      <c r="A181" s="262" t="s">
        <v>41</v>
      </c>
      <c r="B181" s="284">
        <v>3.62</v>
      </c>
      <c r="C181" s="249" t="s">
        <v>42</v>
      </c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W181" s="249"/>
      <c r="Z181" s="249"/>
      <c r="AC181" s="249"/>
      <c r="AD181" s="249"/>
      <c r="AE181" s="249"/>
      <c r="AF181" s="249"/>
      <c r="AG181" s="249"/>
      <c r="AJ181" s="249"/>
      <c r="AM181" s="249"/>
      <c r="AP181" s="249"/>
      <c r="AS181" s="249"/>
      <c r="AV181" s="249"/>
      <c r="AY181" s="249"/>
      <c r="BB181" s="249"/>
      <c r="BE181" s="249"/>
      <c r="BH181" s="249"/>
      <c r="BK181" s="249"/>
      <c r="BN181" s="249"/>
      <c r="BQ181" s="249"/>
      <c r="BT181" s="249"/>
      <c r="BW181" s="249"/>
      <c r="BZ181" s="249"/>
      <c r="CC181" s="249"/>
      <c r="CF181" s="249"/>
      <c r="CI181" s="249"/>
      <c r="CL181" s="249"/>
      <c r="CO181" s="249"/>
      <c r="CR181" s="249"/>
      <c r="CU181" s="249"/>
      <c r="CX181" s="249"/>
      <c r="DA181" s="249"/>
      <c r="DD181" s="249"/>
      <c r="DG181" s="249"/>
      <c r="DJ181" s="249"/>
      <c r="DM181" s="249"/>
      <c r="DP181" s="249"/>
      <c r="DS181" s="249"/>
      <c r="DV181" s="249"/>
      <c r="DY181" s="249"/>
      <c r="EB181" s="249"/>
      <c r="EE181" s="249"/>
      <c r="EH181" s="249"/>
      <c r="EK181" s="249"/>
      <c r="EN181" s="249"/>
      <c r="EQ181" s="249"/>
      <c r="ET181" s="249"/>
      <c r="EW181" s="249"/>
      <c r="EZ181" s="249"/>
      <c r="FC181" s="249"/>
      <c r="FF181" s="249"/>
      <c r="FI181" s="249"/>
      <c r="FL181" s="249"/>
      <c r="FO181" s="249"/>
      <c r="FR181" s="249"/>
      <c r="FU181" s="249"/>
      <c r="FX181" s="249"/>
      <c r="GA181" s="249"/>
      <c r="GD181" s="249"/>
      <c r="GG181" s="249"/>
      <c r="GJ181" s="249"/>
      <c r="GM181" s="249"/>
      <c r="GP181" s="249"/>
      <c r="GS181" s="249"/>
      <c r="GV181" s="249"/>
      <c r="GY181" s="249"/>
      <c r="HB181" s="249"/>
      <c r="HE181" s="249"/>
    </row>
    <row r="182" spans="1:213" x14ac:dyDescent="0.2">
      <c r="A182" s="262" t="s">
        <v>46</v>
      </c>
      <c r="B182" s="284">
        <v>0.25</v>
      </c>
      <c r="C182" s="249" t="s">
        <v>47</v>
      </c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W182" s="249"/>
      <c r="Z182" s="249"/>
      <c r="AC182" s="249"/>
      <c r="AD182" s="249"/>
      <c r="AE182" s="249"/>
      <c r="AF182" s="249"/>
      <c r="AG182" s="249"/>
      <c r="AJ182" s="249"/>
      <c r="AM182" s="249"/>
      <c r="AP182" s="249"/>
      <c r="AS182" s="249"/>
      <c r="AV182" s="249"/>
      <c r="AY182" s="249"/>
      <c r="BB182" s="249"/>
      <c r="BE182" s="249"/>
      <c r="BH182" s="249"/>
      <c r="BK182" s="249"/>
      <c r="BN182" s="249"/>
      <c r="BQ182" s="249"/>
      <c r="BT182" s="249"/>
      <c r="BW182" s="249"/>
      <c r="BZ182" s="249"/>
      <c r="CC182" s="249"/>
      <c r="CF182" s="249"/>
      <c r="CI182" s="249"/>
      <c r="CL182" s="249"/>
      <c r="CO182" s="249"/>
      <c r="CR182" s="249"/>
      <c r="CU182" s="249"/>
      <c r="CX182" s="249"/>
      <c r="DA182" s="249"/>
      <c r="DD182" s="249"/>
      <c r="DG182" s="249"/>
      <c r="DJ182" s="249"/>
      <c r="DM182" s="249"/>
      <c r="DP182" s="249"/>
      <c r="DS182" s="249"/>
      <c r="DV182" s="249"/>
      <c r="DY182" s="249"/>
      <c r="EB182" s="249"/>
      <c r="EE182" s="249"/>
      <c r="EH182" s="249"/>
      <c r="EK182" s="249"/>
      <c r="EN182" s="249"/>
      <c r="EQ182" s="249"/>
      <c r="ET182" s="249"/>
      <c r="EW182" s="249"/>
      <c r="EZ182" s="249"/>
      <c r="FC182" s="249"/>
      <c r="FF182" s="249"/>
      <c r="FI182" s="249"/>
      <c r="FL182" s="249"/>
      <c r="FO182" s="249"/>
      <c r="FR182" s="249"/>
      <c r="FU182" s="249"/>
      <c r="FX182" s="249"/>
      <c r="GA182" s="249"/>
      <c r="GD182" s="249"/>
      <c r="GG182" s="249"/>
      <c r="GJ182" s="249"/>
      <c r="GM182" s="249"/>
      <c r="GP182" s="249"/>
      <c r="GS182" s="249"/>
      <c r="GV182" s="249"/>
      <c r="GY182" s="249"/>
      <c r="HB182" s="249"/>
      <c r="HE182" s="249"/>
    </row>
    <row r="183" spans="1:213" x14ac:dyDescent="0.2">
      <c r="A183" s="267" t="s">
        <v>60</v>
      </c>
      <c r="B183" s="284">
        <v>10950</v>
      </c>
      <c r="C183" s="249" t="s">
        <v>61</v>
      </c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W183" s="249"/>
      <c r="Z183" s="249"/>
      <c r="AC183" s="249"/>
      <c r="AD183" s="249"/>
      <c r="AE183" s="249"/>
      <c r="AF183" s="249"/>
      <c r="AG183" s="249"/>
      <c r="AJ183" s="249"/>
      <c r="AM183" s="249"/>
      <c r="AP183" s="249"/>
      <c r="AS183" s="249"/>
      <c r="AV183" s="249"/>
      <c r="AY183" s="249"/>
      <c r="BB183" s="249"/>
      <c r="BE183" s="249"/>
      <c r="BH183" s="249"/>
      <c r="BK183" s="249"/>
      <c r="BN183" s="249"/>
      <c r="BQ183" s="249"/>
      <c r="BT183" s="249"/>
      <c r="BW183" s="249"/>
      <c r="BZ183" s="249"/>
      <c r="CC183" s="249"/>
      <c r="CF183" s="249"/>
      <c r="CI183" s="249"/>
      <c r="CL183" s="249"/>
      <c r="CO183" s="249"/>
      <c r="CR183" s="249"/>
      <c r="CU183" s="249"/>
      <c r="CX183" s="249"/>
      <c r="DA183" s="249"/>
      <c r="DD183" s="249"/>
      <c r="DG183" s="249"/>
      <c r="DJ183" s="249"/>
      <c r="DM183" s="249"/>
      <c r="DP183" s="249"/>
      <c r="DS183" s="249"/>
      <c r="DV183" s="249"/>
      <c r="DY183" s="249"/>
      <c r="EB183" s="249"/>
      <c r="EE183" s="249"/>
      <c r="EH183" s="249"/>
      <c r="EK183" s="249"/>
      <c r="EN183" s="249"/>
      <c r="EQ183" s="249"/>
      <c r="ET183" s="249"/>
      <c r="EW183" s="249"/>
      <c r="EZ183" s="249"/>
      <c r="FC183" s="249"/>
      <c r="FF183" s="249"/>
      <c r="FI183" s="249"/>
      <c r="FL183" s="249"/>
      <c r="FO183" s="249"/>
      <c r="FR183" s="249"/>
      <c r="FU183" s="249"/>
      <c r="FX183" s="249"/>
      <c r="GA183" s="249"/>
      <c r="GD183" s="249"/>
      <c r="GG183" s="249"/>
      <c r="GJ183" s="249"/>
      <c r="GM183" s="249"/>
      <c r="GP183" s="249"/>
      <c r="GS183" s="249"/>
      <c r="GV183" s="249"/>
      <c r="GY183" s="249"/>
      <c r="HB183" s="249"/>
      <c r="HE183" s="249"/>
    </row>
    <row r="184" spans="1:213" x14ac:dyDescent="0.2">
      <c r="A184" s="267" t="s">
        <v>65</v>
      </c>
      <c r="B184" s="284">
        <v>240</v>
      </c>
      <c r="C184" s="249" t="s">
        <v>66</v>
      </c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W184" s="249"/>
      <c r="Z184" s="249"/>
      <c r="AC184" s="249"/>
      <c r="AD184" s="249"/>
      <c r="AE184" s="249"/>
      <c r="AF184" s="249"/>
      <c r="AG184" s="249"/>
      <c r="AJ184" s="249"/>
      <c r="AM184" s="249"/>
      <c r="AP184" s="249"/>
      <c r="AS184" s="249"/>
      <c r="AV184" s="249"/>
      <c r="AY184" s="249"/>
      <c r="BB184" s="249"/>
      <c r="BE184" s="249"/>
      <c r="BH184" s="249"/>
      <c r="BK184" s="249"/>
      <c r="BN184" s="249"/>
      <c r="BQ184" s="249"/>
      <c r="BT184" s="249"/>
      <c r="BW184" s="249"/>
      <c r="BZ184" s="249"/>
      <c r="CC184" s="249"/>
      <c r="CF184" s="249"/>
      <c r="CI184" s="249"/>
      <c r="CL184" s="249"/>
      <c r="CO184" s="249"/>
      <c r="CR184" s="249"/>
      <c r="CU184" s="249"/>
      <c r="CX184" s="249"/>
      <c r="DA184" s="249"/>
      <c r="DD184" s="249"/>
      <c r="DG184" s="249"/>
      <c r="DJ184" s="249"/>
      <c r="DM184" s="249"/>
      <c r="DP184" s="249"/>
      <c r="DS184" s="249"/>
      <c r="DV184" s="249"/>
      <c r="DY184" s="249"/>
      <c r="EB184" s="249"/>
      <c r="EE184" s="249"/>
      <c r="EH184" s="249"/>
      <c r="EK184" s="249"/>
      <c r="EN184" s="249"/>
      <c r="EQ184" s="249"/>
      <c r="ET184" s="249"/>
      <c r="EW184" s="249"/>
      <c r="EZ184" s="249"/>
      <c r="FC184" s="249"/>
      <c r="FF184" s="249"/>
      <c r="FI184" s="249"/>
      <c r="FL184" s="249"/>
      <c r="FO184" s="249"/>
      <c r="FR184" s="249"/>
      <c r="FU184" s="249"/>
      <c r="FX184" s="249"/>
      <c r="GA184" s="249"/>
      <c r="GD184" s="249"/>
      <c r="GG184" s="249"/>
      <c r="GJ184" s="249"/>
      <c r="GM184" s="249"/>
      <c r="GP184" s="249"/>
      <c r="GS184" s="249"/>
      <c r="GV184" s="249"/>
      <c r="GY184" s="249"/>
      <c r="HB184" s="249"/>
      <c r="HE184" s="249"/>
    </row>
    <row r="185" spans="1:213" x14ac:dyDescent="0.2">
      <c r="A185" s="267" t="s">
        <v>76</v>
      </c>
      <c r="B185" s="284">
        <v>0.42</v>
      </c>
      <c r="C185" s="249" t="s">
        <v>47</v>
      </c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W185" s="249"/>
      <c r="Z185" s="249"/>
      <c r="AC185" s="249"/>
      <c r="AD185" s="249"/>
      <c r="AE185" s="249"/>
      <c r="AF185" s="249"/>
      <c r="AG185" s="249"/>
      <c r="AJ185" s="249"/>
      <c r="AM185" s="249"/>
      <c r="AP185" s="249"/>
      <c r="AS185" s="249"/>
      <c r="AV185" s="249"/>
      <c r="AY185" s="249"/>
      <c r="BB185" s="249"/>
      <c r="BE185" s="249"/>
      <c r="BH185" s="249"/>
      <c r="BK185" s="249"/>
      <c r="BN185" s="249"/>
      <c r="BQ185" s="249"/>
      <c r="BT185" s="249"/>
      <c r="BW185" s="249"/>
      <c r="BZ185" s="249"/>
      <c r="CC185" s="249"/>
      <c r="CF185" s="249"/>
      <c r="CI185" s="249"/>
      <c r="CL185" s="249"/>
      <c r="CO185" s="249"/>
      <c r="CR185" s="249"/>
      <c r="CU185" s="249"/>
      <c r="CX185" s="249"/>
      <c r="DA185" s="249"/>
      <c r="DD185" s="249"/>
      <c r="DG185" s="249"/>
      <c r="DJ185" s="249"/>
      <c r="DM185" s="249"/>
      <c r="DP185" s="249"/>
      <c r="DS185" s="249"/>
      <c r="DV185" s="249"/>
      <c r="DY185" s="249"/>
      <c r="EB185" s="249"/>
      <c r="EE185" s="249"/>
      <c r="EH185" s="249"/>
      <c r="EK185" s="249"/>
      <c r="EN185" s="249"/>
      <c r="EQ185" s="249"/>
      <c r="ET185" s="249"/>
      <c r="EW185" s="249"/>
      <c r="EZ185" s="249"/>
      <c r="FC185" s="249"/>
      <c r="FF185" s="249"/>
      <c r="FI185" s="249"/>
      <c r="FL185" s="249"/>
      <c r="FO185" s="249"/>
      <c r="FR185" s="249"/>
      <c r="FU185" s="249"/>
      <c r="FX185" s="249"/>
      <c r="GA185" s="249"/>
      <c r="GD185" s="249"/>
      <c r="GG185" s="249"/>
      <c r="GJ185" s="249"/>
      <c r="GM185" s="249"/>
      <c r="GP185" s="249"/>
      <c r="GS185" s="249"/>
      <c r="GV185" s="249"/>
      <c r="GY185" s="249"/>
      <c r="HB185" s="249"/>
      <c r="HE185" s="249"/>
    </row>
    <row r="186" spans="1:213" x14ac:dyDescent="0.2">
      <c r="A186" s="267" t="s">
        <v>85</v>
      </c>
      <c r="B186" s="284">
        <v>60</v>
      </c>
      <c r="C186" s="262" t="s">
        <v>61</v>
      </c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W186" s="249"/>
      <c r="Z186" s="249"/>
      <c r="AC186" s="249"/>
      <c r="AD186" s="249"/>
      <c r="AE186" s="249"/>
      <c r="AF186" s="249"/>
      <c r="AG186" s="249"/>
      <c r="AJ186" s="249"/>
      <c r="AM186" s="249"/>
      <c r="AP186" s="249"/>
      <c r="AS186" s="249"/>
      <c r="AV186" s="249"/>
      <c r="AY186" s="249"/>
      <c r="BB186" s="249"/>
      <c r="BE186" s="249"/>
      <c r="BH186" s="249"/>
      <c r="BK186" s="249"/>
      <c r="BN186" s="249"/>
      <c r="BQ186" s="249"/>
      <c r="BT186" s="249"/>
      <c r="BW186" s="249"/>
      <c r="BZ186" s="249"/>
      <c r="CC186" s="249"/>
      <c r="CF186" s="249"/>
      <c r="CI186" s="249"/>
      <c r="CL186" s="249"/>
      <c r="CO186" s="249"/>
      <c r="CR186" s="249"/>
      <c r="CU186" s="249"/>
      <c r="CX186" s="249"/>
      <c r="DA186" s="249"/>
      <c r="DD186" s="249"/>
      <c r="DG186" s="249"/>
      <c r="DJ186" s="249"/>
      <c r="DM186" s="249"/>
      <c r="DP186" s="249"/>
      <c r="DS186" s="249"/>
      <c r="DV186" s="249"/>
      <c r="DY186" s="249"/>
      <c r="EB186" s="249"/>
      <c r="EE186" s="249"/>
      <c r="EH186" s="249"/>
      <c r="EK186" s="249"/>
      <c r="EN186" s="249"/>
      <c r="EQ186" s="249"/>
      <c r="ET186" s="249"/>
      <c r="EW186" s="249"/>
      <c r="EZ186" s="249"/>
      <c r="FC186" s="249"/>
      <c r="FF186" s="249"/>
      <c r="FI186" s="249"/>
      <c r="FL186" s="249"/>
      <c r="FO186" s="249"/>
      <c r="FR186" s="249"/>
      <c r="FU186" s="249"/>
      <c r="FX186" s="249"/>
      <c r="GA186" s="249"/>
      <c r="GD186" s="249"/>
      <c r="GG186" s="249"/>
      <c r="GJ186" s="249"/>
      <c r="GM186" s="249"/>
      <c r="GP186" s="249"/>
      <c r="GS186" s="249"/>
      <c r="GV186" s="249"/>
      <c r="GY186" s="249"/>
      <c r="HB186" s="249"/>
      <c r="HE186" s="249"/>
    </row>
    <row r="187" spans="1:213" x14ac:dyDescent="0.2">
      <c r="A187" s="267" t="s">
        <v>87</v>
      </c>
      <c r="B187" s="284">
        <v>2</v>
      </c>
      <c r="C187" s="262" t="s">
        <v>66</v>
      </c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W187" s="249"/>
      <c r="Z187" s="249"/>
      <c r="AC187" s="249"/>
      <c r="AD187" s="249"/>
      <c r="AE187" s="249"/>
      <c r="AF187" s="249"/>
      <c r="AG187" s="249"/>
      <c r="AJ187" s="249"/>
      <c r="AM187" s="249"/>
      <c r="AP187" s="249"/>
      <c r="AS187" s="249"/>
      <c r="AV187" s="249"/>
      <c r="AY187" s="249"/>
      <c r="BB187" s="249"/>
      <c r="BE187" s="249"/>
      <c r="BH187" s="249"/>
      <c r="BK187" s="249"/>
      <c r="BN187" s="249"/>
      <c r="BQ187" s="249"/>
      <c r="BT187" s="249"/>
      <c r="BW187" s="249"/>
      <c r="BZ187" s="249"/>
      <c r="CC187" s="249"/>
      <c r="CF187" s="249"/>
      <c r="CI187" s="249"/>
      <c r="CL187" s="249"/>
      <c r="CO187" s="249"/>
      <c r="CR187" s="249"/>
      <c r="CU187" s="249"/>
      <c r="CX187" s="249"/>
      <c r="DA187" s="249"/>
      <c r="DD187" s="249"/>
      <c r="DG187" s="249"/>
      <c r="DJ187" s="249"/>
      <c r="DM187" s="249"/>
      <c r="DP187" s="249"/>
      <c r="DS187" s="249"/>
      <c r="DV187" s="249"/>
      <c r="DY187" s="249"/>
      <c r="EB187" s="249"/>
      <c r="EE187" s="249"/>
      <c r="EH187" s="249"/>
      <c r="EK187" s="249"/>
      <c r="EN187" s="249"/>
      <c r="EQ187" s="249"/>
      <c r="ET187" s="249"/>
      <c r="EW187" s="249"/>
      <c r="EZ187" s="249"/>
      <c r="FC187" s="249"/>
      <c r="FF187" s="249"/>
      <c r="FI187" s="249"/>
      <c r="FL187" s="249"/>
      <c r="FO187" s="249"/>
      <c r="FR187" s="249"/>
      <c r="FU187" s="249"/>
      <c r="FX187" s="249"/>
      <c r="GA187" s="249"/>
      <c r="GD187" s="249"/>
      <c r="GG187" s="249"/>
      <c r="GJ187" s="249"/>
      <c r="GM187" s="249"/>
      <c r="GP187" s="249"/>
      <c r="GS187" s="249"/>
      <c r="GV187" s="249"/>
      <c r="GY187" s="249"/>
      <c r="HB187" s="249"/>
      <c r="HE187" s="249"/>
    </row>
    <row r="188" spans="1:213" x14ac:dyDescent="0.2">
      <c r="A188" s="267" t="s">
        <v>89</v>
      </c>
      <c r="B188" s="284">
        <v>2.6999999999999999E-5</v>
      </c>
      <c r="C188" s="249" t="s">
        <v>82</v>
      </c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W188" s="249"/>
      <c r="Z188" s="249"/>
      <c r="AC188" s="249"/>
      <c r="AD188" s="249"/>
      <c r="AE188" s="249"/>
      <c r="AF188" s="249"/>
      <c r="AG188" s="249"/>
      <c r="AJ188" s="249"/>
      <c r="AM188" s="249"/>
      <c r="AP188" s="249"/>
      <c r="AS188" s="249"/>
      <c r="AV188" s="249"/>
      <c r="AY188" s="249"/>
      <c r="BB188" s="249"/>
      <c r="BE188" s="249"/>
      <c r="BH188" s="249"/>
      <c r="BK188" s="249"/>
      <c r="BN188" s="249"/>
      <c r="BQ188" s="249"/>
      <c r="BT188" s="249"/>
      <c r="BW188" s="249"/>
      <c r="BZ188" s="249"/>
      <c r="CC188" s="249"/>
      <c r="CF188" s="249"/>
      <c r="CI188" s="249"/>
      <c r="CL188" s="249"/>
      <c r="CO188" s="249"/>
      <c r="CR188" s="249"/>
      <c r="CU188" s="249"/>
      <c r="CX188" s="249"/>
      <c r="DA188" s="249"/>
      <c r="DD188" s="249"/>
      <c r="DG188" s="249"/>
      <c r="DJ188" s="249"/>
      <c r="DM188" s="249"/>
      <c r="DP188" s="249"/>
      <c r="DS188" s="249"/>
      <c r="DV188" s="249"/>
      <c r="DY188" s="249"/>
      <c r="EB188" s="249"/>
      <c r="EE188" s="249"/>
      <c r="EH188" s="249"/>
      <c r="EK188" s="249"/>
      <c r="EN188" s="249"/>
      <c r="EQ188" s="249"/>
      <c r="ET188" s="249"/>
      <c r="EW188" s="249"/>
      <c r="EZ188" s="249"/>
      <c r="FC188" s="249"/>
      <c r="FF188" s="249"/>
      <c r="FI188" s="249"/>
      <c r="FL188" s="249"/>
      <c r="FO188" s="249"/>
      <c r="FR188" s="249"/>
      <c r="FU188" s="249"/>
      <c r="FX188" s="249"/>
      <c r="GA188" s="249"/>
      <c r="GD188" s="249"/>
      <c r="GG188" s="249"/>
      <c r="GJ188" s="249"/>
      <c r="GM188" s="249"/>
      <c r="GP188" s="249"/>
      <c r="GS188" s="249"/>
      <c r="GV188" s="249"/>
      <c r="GY188" s="249"/>
      <c r="HB188" s="249"/>
      <c r="HE188" s="249"/>
    </row>
    <row r="189" spans="1:213" x14ac:dyDescent="0.2">
      <c r="A189" s="267" t="s">
        <v>91</v>
      </c>
      <c r="B189" s="284">
        <v>1</v>
      </c>
      <c r="C189" s="249" t="s">
        <v>47</v>
      </c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W189" s="249"/>
      <c r="Z189" s="249"/>
      <c r="AC189" s="249"/>
      <c r="AD189" s="249"/>
      <c r="AE189" s="249"/>
      <c r="AF189" s="249"/>
      <c r="AG189" s="249"/>
      <c r="AJ189" s="249"/>
      <c r="AM189" s="249"/>
      <c r="AP189" s="249"/>
      <c r="AS189" s="249"/>
      <c r="AV189" s="249"/>
      <c r="AY189" s="249"/>
      <c r="BB189" s="249"/>
      <c r="BE189" s="249"/>
      <c r="BH189" s="249"/>
      <c r="BK189" s="249"/>
      <c r="BN189" s="249"/>
      <c r="BQ189" s="249"/>
      <c r="BT189" s="249"/>
      <c r="BW189" s="249"/>
      <c r="BZ189" s="249"/>
      <c r="CC189" s="249"/>
      <c r="CF189" s="249"/>
      <c r="CI189" s="249"/>
      <c r="CL189" s="249"/>
      <c r="CO189" s="249"/>
      <c r="CR189" s="249"/>
      <c r="CU189" s="249"/>
      <c r="CX189" s="249"/>
      <c r="DA189" s="249"/>
      <c r="DD189" s="249"/>
      <c r="DG189" s="249"/>
      <c r="DJ189" s="249"/>
      <c r="DM189" s="249"/>
      <c r="DP189" s="249"/>
      <c r="DS189" s="249"/>
      <c r="DV189" s="249"/>
      <c r="DY189" s="249"/>
      <c r="EB189" s="249"/>
      <c r="EE189" s="249"/>
      <c r="EH189" s="249"/>
      <c r="EK189" s="249"/>
      <c r="EN189" s="249"/>
      <c r="EQ189" s="249"/>
      <c r="ET189" s="249"/>
      <c r="EW189" s="249"/>
      <c r="EZ189" s="249"/>
      <c r="FC189" s="249"/>
      <c r="FF189" s="249"/>
      <c r="FI189" s="249"/>
      <c r="FL189" s="249"/>
      <c r="FO189" s="249"/>
      <c r="FR189" s="249"/>
      <c r="FU189" s="249"/>
      <c r="FX189" s="249"/>
      <c r="GA189" s="249"/>
      <c r="GD189" s="249"/>
      <c r="GG189" s="249"/>
      <c r="GJ189" s="249"/>
      <c r="GM189" s="249"/>
      <c r="GP189" s="249"/>
      <c r="GS189" s="249"/>
      <c r="GV189" s="249"/>
      <c r="GY189" s="249"/>
      <c r="HB189" s="249"/>
      <c r="HE189" s="249"/>
    </row>
    <row r="190" spans="1:213" x14ac:dyDescent="0.2">
      <c r="A190" s="267" t="s">
        <v>92</v>
      </c>
      <c r="B190" s="284">
        <v>14</v>
      </c>
      <c r="C190" s="249" t="s">
        <v>93</v>
      </c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W190" s="249"/>
      <c r="Z190" s="249"/>
      <c r="AC190" s="249"/>
      <c r="AD190" s="249"/>
      <c r="AE190" s="249"/>
      <c r="AF190" s="249"/>
      <c r="AG190" s="249"/>
      <c r="AJ190" s="249"/>
      <c r="AM190" s="249"/>
      <c r="AP190" s="249"/>
      <c r="AS190" s="249"/>
      <c r="AV190" s="249"/>
      <c r="AY190" s="249"/>
      <c r="BB190" s="249"/>
      <c r="BE190" s="249"/>
      <c r="BH190" s="249"/>
      <c r="BK190" s="249"/>
      <c r="BN190" s="249"/>
      <c r="BQ190" s="249"/>
      <c r="BT190" s="249"/>
      <c r="BW190" s="249"/>
      <c r="BZ190" s="249"/>
      <c r="CC190" s="249"/>
      <c r="CF190" s="249"/>
      <c r="CI190" s="249"/>
      <c r="CL190" s="249"/>
      <c r="CO190" s="249"/>
      <c r="CR190" s="249"/>
      <c r="CU190" s="249"/>
      <c r="CX190" s="249"/>
      <c r="DA190" s="249"/>
      <c r="DD190" s="249"/>
      <c r="DG190" s="249"/>
      <c r="DJ190" s="249"/>
      <c r="DM190" s="249"/>
      <c r="DP190" s="249"/>
      <c r="DS190" s="249"/>
      <c r="DV190" s="249"/>
      <c r="DY190" s="249"/>
      <c r="EB190" s="249"/>
      <c r="EE190" s="249"/>
      <c r="EH190" s="249"/>
      <c r="EK190" s="249"/>
      <c r="EN190" s="249"/>
      <c r="EQ190" s="249"/>
      <c r="ET190" s="249"/>
      <c r="EW190" s="249"/>
      <c r="EZ190" s="249"/>
      <c r="FC190" s="249"/>
      <c r="FF190" s="249"/>
      <c r="FI190" s="249"/>
      <c r="FL190" s="249"/>
      <c r="FO190" s="249"/>
      <c r="FR190" s="249"/>
      <c r="FU190" s="249"/>
      <c r="FX190" s="249"/>
      <c r="GA190" s="249"/>
      <c r="GD190" s="249"/>
      <c r="GG190" s="249"/>
      <c r="GJ190" s="249"/>
      <c r="GM190" s="249"/>
      <c r="GP190" s="249"/>
      <c r="GS190" s="249"/>
      <c r="GV190" s="249"/>
      <c r="GY190" s="249"/>
      <c r="HB190" s="249"/>
      <c r="HE190" s="249"/>
    </row>
    <row r="191" spans="1:213" x14ac:dyDescent="0.2">
      <c r="A191" s="262" t="s">
        <v>29</v>
      </c>
      <c r="B191" s="284">
        <v>92</v>
      </c>
      <c r="C191" s="262" t="s">
        <v>30</v>
      </c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W191" s="249"/>
      <c r="Z191" s="249"/>
      <c r="AC191" s="249"/>
      <c r="AD191" s="249"/>
      <c r="AE191" s="249"/>
      <c r="AF191" s="249"/>
      <c r="AG191" s="249"/>
      <c r="AJ191" s="249"/>
      <c r="AM191" s="249"/>
      <c r="AP191" s="249"/>
      <c r="AS191" s="249"/>
      <c r="AV191" s="249"/>
      <c r="AY191" s="249"/>
      <c r="BB191" s="249"/>
      <c r="BE191" s="249"/>
      <c r="BH191" s="249"/>
      <c r="BK191" s="249"/>
      <c r="BN191" s="249"/>
      <c r="BQ191" s="249"/>
      <c r="BT191" s="249"/>
      <c r="BW191" s="249"/>
      <c r="BZ191" s="249"/>
      <c r="CC191" s="249"/>
      <c r="CF191" s="249"/>
      <c r="CI191" s="249"/>
      <c r="CL191" s="249"/>
      <c r="CO191" s="249"/>
      <c r="CR191" s="249"/>
      <c r="CU191" s="249"/>
      <c r="CX191" s="249"/>
      <c r="DA191" s="249"/>
      <c r="DD191" s="249"/>
      <c r="DG191" s="249"/>
      <c r="DJ191" s="249"/>
      <c r="DM191" s="249"/>
      <c r="DP191" s="249"/>
      <c r="DS191" s="249"/>
      <c r="DV191" s="249"/>
      <c r="DY191" s="249"/>
      <c r="EB191" s="249"/>
      <c r="EE191" s="249"/>
      <c r="EH191" s="249"/>
      <c r="EK191" s="249"/>
      <c r="EN191" s="249"/>
      <c r="EQ191" s="249"/>
      <c r="ET191" s="249"/>
      <c r="EW191" s="249"/>
      <c r="EZ191" s="249"/>
      <c r="FC191" s="249"/>
      <c r="FF191" s="249"/>
      <c r="FI191" s="249"/>
      <c r="FL191" s="249"/>
      <c r="FO191" s="249"/>
      <c r="FR191" s="249"/>
      <c r="FU191" s="249"/>
      <c r="FX191" s="249"/>
      <c r="GA191" s="249"/>
      <c r="GD191" s="249"/>
      <c r="GG191" s="249"/>
      <c r="GJ191" s="249"/>
      <c r="GM191" s="249"/>
      <c r="GP191" s="249"/>
      <c r="GS191" s="249"/>
      <c r="GV191" s="249"/>
      <c r="GY191" s="249"/>
      <c r="HB191" s="249"/>
      <c r="HE191" s="249"/>
    </row>
    <row r="192" spans="1:213" x14ac:dyDescent="0.2">
      <c r="A192" s="249" t="s">
        <v>287</v>
      </c>
      <c r="B192" s="283">
        <v>1.03</v>
      </c>
      <c r="C192" s="249" t="s">
        <v>288</v>
      </c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W192" s="249"/>
      <c r="Z192" s="249"/>
      <c r="AC192" s="249"/>
      <c r="AD192" s="249"/>
      <c r="AE192" s="249"/>
      <c r="AF192" s="249"/>
      <c r="AG192" s="249"/>
      <c r="AJ192" s="249"/>
      <c r="AM192" s="249"/>
      <c r="AP192" s="249"/>
      <c r="AS192" s="249"/>
      <c r="AV192" s="249"/>
      <c r="AY192" s="249"/>
      <c r="BB192" s="249"/>
      <c r="BE192" s="249"/>
      <c r="BH192" s="249"/>
      <c r="BK192" s="249"/>
      <c r="BN192" s="249"/>
      <c r="BQ192" s="249"/>
      <c r="BT192" s="249"/>
      <c r="BW192" s="249"/>
      <c r="BZ192" s="249"/>
      <c r="CC192" s="249"/>
      <c r="CF192" s="249"/>
      <c r="CI192" s="249"/>
      <c r="CL192" s="249"/>
      <c r="CO192" s="249"/>
      <c r="CR192" s="249"/>
      <c r="CU192" s="249"/>
      <c r="CX192" s="249"/>
      <c r="DA192" s="249"/>
      <c r="DD192" s="249"/>
      <c r="DG192" s="249"/>
      <c r="DJ192" s="249"/>
      <c r="DM192" s="249"/>
      <c r="DP192" s="249"/>
      <c r="DS192" s="249"/>
      <c r="DV192" s="249"/>
      <c r="DY192" s="249"/>
      <c r="EB192" s="249"/>
      <c r="EE192" s="249"/>
      <c r="EH192" s="249"/>
      <c r="EK192" s="249"/>
      <c r="EN192" s="249"/>
      <c r="EQ192" s="249"/>
      <c r="ET192" s="249"/>
      <c r="EW192" s="249"/>
      <c r="EZ192" s="249"/>
      <c r="FC192" s="249"/>
      <c r="FF192" s="249"/>
      <c r="FI192" s="249"/>
      <c r="FL192" s="249"/>
      <c r="FO192" s="249"/>
      <c r="FR192" s="249"/>
      <c r="FU192" s="249"/>
      <c r="FX192" s="249"/>
      <c r="GA192" s="249"/>
      <c r="GD192" s="249"/>
      <c r="GG192" s="249"/>
      <c r="GJ192" s="249"/>
      <c r="GM192" s="249"/>
      <c r="GP192" s="249"/>
      <c r="GS192" s="249"/>
      <c r="GV192" s="249"/>
      <c r="GY192" s="249"/>
      <c r="HB192" s="249"/>
      <c r="HE192" s="249"/>
    </row>
    <row r="193" spans="1:213" x14ac:dyDescent="0.2">
      <c r="A193" s="262" t="s">
        <v>406</v>
      </c>
      <c r="B193" s="284">
        <v>20.3</v>
      </c>
      <c r="C193" s="249" t="s">
        <v>283</v>
      </c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W193" s="249"/>
      <c r="Z193" s="249"/>
      <c r="AC193" s="249"/>
      <c r="AD193" s="249"/>
      <c r="AE193" s="249"/>
      <c r="AF193" s="249"/>
      <c r="AG193" s="249"/>
      <c r="AJ193" s="249"/>
      <c r="AM193" s="249"/>
      <c r="AP193" s="249"/>
      <c r="AS193" s="249"/>
      <c r="AV193" s="249"/>
      <c r="AY193" s="249"/>
      <c r="BB193" s="249"/>
      <c r="BE193" s="249"/>
      <c r="BH193" s="249"/>
      <c r="BK193" s="249"/>
      <c r="BN193" s="249"/>
      <c r="BQ193" s="249"/>
      <c r="BT193" s="249"/>
      <c r="BW193" s="249"/>
      <c r="BZ193" s="249"/>
      <c r="CC193" s="249"/>
      <c r="CF193" s="249"/>
      <c r="CI193" s="249"/>
      <c r="CL193" s="249"/>
      <c r="CO193" s="249"/>
      <c r="CR193" s="249"/>
      <c r="CU193" s="249"/>
      <c r="CX193" s="249"/>
      <c r="DA193" s="249"/>
      <c r="DD193" s="249"/>
      <c r="DG193" s="249"/>
      <c r="DJ193" s="249"/>
      <c r="DM193" s="249"/>
      <c r="DP193" s="249"/>
      <c r="DS193" s="249"/>
      <c r="DV193" s="249"/>
      <c r="DY193" s="249"/>
      <c r="EB193" s="249"/>
      <c r="EE193" s="249"/>
      <c r="EH193" s="249"/>
      <c r="EK193" s="249"/>
      <c r="EN193" s="249"/>
      <c r="EQ193" s="249"/>
      <c r="ET193" s="249"/>
      <c r="EW193" s="249"/>
      <c r="EZ193" s="249"/>
      <c r="FC193" s="249"/>
      <c r="FF193" s="249"/>
      <c r="FI193" s="249"/>
      <c r="FL193" s="249"/>
      <c r="FO193" s="249"/>
      <c r="FR193" s="249"/>
      <c r="FU193" s="249"/>
      <c r="FX193" s="249"/>
      <c r="GA193" s="249"/>
      <c r="GD193" s="249"/>
      <c r="GG193" s="249"/>
      <c r="GJ193" s="249"/>
      <c r="GM193" s="249"/>
      <c r="GP193" s="249"/>
      <c r="GS193" s="249"/>
      <c r="GV193" s="249"/>
      <c r="GY193" s="249"/>
      <c r="HB193" s="249"/>
      <c r="HE193" s="249"/>
    </row>
    <row r="194" spans="1:213" x14ac:dyDescent="0.2">
      <c r="A194" s="262" t="s">
        <v>407</v>
      </c>
      <c r="B194" s="284">
        <v>0.4</v>
      </c>
      <c r="C194" s="249" t="s">
        <v>283</v>
      </c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W194" s="249"/>
      <c r="Z194" s="249"/>
      <c r="AC194" s="249"/>
      <c r="AD194" s="249"/>
      <c r="AE194" s="249"/>
      <c r="AF194" s="249"/>
      <c r="AG194" s="249"/>
      <c r="AJ194" s="249"/>
      <c r="AM194" s="249"/>
      <c r="AP194" s="249"/>
      <c r="AS194" s="249"/>
      <c r="AV194" s="249"/>
      <c r="AY194" s="249"/>
      <c r="BB194" s="249"/>
      <c r="BE194" s="249"/>
      <c r="BH194" s="249"/>
      <c r="BK194" s="249"/>
      <c r="BN194" s="249"/>
      <c r="BQ194" s="249"/>
      <c r="BT194" s="249"/>
      <c r="BW194" s="249"/>
      <c r="BZ194" s="249"/>
      <c r="CC194" s="249"/>
      <c r="CF194" s="249"/>
      <c r="CI194" s="249"/>
      <c r="CL194" s="249"/>
      <c r="CO194" s="249"/>
      <c r="CR194" s="249"/>
      <c r="CU194" s="249"/>
      <c r="CX194" s="249"/>
      <c r="DA194" s="249"/>
      <c r="DD194" s="249"/>
      <c r="DG194" s="249"/>
      <c r="DJ194" s="249"/>
      <c r="DM194" s="249"/>
      <c r="DP194" s="249"/>
      <c r="DS194" s="249"/>
      <c r="DV194" s="249"/>
      <c r="DY194" s="249"/>
      <c r="EB194" s="249"/>
      <c r="EE194" s="249"/>
      <c r="EH194" s="249"/>
      <c r="EK194" s="249"/>
      <c r="EN194" s="249"/>
      <c r="EQ194" s="249"/>
      <c r="ET194" s="249"/>
      <c r="EW194" s="249"/>
      <c r="EZ194" s="249"/>
      <c r="FC194" s="249"/>
      <c r="FF194" s="249"/>
      <c r="FI194" s="249"/>
      <c r="FL194" s="249"/>
      <c r="FO194" s="249"/>
      <c r="FR194" s="249"/>
      <c r="FU194" s="249"/>
      <c r="FX194" s="249"/>
      <c r="GA194" s="249"/>
      <c r="GD194" s="249"/>
      <c r="GG194" s="249"/>
      <c r="GJ194" s="249"/>
      <c r="GM194" s="249"/>
      <c r="GP194" s="249"/>
      <c r="GS194" s="249"/>
      <c r="GV194" s="249"/>
      <c r="GY194" s="249"/>
      <c r="HB194" s="249"/>
      <c r="HE194" s="249"/>
    </row>
    <row r="195" spans="1:213" x14ac:dyDescent="0.2">
      <c r="A195" s="262" t="s">
        <v>408</v>
      </c>
      <c r="B195" s="284">
        <v>1</v>
      </c>
      <c r="C195" s="247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W195" s="249"/>
      <c r="Z195" s="249"/>
      <c r="AC195" s="249"/>
      <c r="AD195" s="249"/>
      <c r="AE195" s="249"/>
      <c r="AF195" s="249"/>
      <c r="AG195" s="249"/>
      <c r="AJ195" s="249"/>
      <c r="AM195" s="249"/>
      <c r="AP195" s="249"/>
      <c r="AS195" s="249"/>
      <c r="AV195" s="249"/>
      <c r="AY195" s="249"/>
      <c r="BB195" s="249"/>
      <c r="BE195" s="249"/>
      <c r="BH195" s="249"/>
      <c r="BK195" s="249"/>
      <c r="BN195" s="249"/>
      <c r="BQ195" s="249"/>
      <c r="BT195" s="249"/>
      <c r="BW195" s="249"/>
      <c r="BZ195" s="249"/>
      <c r="CC195" s="249"/>
      <c r="CF195" s="249"/>
      <c r="CI195" s="249"/>
      <c r="CL195" s="249"/>
      <c r="CO195" s="249"/>
      <c r="CR195" s="249"/>
      <c r="CU195" s="249"/>
      <c r="CX195" s="249"/>
      <c r="DA195" s="249"/>
      <c r="DD195" s="249"/>
      <c r="DG195" s="249"/>
      <c r="DJ195" s="249"/>
      <c r="DM195" s="249"/>
      <c r="DP195" s="249"/>
      <c r="DS195" s="249"/>
      <c r="DV195" s="249"/>
      <c r="DY195" s="249"/>
      <c r="EB195" s="249"/>
      <c r="EE195" s="249"/>
      <c r="EH195" s="249"/>
      <c r="EK195" s="249"/>
      <c r="EN195" s="249"/>
      <c r="EQ195" s="249"/>
      <c r="ET195" s="249"/>
      <c r="EW195" s="249"/>
      <c r="EZ195" s="249"/>
      <c r="FC195" s="249"/>
      <c r="FF195" s="249"/>
      <c r="FI195" s="249"/>
      <c r="FL195" s="249"/>
      <c r="FO195" s="249"/>
      <c r="FR195" s="249"/>
      <c r="FU195" s="249"/>
      <c r="FX195" s="249"/>
      <c r="GA195" s="249"/>
      <c r="GD195" s="249"/>
      <c r="GG195" s="249"/>
      <c r="GJ195" s="249"/>
      <c r="GM195" s="249"/>
      <c r="GP195" s="249"/>
      <c r="GS195" s="249"/>
      <c r="GV195" s="249"/>
      <c r="GY195" s="249"/>
      <c r="HB195" s="249"/>
      <c r="HE195" s="249"/>
    </row>
    <row r="196" spans="1:213" x14ac:dyDescent="0.2">
      <c r="A196" s="262" t="s">
        <v>409</v>
      </c>
      <c r="B196" s="284">
        <v>1</v>
      </c>
      <c r="C196" s="247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W196" s="249"/>
      <c r="Z196" s="249"/>
      <c r="AC196" s="249"/>
      <c r="AD196" s="249"/>
      <c r="AE196" s="249"/>
      <c r="AF196" s="249"/>
      <c r="AG196" s="249"/>
      <c r="AJ196" s="249"/>
      <c r="AM196" s="249"/>
      <c r="AP196" s="249"/>
      <c r="AS196" s="249"/>
      <c r="AV196" s="249"/>
      <c r="AY196" s="249"/>
      <c r="BB196" s="249"/>
      <c r="BE196" s="249"/>
      <c r="BH196" s="249"/>
      <c r="BK196" s="249"/>
      <c r="BN196" s="249"/>
      <c r="BQ196" s="249"/>
      <c r="BT196" s="249"/>
      <c r="BW196" s="249"/>
      <c r="BZ196" s="249"/>
      <c r="CC196" s="249"/>
      <c r="CF196" s="249"/>
      <c r="CI196" s="249"/>
      <c r="CL196" s="249"/>
      <c r="CO196" s="249"/>
      <c r="CR196" s="249"/>
      <c r="CU196" s="249"/>
      <c r="CX196" s="249"/>
      <c r="DA196" s="249"/>
      <c r="DD196" s="249"/>
      <c r="DG196" s="249"/>
      <c r="DJ196" s="249"/>
      <c r="DM196" s="249"/>
      <c r="DP196" s="249"/>
      <c r="DS196" s="249"/>
      <c r="DV196" s="249"/>
      <c r="DY196" s="249"/>
      <c r="EB196" s="249"/>
      <c r="EE196" s="249"/>
      <c r="EH196" s="249"/>
      <c r="EK196" s="249"/>
      <c r="EN196" s="249"/>
      <c r="EQ196" s="249"/>
      <c r="ET196" s="249"/>
      <c r="EW196" s="249"/>
      <c r="EZ196" s="249"/>
      <c r="FC196" s="249"/>
      <c r="FF196" s="249"/>
      <c r="FI196" s="249"/>
      <c r="FL196" s="249"/>
      <c r="FO196" s="249"/>
      <c r="FR196" s="249"/>
      <c r="FU196" s="249"/>
      <c r="FX196" s="249"/>
      <c r="GA196" s="249"/>
      <c r="GD196" s="249"/>
      <c r="GG196" s="249"/>
      <c r="GJ196" s="249"/>
      <c r="GM196" s="249"/>
      <c r="GP196" s="249"/>
      <c r="GS196" s="249"/>
      <c r="GV196" s="249"/>
      <c r="GY196" s="249"/>
      <c r="HB196" s="249"/>
      <c r="HE196" s="249"/>
    </row>
    <row r="197" spans="1:213" x14ac:dyDescent="0.2">
      <c r="A197" s="262" t="s">
        <v>31</v>
      </c>
      <c r="B197" s="284">
        <v>53</v>
      </c>
      <c r="C197" s="262" t="s">
        <v>30</v>
      </c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W197" s="249"/>
      <c r="Z197" s="249"/>
      <c r="AC197" s="249"/>
      <c r="AD197" s="249"/>
      <c r="AE197" s="249"/>
      <c r="AF197" s="249"/>
      <c r="AG197" s="249"/>
      <c r="AJ197" s="249"/>
      <c r="AM197" s="249"/>
      <c r="AP197" s="249"/>
      <c r="AS197" s="249"/>
      <c r="AV197" s="249"/>
      <c r="AY197" s="249"/>
      <c r="BB197" s="249"/>
      <c r="BE197" s="249"/>
      <c r="BH197" s="249"/>
      <c r="BK197" s="249"/>
      <c r="BN197" s="249"/>
      <c r="BQ197" s="249"/>
      <c r="BT197" s="249"/>
      <c r="BW197" s="249"/>
      <c r="BZ197" s="249"/>
      <c r="CC197" s="249"/>
      <c r="CF197" s="249"/>
      <c r="CI197" s="249"/>
      <c r="CL197" s="249"/>
      <c r="CO197" s="249"/>
      <c r="CR197" s="249"/>
      <c r="CU197" s="249"/>
      <c r="CX197" s="249"/>
      <c r="DA197" s="249"/>
      <c r="DD197" s="249"/>
      <c r="DG197" s="249"/>
      <c r="DJ197" s="249"/>
      <c r="DM197" s="249"/>
      <c r="DP197" s="249"/>
      <c r="DS197" s="249"/>
      <c r="DV197" s="249"/>
      <c r="DY197" s="249"/>
      <c r="EB197" s="249"/>
      <c r="EE197" s="249"/>
      <c r="EH197" s="249"/>
      <c r="EK197" s="249"/>
      <c r="EN197" s="249"/>
      <c r="EQ197" s="249"/>
      <c r="ET197" s="249"/>
      <c r="EW197" s="249"/>
      <c r="EZ197" s="249"/>
      <c r="FC197" s="249"/>
      <c r="FF197" s="249"/>
      <c r="FI197" s="249"/>
      <c r="FL197" s="249"/>
      <c r="FO197" s="249"/>
      <c r="FR197" s="249"/>
      <c r="FU197" s="249"/>
      <c r="FX197" s="249"/>
      <c r="GA197" s="249"/>
      <c r="GD197" s="249"/>
      <c r="GG197" s="249"/>
      <c r="GJ197" s="249"/>
      <c r="GM197" s="249"/>
      <c r="GP197" s="249"/>
      <c r="GS197" s="249"/>
      <c r="GV197" s="249"/>
      <c r="GY197" s="249"/>
      <c r="HB197" s="249"/>
      <c r="HE197" s="249"/>
    </row>
    <row r="198" spans="1:213" x14ac:dyDescent="0.2">
      <c r="A198" s="262" t="s">
        <v>410</v>
      </c>
      <c r="B198" s="284">
        <v>11.77</v>
      </c>
      <c r="C198" s="249" t="s">
        <v>283</v>
      </c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W198" s="249"/>
      <c r="Z198" s="249"/>
      <c r="AC198" s="249"/>
      <c r="AD198" s="249"/>
      <c r="AE198" s="249"/>
      <c r="AF198" s="249"/>
      <c r="AG198" s="249"/>
      <c r="AJ198" s="249"/>
      <c r="AM198" s="249"/>
      <c r="AP198" s="249"/>
      <c r="AS198" s="249"/>
      <c r="AV198" s="249"/>
      <c r="AY198" s="249"/>
      <c r="BB198" s="249"/>
      <c r="BE198" s="249"/>
      <c r="BH198" s="249"/>
      <c r="BK198" s="249"/>
      <c r="BN198" s="249"/>
      <c r="BQ198" s="249"/>
      <c r="BT198" s="249"/>
      <c r="BW198" s="249"/>
      <c r="BZ198" s="249"/>
      <c r="CC198" s="249"/>
      <c r="CF198" s="249"/>
      <c r="CI198" s="249"/>
      <c r="CL198" s="249"/>
      <c r="CO198" s="249"/>
      <c r="CR198" s="249"/>
      <c r="CU198" s="249"/>
      <c r="CX198" s="249"/>
      <c r="DA198" s="249"/>
      <c r="DD198" s="249"/>
      <c r="DG198" s="249"/>
      <c r="DJ198" s="249"/>
      <c r="DM198" s="249"/>
      <c r="DP198" s="249"/>
      <c r="DS198" s="249"/>
      <c r="DV198" s="249"/>
      <c r="DY198" s="249"/>
      <c r="EB198" s="249"/>
      <c r="EE198" s="249"/>
      <c r="EH198" s="249"/>
      <c r="EK198" s="249"/>
      <c r="EN198" s="249"/>
      <c r="EQ198" s="249"/>
      <c r="ET198" s="249"/>
      <c r="EW198" s="249"/>
      <c r="EZ198" s="249"/>
      <c r="FC198" s="249"/>
      <c r="FF198" s="249"/>
      <c r="FI198" s="249"/>
      <c r="FL198" s="249"/>
      <c r="FO198" s="249"/>
      <c r="FR198" s="249"/>
      <c r="FU198" s="249"/>
      <c r="FX198" s="249"/>
      <c r="GA198" s="249"/>
      <c r="GD198" s="249"/>
      <c r="GG198" s="249"/>
      <c r="GJ198" s="249"/>
      <c r="GM198" s="249"/>
      <c r="GP198" s="249"/>
      <c r="GS198" s="249"/>
      <c r="GV198" s="249"/>
      <c r="GY198" s="249"/>
      <c r="HB198" s="249"/>
      <c r="HE198" s="249"/>
    </row>
    <row r="199" spans="1:213" x14ac:dyDescent="0.2">
      <c r="A199" s="262" t="s">
        <v>411</v>
      </c>
      <c r="B199" s="284">
        <v>0.5</v>
      </c>
      <c r="C199" s="249" t="s">
        <v>283</v>
      </c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W199" s="249"/>
      <c r="Z199" s="249"/>
      <c r="AC199" s="249"/>
      <c r="AD199" s="249"/>
      <c r="AE199" s="249"/>
      <c r="AF199" s="249"/>
      <c r="AG199" s="249"/>
      <c r="AJ199" s="249"/>
      <c r="AM199" s="249"/>
      <c r="AP199" s="249"/>
      <c r="AS199" s="249"/>
      <c r="AV199" s="249"/>
      <c r="AY199" s="249"/>
      <c r="BB199" s="249"/>
      <c r="BE199" s="249"/>
      <c r="BH199" s="249"/>
      <c r="BK199" s="249"/>
      <c r="BN199" s="249"/>
      <c r="BQ199" s="249"/>
      <c r="BT199" s="249"/>
      <c r="BW199" s="249"/>
      <c r="BZ199" s="249"/>
      <c r="CC199" s="249"/>
      <c r="CF199" s="249"/>
      <c r="CI199" s="249"/>
      <c r="CL199" s="249"/>
      <c r="CO199" s="249"/>
      <c r="CR199" s="249"/>
      <c r="CU199" s="249"/>
      <c r="CX199" s="249"/>
      <c r="DA199" s="249"/>
      <c r="DD199" s="249"/>
      <c r="DG199" s="249"/>
      <c r="DJ199" s="249"/>
      <c r="DM199" s="249"/>
      <c r="DP199" s="249"/>
      <c r="DS199" s="249"/>
      <c r="DV199" s="249"/>
      <c r="DY199" s="249"/>
      <c r="EB199" s="249"/>
      <c r="EE199" s="249"/>
      <c r="EH199" s="249"/>
      <c r="EK199" s="249"/>
      <c r="EN199" s="249"/>
      <c r="EQ199" s="249"/>
      <c r="ET199" s="249"/>
      <c r="EW199" s="249"/>
      <c r="EZ199" s="249"/>
      <c r="FC199" s="249"/>
      <c r="FF199" s="249"/>
      <c r="FI199" s="249"/>
      <c r="FL199" s="249"/>
      <c r="FO199" s="249"/>
      <c r="FR199" s="249"/>
      <c r="FU199" s="249"/>
      <c r="FX199" s="249"/>
      <c r="GA199" s="249"/>
      <c r="GD199" s="249"/>
      <c r="GG199" s="249"/>
      <c r="GJ199" s="249"/>
      <c r="GM199" s="249"/>
      <c r="GP199" s="249"/>
      <c r="GS199" s="249"/>
      <c r="GV199" s="249"/>
      <c r="GY199" s="249"/>
      <c r="HB199" s="249"/>
      <c r="HE199" s="249"/>
    </row>
    <row r="200" spans="1:213" x14ac:dyDescent="0.2">
      <c r="A200" s="262" t="s">
        <v>412</v>
      </c>
      <c r="B200" s="284">
        <v>1</v>
      </c>
      <c r="C200" s="247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W200" s="249"/>
      <c r="Z200" s="249"/>
      <c r="AC200" s="249"/>
      <c r="AD200" s="249"/>
      <c r="AE200" s="249"/>
      <c r="AF200" s="249"/>
      <c r="AG200" s="249"/>
      <c r="AJ200" s="249"/>
      <c r="AM200" s="249"/>
      <c r="AP200" s="249"/>
      <c r="AS200" s="249"/>
      <c r="AV200" s="249"/>
      <c r="AY200" s="249"/>
      <c r="BB200" s="249"/>
      <c r="BE200" s="249"/>
      <c r="BH200" s="249"/>
      <c r="BK200" s="249"/>
      <c r="BN200" s="249"/>
      <c r="BQ200" s="249"/>
      <c r="BT200" s="249"/>
      <c r="BW200" s="249"/>
      <c r="BZ200" s="249"/>
      <c r="CC200" s="249"/>
      <c r="CF200" s="249"/>
      <c r="CI200" s="249"/>
      <c r="CL200" s="249"/>
      <c r="CO200" s="249"/>
      <c r="CR200" s="249"/>
      <c r="CU200" s="249"/>
      <c r="CX200" s="249"/>
      <c r="DA200" s="249"/>
      <c r="DD200" s="249"/>
      <c r="DG200" s="249"/>
      <c r="DJ200" s="249"/>
      <c r="DM200" s="249"/>
      <c r="DP200" s="249"/>
      <c r="DS200" s="249"/>
      <c r="DV200" s="249"/>
      <c r="DY200" s="249"/>
      <c r="EB200" s="249"/>
      <c r="EE200" s="249"/>
      <c r="EH200" s="249"/>
      <c r="EK200" s="249"/>
      <c r="EN200" s="249"/>
      <c r="EQ200" s="249"/>
      <c r="ET200" s="249"/>
      <c r="EW200" s="249"/>
      <c r="EZ200" s="249"/>
      <c r="FC200" s="249"/>
      <c r="FF200" s="249"/>
      <c r="FI200" s="249"/>
      <c r="FL200" s="249"/>
      <c r="FO200" s="249"/>
      <c r="FR200" s="249"/>
      <c r="FU200" s="249"/>
      <c r="FX200" s="249"/>
      <c r="GA200" s="249"/>
      <c r="GD200" s="249"/>
      <c r="GG200" s="249"/>
      <c r="GJ200" s="249"/>
      <c r="GM200" s="249"/>
      <c r="GP200" s="249"/>
      <c r="GS200" s="249"/>
      <c r="GV200" s="249"/>
      <c r="GY200" s="249"/>
      <c r="HB200" s="249"/>
      <c r="HE200" s="249"/>
    </row>
    <row r="201" spans="1:213" x14ac:dyDescent="0.2">
      <c r="A201" s="262" t="s">
        <v>413</v>
      </c>
      <c r="B201" s="284">
        <v>1</v>
      </c>
      <c r="C201" s="247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W201" s="249"/>
      <c r="Z201" s="249"/>
      <c r="AC201" s="249"/>
      <c r="AD201" s="249"/>
      <c r="AE201" s="249"/>
      <c r="AF201" s="249"/>
      <c r="AG201" s="249"/>
      <c r="AJ201" s="249"/>
      <c r="AM201" s="249"/>
      <c r="AP201" s="249"/>
      <c r="AS201" s="249"/>
      <c r="AV201" s="249"/>
      <c r="AY201" s="249"/>
      <c r="BB201" s="249"/>
      <c r="BE201" s="249"/>
      <c r="BH201" s="249"/>
      <c r="BK201" s="249"/>
      <c r="BN201" s="249"/>
      <c r="BQ201" s="249"/>
      <c r="BT201" s="249"/>
      <c r="BW201" s="249"/>
      <c r="BZ201" s="249"/>
      <c r="CC201" s="249"/>
      <c r="CF201" s="249"/>
      <c r="CI201" s="249"/>
      <c r="CL201" s="249"/>
      <c r="CO201" s="249"/>
      <c r="CR201" s="249"/>
      <c r="CU201" s="249"/>
      <c r="CX201" s="249"/>
      <c r="DA201" s="249"/>
      <c r="DD201" s="249"/>
      <c r="DG201" s="249"/>
      <c r="DJ201" s="249"/>
      <c r="DM201" s="249"/>
      <c r="DP201" s="249"/>
      <c r="DS201" s="249"/>
      <c r="DV201" s="249"/>
      <c r="DY201" s="249"/>
      <c r="EB201" s="249"/>
      <c r="EE201" s="249"/>
      <c r="EH201" s="249"/>
      <c r="EK201" s="249"/>
      <c r="EN201" s="249"/>
      <c r="EQ201" s="249"/>
      <c r="ET201" s="249"/>
      <c r="EW201" s="249"/>
      <c r="EZ201" s="249"/>
      <c r="FC201" s="249"/>
      <c r="FF201" s="249"/>
      <c r="FI201" s="249"/>
      <c r="FL201" s="249"/>
      <c r="FO201" s="249"/>
      <c r="FR201" s="249"/>
      <c r="FU201" s="249"/>
      <c r="FX201" s="249"/>
      <c r="GA201" s="249"/>
      <c r="GD201" s="249"/>
      <c r="GG201" s="249"/>
      <c r="GJ201" s="249"/>
      <c r="GM201" s="249"/>
      <c r="GP201" s="249"/>
      <c r="GS201" s="249"/>
      <c r="GV201" s="249"/>
      <c r="GY201" s="249"/>
      <c r="HB201" s="249"/>
      <c r="HE201" s="249"/>
    </row>
    <row r="202" spans="1:213" x14ac:dyDescent="0.2">
      <c r="A202" s="262" t="s">
        <v>173</v>
      </c>
      <c r="B202" s="283">
        <v>0.4</v>
      </c>
      <c r="C202" s="262" t="s">
        <v>30</v>
      </c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W202" s="249"/>
      <c r="Z202" s="249"/>
      <c r="AC202" s="249"/>
      <c r="AD202" s="249"/>
      <c r="AE202" s="249"/>
      <c r="AF202" s="249"/>
      <c r="AG202" s="249"/>
      <c r="AJ202" s="249"/>
      <c r="AM202" s="249"/>
      <c r="AP202" s="249"/>
      <c r="AS202" s="249"/>
      <c r="AV202" s="249"/>
      <c r="AY202" s="249"/>
      <c r="BB202" s="249"/>
      <c r="BE202" s="249"/>
      <c r="BH202" s="249"/>
      <c r="BK202" s="249"/>
      <c r="BN202" s="249"/>
      <c r="BQ202" s="249"/>
      <c r="BT202" s="249"/>
      <c r="BW202" s="249"/>
      <c r="BZ202" s="249"/>
      <c r="CC202" s="249"/>
      <c r="CF202" s="249"/>
      <c r="CI202" s="249"/>
      <c r="CL202" s="249"/>
      <c r="CO202" s="249"/>
      <c r="CR202" s="249"/>
      <c r="CU202" s="249"/>
      <c r="CX202" s="249"/>
      <c r="DA202" s="249"/>
      <c r="DD202" s="249"/>
      <c r="DG202" s="249"/>
      <c r="DJ202" s="249"/>
      <c r="DM202" s="249"/>
      <c r="DP202" s="249"/>
      <c r="DS202" s="249"/>
      <c r="DV202" s="249"/>
      <c r="DY202" s="249"/>
      <c r="EB202" s="249"/>
      <c r="EE202" s="249"/>
      <c r="EH202" s="249"/>
      <c r="EK202" s="249"/>
      <c r="EN202" s="249"/>
      <c r="EQ202" s="249"/>
      <c r="ET202" s="249"/>
      <c r="EW202" s="249"/>
      <c r="EZ202" s="249"/>
      <c r="FC202" s="249"/>
      <c r="FF202" s="249"/>
      <c r="FI202" s="249"/>
      <c r="FL202" s="249"/>
      <c r="FO202" s="249"/>
      <c r="FR202" s="249"/>
      <c r="FU202" s="249"/>
      <c r="FX202" s="249"/>
      <c r="GA202" s="249"/>
      <c r="GD202" s="249"/>
      <c r="GG202" s="249"/>
      <c r="GJ202" s="249"/>
      <c r="GM202" s="249"/>
      <c r="GP202" s="249"/>
      <c r="GS202" s="249"/>
      <c r="GV202" s="249"/>
      <c r="GY202" s="249"/>
      <c r="HB202" s="249"/>
      <c r="HE202" s="249"/>
    </row>
    <row r="203" spans="1:213" x14ac:dyDescent="0.2">
      <c r="A203" s="262" t="s">
        <v>177</v>
      </c>
      <c r="B203" s="284">
        <v>0.2</v>
      </c>
      <c r="C203" s="249" t="s">
        <v>283</v>
      </c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W203" s="249"/>
      <c r="Z203" s="249"/>
      <c r="AC203" s="249"/>
      <c r="AD203" s="249"/>
      <c r="AE203" s="249"/>
      <c r="AF203" s="249"/>
      <c r="AG203" s="249"/>
      <c r="AJ203" s="249"/>
      <c r="AM203" s="249"/>
      <c r="AP203" s="249"/>
      <c r="AS203" s="249"/>
      <c r="AV203" s="249"/>
      <c r="AY203" s="249"/>
      <c r="BB203" s="249"/>
      <c r="BE203" s="249"/>
      <c r="BH203" s="249"/>
      <c r="BK203" s="249"/>
      <c r="BN203" s="249"/>
      <c r="BQ203" s="249"/>
      <c r="BT203" s="249"/>
      <c r="BW203" s="249"/>
      <c r="BZ203" s="249"/>
      <c r="CC203" s="249"/>
      <c r="CF203" s="249"/>
      <c r="CI203" s="249"/>
      <c r="CL203" s="249"/>
      <c r="CO203" s="249"/>
      <c r="CR203" s="249"/>
      <c r="CU203" s="249"/>
      <c r="CX203" s="249"/>
      <c r="DA203" s="249"/>
      <c r="DD203" s="249"/>
      <c r="DG203" s="249"/>
      <c r="DJ203" s="249"/>
      <c r="DM203" s="249"/>
      <c r="DP203" s="249"/>
      <c r="DS203" s="249"/>
      <c r="DV203" s="249"/>
      <c r="DY203" s="249"/>
      <c r="EB203" s="249"/>
      <c r="EE203" s="249"/>
      <c r="EH203" s="249"/>
      <c r="EK203" s="249"/>
      <c r="EN203" s="249"/>
      <c r="EQ203" s="249"/>
      <c r="ET203" s="249"/>
      <c r="EW203" s="249"/>
      <c r="EZ203" s="249"/>
      <c r="FC203" s="249"/>
      <c r="FF203" s="249"/>
      <c r="FI203" s="249"/>
      <c r="FL203" s="249"/>
      <c r="FO203" s="249"/>
      <c r="FR203" s="249"/>
      <c r="FU203" s="249"/>
      <c r="FX203" s="249"/>
      <c r="GA203" s="249"/>
      <c r="GD203" s="249"/>
      <c r="GG203" s="249"/>
      <c r="GJ203" s="249"/>
      <c r="GM203" s="249"/>
      <c r="GP203" s="249"/>
      <c r="GS203" s="249"/>
      <c r="GV203" s="249"/>
      <c r="GY203" s="249"/>
      <c r="HB203" s="249"/>
      <c r="HE203" s="249"/>
    </row>
    <row r="204" spans="1:213" x14ac:dyDescent="0.2">
      <c r="A204" s="262" t="s">
        <v>176</v>
      </c>
      <c r="B204" s="284">
        <v>2.1999999999999999E-2</v>
      </c>
      <c r="C204" s="249" t="s">
        <v>283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W204" s="249"/>
      <c r="Z204" s="249"/>
      <c r="AC204" s="249"/>
      <c r="AD204" s="249"/>
      <c r="AE204" s="249"/>
      <c r="AF204" s="249"/>
      <c r="AG204" s="249"/>
      <c r="AJ204" s="249"/>
      <c r="AM204" s="249"/>
      <c r="AP204" s="249"/>
      <c r="AS204" s="249"/>
      <c r="AV204" s="249"/>
      <c r="AY204" s="249"/>
      <c r="BB204" s="249"/>
      <c r="BE204" s="249"/>
      <c r="BH204" s="249"/>
      <c r="BK204" s="249"/>
      <c r="BN204" s="249"/>
      <c r="BQ204" s="249"/>
      <c r="BT204" s="249"/>
      <c r="BW204" s="249"/>
      <c r="BZ204" s="249"/>
      <c r="CC204" s="249"/>
      <c r="CF204" s="249"/>
      <c r="CI204" s="249"/>
      <c r="CL204" s="249"/>
      <c r="CO204" s="249"/>
      <c r="CR204" s="249"/>
      <c r="CU204" s="249"/>
      <c r="CX204" s="249"/>
      <c r="DA204" s="249"/>
      <c r="DD204" s="249"/>
      <c r="DG204" s="249"/>
      <c r="DJ204" s="249"/>
      <c r="DM204" s="249"/>
      <c r="DP204" s="249"/>
      <c r="DS204" s="249"/>
      <c r="DV204" s="249"/>
      <c r="DY204" s="249"/>
      <c r="EB204" s="249"/>
      <c r="EE204" s="249"/>
      <c r="EH204" s="249"/>
      <c r="EK204" s="249"/>
      <c r="EN204" s="249"/>
      <c r="EQ204" s="249"/>
      <c r="ET204" s="249"/>
      <c r="EW204" s="249"/>
      <c r="EZ204" s="249"/>
      <c r="FC204" s="249"/>
      <c r="FF204" s="249"/>
      <c r="FI204" s="249"/>
      <c r="FL204" s="249"/>
      <c r="FO204" s="249"/>
      <c r="FR204" s="249"/>
      <c r="FU204" s="249"/>
      <c r="FX204" s="249"/>
      <c r="GA204" s="249"/>
      <c r="GD204" s="249"/>
      <c r="GG204" s="249"/>
      <c r="GJ204" s="249"/>
      <c r="GM204" s="249"/>
      <c r="GP204" s="249"/>
      <c r="GS204" s="249"/>
      <c r="GV204" s="249"/>
      <c r="GY204" s="249"/>
      <c r="HB204" s="249"/>
      <c r="HE204" s="249"/>
    </row>
    <row r="205" spans="1:213" x14ac:dyDescent="0.2">
      <c r="A205" s="262" t="s">
        <v>178</v>
      </c>
      <c r="B205" s="283">
        <v>1</v>
      </c>
      <c r="C205" s="247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W205" s="249"/>
      <c r="Z205" s="249"/>
      <c r="AC205" s="249"/>
      <c r="AD205" s="249"/>
      <c r="AE205" s="249"/>
      <c r="AF205" s="249"/>
      <c r="AG205" s="249"/>
      <c r="AJ205" s="249"/>
      <c r="AM205" s="249"/>
      <c r="AP205" s="249"/>
      <c r="AS205" s="249"/>
      <c r="AV205" s="249"/>
      <c r="AY205" s="249"/>
      <c r="BB205" s="249"/>
      <c r="BE205" s="249"/>
      <c r="BH205" s="249"/>
      <c r="BK205" s="249"/>
      <c r="BN205" s="249"/>
      <c r="BQ205" s="249"/>
      <c r="BT205" s="249"/>
      <c r="BW205" s="249"/>
      <c r="BZ205" s="249"/>
      <c r="CC205" s="249"/>
      <c r="CF205" s="249"/>
      <c r="CI205" s="249"/>
      <c r="CL205" s="249"/>
      <c r="CO205" s="249"/>
      <c r="CR205" s="249"/>
      <c r="CU205" s="249"/>
      <c r="CX205" s="249"/>
      <c r="DA205" s="249"/>
      <c r="DD205" s="249"/>
      <c r="DG205" s="249"/>
      <c r="DJ205" s="249"/>
      <c r="DM205" s="249"/>
      <c r="DP205" s="249"/>
      <c r="DS205" s="249"/>
      <c r="DV205" s="249"/>
      <c r="DY205" s="249"/>
      <c r="EB205" s="249"/>
      <c r="EE205" s="249"/>
      <c r="EH205" s="249"/>
      <c r="EK205" s="249"/>
      <c r="EN205" s="249"/>
      <c r="EQ205" s="249"/>
      <c r="ET205" s="249"/>
      <c r="EW205" s="249"/>
      <c r="EZ205" s="249"/>
      <c r="FC205" s="249"/>
      <c r="FF205" s="249"/>
      <c r="FI205" s="249"/>
      <c r="FL205" s="249"/>
      <c r="FO205" s="249"/>
      <c r="FR205" s="249"/>
      <c r="FU205" s="249"/>
      <c r="FX205" s="249"/>
      <c r="GA205" s="249"/>
      <c r="GD205" s="249"/>
      <c r="GG205" s="249"/>
      <c r="GJ205" s="249"/>
      <c r="GM205" s="249"/>
      <c r="GP205" s="249"/>
      <c r="GS205" s="249"/>
      <c r="GV205" s="249"/>
      <c r="GY205" s="249"/>
      <c r="HB205" s="249"/>
      <c r="HE205" s="249"/>
    </row>
    <row r="206" spans="1:213" x14ac:dyDescent="0.2">
      <c r="A206" s="262" t="s">
        <v>179</v>
      </c>
      <c r="B206" s="283">
        <v>1</v>
      </c>
      <c r="C206" s="247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W206" s="249"/>
      <c r="Z206" s="249"/>
      <c r="AC206" s="249"/>
      <c r="AD206" s="249"/>
      <c r="AE206" s="249"/>
      <c r="AF206" s="249"/>
      <c r="AG206" s="249"/>
      <c r="AJ206" s="249"/>
      <c r="AM206" s="249"/>
      <c r="AP206" s="249"/>
      <c r="AS206" s="249"/>
      <c r="AV206" s="249"/>
      <c r="AY206" s="249"/>
      <c r="BB206" s="249"/>
      <c r="BE206" s="249"/>
      <c r="BH206" s="249"/>
      <c r="BK206" s="249"/>
      <c r="BN206" s="249"/>
      <c r="BQ206" s="249"/>
      <c r="BT206" s="249"/>
      <c r="BW206" s="249"/>
      <c r="BZ206" s="249"/>
      <c r="CC206" s="249"/>
      <c r="CF206" s="249"/>
      <c r="CI206" s="249"/>
      <c r="CL206" s="249"/>
      <c r="CO206" s="249"/>
      <c r="CR206" s="249"/>
      <c r="CU206" s="249"/>
      <c r="CX206" s="249"/>
      <c r="DA206" s="249"/>
      <c r="DD206" s="249"/>
      <c r="DG206" s="249"/>
      <c r="DJ206" s="249"/>
      <c r="DM206" s="249"/>
      <c r="DP206" s="249"/>
      <c r="DS206" s="249"/>
      <c r="DV206" s="249"/>
      <c r="DY206" s="249"/>
      <c r="EB206" s="249"/>
      <c r="EE206" s="249"/>
      <c r="EH206" s="249"/>
      <c r="EK206" s="249"/>
      <c r="EN206" s="249"/>
      <c r="EQ206" s="249"/>
      <c r="ET206" s="249"/>
      <c r="EW206" s="249"/>
      <c r="EZ206" s="249"/>
      <c r="FC206" s="249"/>
      <c r="FF206" s="249"/>
      <c r="FI206" s="249"/>
      <c r="FL206" s="249"/>
      <c r="FO206" s="249"/>
      <c r="FR206" s="249"/>
      <c r="FU206" s="249"/>
      <c r="FX206" s="249"/>
      <c r="GA206" s="249"/>
      <c r="GD206" s="249"/>
      <c r="GG206" s="249"/>
      <c r="GJ206" s="249"/>
      <c r="GM206" s="249"/>
      <c r="GP206" s="249"/>
      <c r="GS206" s="249"/>
      <c r="GV206" s="249"/>
      <c r="GY206" s="249"/>
      <c r="HB206" s="249"/>
      <c r="HE206" s="249"/>
    </row>
    <row r="207" spans="1:213" x14ac:dyDescent="0.2">
      <c r="A207" s="262" t="s">
        <v>414</v>
      </c>
      <c r="B207" s="283">
        <v>0.4</v>
      </c>
      <c r="C207" s="262" t="s">
        <v>30</v>
      </c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W207" s="249"/>
      <c r="Z207" s="249"/>
      <c r="AC207" s="249"/>
      <c r="AD207" s="249"/>
      <c r="AE207" s="249"/>
      <c r="AF207" s="249"/>
      <c r="AG207" s="249"/>
      <c r="AJ207" s="249"/>
      <c r="AM207" s="249"/>
      <c r="AP207" s="249"/>
      <c r="AS207" s="249"/>
      <c r="AV207" s="249"/>
      <c r="AY207" s="249"/>
      <c r="BB207" s="249"/>
      <c r="BE207" s="249"/>
      <c r="BH207" s="249"/>
      <c r="BK207" s="249"/>
      <c r="BN207" s="249"/>
      <c r="BQ207" s="249"/>
      <c r="BT207" s="249"/>
      <c r="BW207" s="249"/>
      <c r="BZ207" s="249"/>
      <c r="CC207" s="249"/>
      <c r="CF207" s="249"/>
      <c r="CI207" s="249"/>
      <c r="CL207" s="249"/>
      <c r="CO207" s="249"/>
      <c r="CR207" s="249"/>
      <c r="CU207" s="249"/>
      <c r="CX207" s="249"/>
      <c r="DA207" s="249"/>
      <c r="DD207" s="249"/>
      <c r="DG207" s="249"/>
      <c r="DJ207" s="249"/>
      <c r="DM207" s="249"/>
      <c r="DP207" s="249"/>
      <c r="DS207" s="249"/>
      <c r="DV207" s="249"/>
      <c r="DY207" s="249"/>
      <c r="EB207" s="249"/>
      <c r="EE207" s="249"/>
      <c r="EH207" s="249"/>
      <c r="EK207" s="249"/>
      <c r="EN207" s="249"/>
      <c r="EQ207" s="249"/>
      <c r="ET207" s="249"/>
      <c r="EW207" s="249"/>
      <c r="EZ207" s="249"/>
      <c r="FC207" s="249"/>
      <c r="FF207" s="249"/>
      <c r="FI207" s="249"/>
      <c r="FL207" s="249"/>
      <c r="FO207" s="249"/>
      <c r="FR207" s="249"/>
      <c r="FU207" s="249"/>
      <c r="FX207" s="249"/>
      <c r="GA207" s="249"/>
      <c r="GD207" s="249"/>
      <c r="GG207" s="249"/>
      <c r="GJ207" s="249"/>
      <c r="GM207" s="249"/>
      <c r="GP207" s="249"/>
      <c r="GS207" s="249"/>
      <c r="GV207" s="249"/>
      <c r="GY207" s="249"/>
      <c r="HB207" s="249"/>
      <c r="HE207" s="249"/>
    </row>
    <row r="208" spans="1:213" x14ac:dyDescent="0.2">
      <c r="A208" s="262" t="s">
        <v>415</v>
      </c>
      <c r="B208" s="284">
        <v>0.2</v>
      </c>
      <c r="C208" s="249" t="s">
        <v>283</v>
      </c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W208" s="249"/>
      <c r="Z208" s="249"/>
      <c r="AC208" s="249"/>
      <c r="AD208" s="249"/>
      <c r="AE208" s="249"/>
      <c r="AF208" s="249"/>
      <c r="AG208" s="249"/>
      <c r="AJ208" s="249"/>
      <c r="AM208" s="249"/>
      <c r="AP208" s="249"/>
      <c r="AS208" s="249"/>
      <c r="AV208" s="249"/>
      <c r="AY208" s="249"/>
      <c r="BB208" s="249"/>
      <c r="BE208" s="249"/>
      <c r="BH208" s="249"/>
      <c r="BK208" s="249"/>
      <c r="BN208" s="249"/>
      <c r="BQ208" s="249"/>
      <c r="BT208" s="249"/>
      <c r="BW208" s="249"/>
      <c r="BZ208" s="249"/>
      <c r="CC208" s="249"/>
      <c r="CF208" s="249"/>
      <c r="CI208" s="249"/>
      <c r="CL208" s="249"/>
      <c r="CO208" s="249"/>
      <c r="CR208" s="249"/>
      <c r="CU208" s="249"/>
      <c r="CX208" s="249"/>
      <c r="DA208" s="249"/>
      <c r="DD208" s="249"/>
      <c r="DG208" s="249"/>
      <c r="DJ208" s="249"/>
      <c r="DM208" s="249"/>
      <c r="DP208" s="249"/>
      <c r="DS208" s="249"/>
      <c r="DV208" s="249"/>
      <c r="DY208" s="249"/>
      <c r="EB208" s="249"/>
      <c r="EE208" s="249"/>
      <c r="EH208" s="249"/>
      <c r="EK208" s="249"/>
      <c r="EN208" s="249"/>
      <c r="EQ208" s="249"/>
      <c r="ET208" s="249"/>
      <c r="EW208" s="249"/>
      <c r="EZ208" s="249"/>
      <c r="FC208" s="249"/>
      <c r="FF208" s="249"/>
      <c r="FI208" s="249"/>
      <c r="FL208" s="249"/>
      <c r="FO208" s="249"/>
      <c r="FR208" s="249"/>
      <c r="FU208" s="249"/>
      <c r="FX208" s="249"/>
      <c r="GA208" s="249"/>
      <c r="GD208" s="249"/>
      <c r="GG208" s="249"/>
      <c r="GJ208" s="249"/>
      <c r="GM208" s="249"/>
      <c r="GP208" s="249"/>
      <c r="GS208" s="249"/>
      <c r="GV208" s="249"/>
      <c r="GY208" s="249"/>
      <c r="HB208" s="249"/>
      <c r="HE208" s="249"/>
    </row>
    <row r="209" spans="1:213" x14ac:dyDescent="0.2">
      <c r="A209" s="262" t="s">
        <v>416</v>
      </c>
      <c r="B209" s="284">
        <v>2.1999999999999999E-2</v>
      </c>
      <c r="C209" s="249" t="s">
        <v>283</v>
      </c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W209" s="249"/>
      <c r="Z209" s="249"/>
      <c r="AC209" s="249"/>
      <c r="AD209" s="249"/>
      <c r="AE209" s="249"/>
      <c r="AF209" s="249"/>
      <c r="AG209" s="249"/>
      <c r="AJ209" s="249"/>
      <c r="AM209" s="249"/>
      <c r="AP209" s="249"/>
      <c r="AS209" s="249"/>
      <c r="AV209" s="249"/>
      <c r="AY209" s="249"/>
      <c r="BB209" s="249"/>
      <c r="BE209" s="249"/>
      <c r="BH209" s="249"/>
      <c r="BK209" s="249"/>
      <c r="BN209" s="249"/>
      <c r="BQ209" s="249"/>
      <c r="BT209" s="249"/>
      <c r="BW209" s="249"/>
      <c r="BZ209" s="249"/>
      <c r="CC209" s="249"/>
      <c r="CF209" s="249"/>
      <c r="CI209" s="249"/>
      <c r="CL209" s="249"/>
      <c r="CO209" s="249"/>
      <c r="CR209" s="249"/>
      <c r="CU209" s="249"/>
      <c r="CX209" s="249"/>
      <c r="DA209" s="249"/>
      <c r="DD209" s="249"/>
      <c r="DG209" s="249"/>
      <c r="DJ209" s="249"/>
      <c r="DM209" s="249"/>
      <c r="DP209" s="249"/>
      <c r="DS209" s="249"/>
      <c r="DV209" s="249"/>
      <c r="DY209" s="249"/>
      <c r="EB209" s="249"/>
      <c r="EE209" s="249"/>
      <c r="EH209" s="249"/>
      <c r="EK209" s="249"/>
      <c r="EN209" s="249"/>
      <c r="EQ209" s="249"/>
      <c r="ET209" s="249"/>
      <c r="EW209" s="249"/>
      <c r="EZ209" s="249"/>
      <c r="FC209" s="249"/>
      <c r="FF209" s="249"/>
      <c r="FI209" s="249"/>
      <c r="FL209" s="249"/>
      <c r="FO209" s="249"/>
      <c r="FR209" s="249"/>
      <c r="FU209" s="249"/>
      <c r="FX209" s="249"/>
      <c r="GA209" s="249"/>
      <c r="GD209" s="249"/>
      <c r="GG209" s="249"/>
      <c r="GJ209" s="249"/>
      <c r="GM209" s="249"/>
      <c r="GP209" s="249"/>
      <c r="GS209" s="249"/>
      <c r="GV209" s="249"/>
      <c r="GY209" s="249"/>
      <c r="HB209" s="249"/>
      <c r="HE209" s="249"/>
    </row>
    <row r="210" spans="1:213" x14ac:dyDescent="0.2">
      <c r="A210" s="262" t="s">
        <v>417</v>
      </c>
      <c r="B210" s="284">
        <v>1</v>
      </c>
      <c r="C210" s="247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W210" s="249"/>
      <c r="Z210" s="249"/>
      <c r="AC210" s="249"/>
      <c r="AD210" s="249"/>
      <c r="AE210" s="249"/>
      <c r="AF210" s="249"/>
      <c r="AG210" s="249"/>
      <c r="AJ210" s="249"/>
      <c r="AM210" s="249"/>
      <c r="AP210" s="249"/>
      <c r="AS210" s="249"/>
      <c r="AV210" s="249"/>
      <c r="AY210" s="249"/>
      <c r="BB210" s="249"/>
      <c r="BE210" s="249"/>
      <c r="BH210" s="249"/>
      <c r="BK210" s="249"/>
      <c r="BN210" s="249"/>
      <c r="BQ210" s="249"/>
      <c r="BT210" s="249"/>
      <c r="BW210" s="249"/>
      <c r="BZ210" s="249"/>
      <c r="CC210" s="249"/>
      <c r="CF210" s="249"/>
      <c r="CI210" s="249"/>
      <c r="CL210" s="249"/>
      <c r="CO210" s="249"/>
      <c r="CR210" s="249"/>
      <c r="CU210" s="249"/>
      <c r="CX210" s="249"/>
      <c r="DA210" s="249"/>
      <c r="DD210" s="249"/>
      <c r="DG210" s="249"/>
      <c r="DJ210" s="249"/>
      <c r="DM210" s="249"/>
      <c r="DP210" s="249"/>
      <c r="DS210" s="249"/>
      <c r="DV210" s="249"/>
      <c r="DY210" s="249"/>
      <c r="EB210" s="249"/>
      <c r="EE210" s="249"/>
      <c r="EH210" s="249"/>
      <c r="EK210" s="249"/>
      <c r="EN210" s="249"/>
      <c r="EQ210" s="249"/>
      <c r="ET210" s="249"/>
      <c r="EW210" s="249"/>
      <c r="EZ210" s="249"/>
      <c r="FC210" s="249"/>
      <c r="FF210" s="249"/>
      <c r="FI210" s="249"/>
      <c r="FL210" s="249"/>
      <c r="FO210" s="249"/>
      <c r="FR210" s="249"/>
      <c r="FU210" s="249"/>
      <c r="FX210" s="249"/>
      <c r="GA210" s="249"/>
      <c r="GD210" s="249"/>
      <c r="GG210" s="249"/>
      <c r="GJ210" s="249"/>
      <c r="GM210" s="249"/>
      <c r="GP210" s="249"/>
      <c r="GS210" s="249"/>
      <c r="GV210" s="249"/>
      <c r="GY210" s="249"/>
      <c r="HB210" s="249"/>
      <c r="HE210" s="249"/>
    </row>
    <row r="211" spans="1:213" x14ac:dyDescent="0.2">
      <c r="A211" s="262" t="s">
        <v>418</v>
      </c>
      <c r="B211" s="284">
        <v>1</v>
      </c>
      <c r="C211" s="247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W211" s="249"/>
      <c r="Z211" s="249"/>
      <c r="AC211" s="249"/>
      <c r="AD211" s="249"/>
      <c r="AE211" s="249"/>
      <c r="AF211" s="249"/>
      <c r="AG211" s="249"/>
      <c r="AJ211" s="249"/>
      <c r="AM211" s="249"/>
      <c r="AP211" s="249"/>
      <c r="AS211" s="249"/>
      <c r="AV211" s="249"/>
      <c r="AY211" s="249"/>
      <c r="BB211" s="249"/>
      <c r="BE211" s="249"/>
      <c r="BH211" s="249"/>
      <c r="BK211" s="249"/>
      <c r="BN211" s="249"/>
      <c r="BQ211" s="249"/>
      <c r="BT211" s="249"/>
      <c r="BW211" s="249"/>
      <c r="BZ211" s="249"/>
      <c r="CC211" s="249"/>
      <c r="CF211" s="249"/>
      <c r="CI211" s="249"/>
      <c r="CL211" s="249"/>
      <c r="CO211" s="249"/>
      <c r="CR211" s="249"/>
      <c r="CU211" s="249"/>
      <c r="CX211" s="249"/>
      <c r="DA211" s="249"/>
      <c r="DD211" s="249"/>
      <c r="DG211" s="249"/>
      <c r="DJ211" s="249"/>
      <c r="DM211" s="249"/>
      <c r="DP211" s="249"/>
      <c r="DS211" s="249"/>
      <c r="DV211" s="249"/>
      <c r="DY211" s="249"/>
      <c r="EB211" s="249"/>
      <c r="EE211" s="249"/>
      <c r="EH211" s="249"/>
      <c r="EK211" s="249"/>
      <c r="EN211" s="249"/>
      <c r="EQ211" s="249"/>
      <c r="ET211" s="249"/>
      <c r="EW211" s="249"/>
      <c r="EZ211" s="249"/>
      <c r="FC211" s="249"/>
      <c r="FF211" s="249"/>
      <c r="FI211" s="249"/>
      <c r="FL211" s="249"/>
      <c r="FO211" s="249"/>
      <c r="FR211" s="249"/>
      <c r="FU211" s="249"/>
      <c r="FX211" s="249"/>
      <c r="GA211" s="249"/>
      <c r="GD211" s="249"/>
      <c r="GG211" s="249"/>
      <c r="GJ211" s="249"/>
      <c r="GM211" s="249"/>
      <c r="GP211" s="249"/>
      <c r="GS211" s="249"/>
      <c r="GV211" s="249"/>
      <c r="GY211" s="249"/>
      <c r="HB211" s="249"/>
      <c r="HE211" s="249"/>
    </row>
    <row r="212" spans="1:213" x14ac:dyDescent="0.2">
      <c r="A212" s="262" t="s">
        <v>174</v>
      </c>
      <c r="B212" s="284">
        <v>11.4</v>
      </c>
      <c r="C212" s="262" t="s">
        <v>30</v>
      </c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W212" s="249"/>
      <c r="Z212" s="249"/>
      <c r="AC212" s="249"/>
      <c r="AD212" s="249"/>
      <c r="AE212" s="249"/>
      <c r="AF212" s="249"/>
      <c r="AG212" s="249"/>
      <c r="AJ212" s="249"/>
      <c r="AM212" s="249"/>
      <c r="AP212" s="249"/>
      <c r="AS212" s="249"/>
      <c r="AV212" s="249"/>
      <c r="AY212" s="249"/>
      <c r="BB212" s="249"/>
      <c r="BE212" s="249"/>
      <c r="BH212" s="249"/>
      <c r="BK212" s="249"/>
      <c r="BN212" s="249"/>
      <c r="BQ212" s="249"/>
      <c r="BT212" s="249"/>
      <c r="BW212" s="249"/>
      <c r="BZ212" s="249"/>
      <c r="CC212" s="249"/>
      <c r="CF212" s="249"/>
      <c r="CI212" s="249"/>
      <c r="CL212" s="249"/>
      <c r="CO212" s="249"/>
      <c r="CR212" s="249"/>
      <c r="CU212" s="249"/>
      <c r="CX212" s="249"/>
      <c r="DA212" s="249"/>
      <c r="DD212" s="249"/>
      <c r="DG212" s="249"/>
      <c r="DJ212" s="249"/>
      <c r="DM212" s="249"/>
      <c r="DP212" s="249"/>
      <c r="DS212" s="249"/>
      <c r="DV212" s="249"/>
      <c r="DY212" s="249"/>
      <c r="EB212" s="249"/>
      <c r="EE212" s="249"/>
      <c r="EH212" s="249"/>
      <c r="EK212" s="249"/>
      <c r="EN212" s="249"/>
      <c r="EQ212" s="249"/>
      <c r="ET212" s="249"/>
      <c r="EW212" s="249"/>
      <c r="EZ212" s="249"/>
      <c r="FC212" s="249"/>
      <c r="FF212" s="249"/>
      <c r="FI212" s="249"/>
      <c r="FL212" s="249"/>
      <c r="FO212" s="249"/>
      <c r="FR212" s="249"/>
      <c r="FU212" s="249"/>
      <c r="FX212" s="249"/>
      <c r="GA212" s="249"/>
      <c r="GD212" s="249"/>
      <c r="GG212" s="249"/>
      <c r="GJ212" s="249"/>
      <c r="GM212" s="249"/>
      <c r="GP212" s="249"/>
      <c r="GS212" s="249"/>
      <c r="GV212" s="249"/>
      <c r="GY212" s="249"/>
      <c r="HB212" s="249"/>
      <c r="HE212" s="249"/>
    </row>
    <row r="213" spans="1:213" x14ac:dyDescent="0.2">
      <c r="A213" s="262" t="s">
        <v>419</v>
      </c>
      <c r="B213" s="284">
        <v>4.7</v>
      </c>
      <c r="C213" s="249" t="s">
        <v>283</v>
      </c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W213" s="249"/>
      <c r="Z213" s="249"/>
      <c r="AC213" s="249"/>
      <c r="AD213" s="249"/>
      <c r="AE213" s="249"/>
      <c r="AF213" s="249"/>
      <c r="AG213" s="249"/>
      <c r="AJ213" s="249"/>
      <c r="AM213" s="249"/>
      <c r="AP213" s="249"/>
      <c r="AS213" s="249"/>
      <c r="AV213" s="249"/>
      <c r="AY213" s="249"/>
      <c r="BB213" s="249"/>
      <c r="BE213" s="249"/>
      <c r="BH213" s="249"/>
      <c r="BK213" s="249"/>
      <c r="BN213" s="249"/>
      <c r="BQ213" s="249"/>
      <c r="BT213" s="249"/>
      <c r="BW213" s="249"/>
      <c r="BZ213" s="249"/>
      <c r="CC213" s="249"/>
      <c r="CF213" s="249"/>
      <c r="CI213" s="249"/>
      <c r="CL213" s="249"/>
      <c r="CO213" s="249"/>
      <c r="CR213" s="249"/>
      <c r="CU213" s="249"/>
      <c r="CX213" s="249"/>
      <c r="DA213" s="249"/>
      <c r="DD213" s="249"/>
      <c r="DG213" s="249"/>
      <c r="DJ213" s="249"/>
      <c r="DM213" s="249"/>
      <c r="DP213" s="249"/>
      <c r="DS213" s="249"/>
      <c r="DV213" s="249"/>
      <c r="DY213" s="249"/>
      <c r="EB213" s="249"/>
      <c r="EE213" s="249"/>
      <c r="EH213" s="249"/>
      <c r="EK213" s="249"/>
      <c r="EN213" s="249"/>
      <c r="EQ213" s="249"/>
      <c r="ET213" s="249"/>
      <c r="EW213" s="249"/>
      <c r="EZ213" s="249"/>
      <c r="FC213" s="249"/>
      <c r="FF213" s="249"/>
      <c r="FI213" s="249"/>
      <c r="FL213" s="249"/>
      <c r="FO213" s="249"/>
      <c r="FR213" s="249"/>
      <c r="FU213" s="249"/>
      <c r="FX213" s="249"/>
      <c r="GA213" s="249"/>
      <c r="GD213" s="249"/>
      <c r="GG213" s="249"/>
      <c r="GJ213" s="249"/>
      <c r="GM213" s="249"/>
      <c r="GP213" s="249"/>
      <c r="GS213" s="249"/>
      <c r="GV213" s="249"/>
      <c r="GY213" s="249"/>
      <c r="HB213" s="249"/>
      <c r="HE213" s="249"/>
    </row>
    <row r="214" spans="1:213" x14ac:dyDescent="0.2">
      <c r="A214" s="262" t="s">
        <v>420</v>
      </c>
      <c r="B214" s="284">
        <v>0.37</v>
      </c>
      <c r="C214" s="249" t="s">
        <v>283</v>
      </c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W214" s="249"/>
      <c r="Z214" s="249"/>
      <c r="AC214" s="249"/>
      <c r="AD214" s="249"/>
      <c r="AE214" s="249"/>
      <c r="AF214" s="249"/>
      <c r="AG214" s="249"/>
      <c r="AJ214" s="249"/>
      <c r="AM214" s="249"/>
      <c r="AP214" s="249"/>
      <c r="AS214" s="249"/>
      <c r="AV214" s="249"/>
      <c r="AY214" s="249"/>
      <c r="BB214" s="249"/>
      <c r="BE214" s="249"/>
      <c r="BH214" s="249"/>
      <c r="BK214" s="249"/>
      <c r="BN214" s="249"/>
      <c r="BQ214" s="249"/>
      <c r="BT214" s="249"/>
      <c r="BW214" s="249"/>
      <c r="BZ214" s="249"/>
      <c r="CC214" s="249"/>
      <c r="CF214" s="249"/>
      <c r="CI214" s="249"/>
      <c r="CL214" s="249"/>
      <c r="CO214" s="249"/>
      <c r="CR214" s="249"/>
      <c r="CU214" s="249"/>
      <c r="CX214" s="249"/>
      <c r="DA214" s="249"/>
      <c r="DD214" s="249"/>
      <c r="DG214" s="249"/>
      <c r="DJ214" s="249"/>
      <c r="DM214" s="249"/>
      <c r="DP214" s="249"/>
      <c r="DS214" s="249"/>
      <c r="DV214" s="249"/>
      <c r="DY214" s="249"/>
      <c r="EB214" s="249"/>
      <c r="EE214" s="249"/>
      <c r="EH214" s="249"/>
      <c r="EK214" s="249"/>
      <c r="EN214" s="249"/>
      <c r="EQ214" s="249"/>
      <c r="ET214" s="249"/>
      <c r="EW214" s="249"/>
      <c r="EZ214" s="249"/>
      <c r="FC214" s="249"/>
      <c r="FF214" s="249"/>
      <c r="FI214" s="249"/>
      <c r="FL214" s="249"/>
      <c r="FO214" s="249"/>
      <c r="FR214" s="249"/>
      <c r="FU214" s="249"/>
      <c r="FX214" s="249"/>
      <c r="GA214" s="249"/>
      <c r="GD214" s="249"/>
      <c r="GG214" s="249"/>
      <c r="GJ214" s="249"/>
      <c r="GM214" s="249"/>
      <c r="GP214" s="249"/>
      <c r="GS214" s="249"/>
      <c r="GV214" s="249"/>
      <c r="GY214" s="249"/>
      <c r="HB214" s="249"/>
      <c r="HE214" s="249"/>
    </row>
    <row r="215" spans="1:213" x14ac:dyDescent="0.2">
      <c r="A215" s="262" t="s">
        <v>421</v>
      </c>
      <c r="B215" s="284">
        <v>1</v>
      </c>
      <c r="C215" s="247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W215" s="249"/>
      <c r="Z215" s="249"/>
      <c r="AC215" s="249"/>
      <c r="AD215" s="249"/>
      <c r="AE215" s="249"/>
      <c r="AF215" s="249"/>
      <c r="AG215" s="249"/>
      <c r="AJ215" s="249"/>
      <c r="AM215" s="249"/>
      <c r="AP215" s="249"/>
      <c r="AS215" s="249"/>
      <c r="AV215" s="249"/>
      <c r="AY215" s="249"/>
      <c r="BB215" s="249"/>
      <c r="BE215" s="249"/>
      <c r="BH215" s="249"/>
      <c r="BK215" s="249"/>
      <c r="BN215" s="249"/>
      <c r="BQ215" s="249"/>
      <c r="BT215" s="249"/>
      <c r="BW215" s="249"/>
      <c r="BZ215" s="249"/>
      <c r="CC215" s="249"/>
      <c r="CF215" s="249"/>
      <c r="CI215" s="249"/>
      <c r="CL215" s="249"/>
      <c r="CO215" s="249"/>
      <c r="CR215" s="249"/>
      <c r="CU215" s="249"/>
      <c r="CX215" s="249"/>
      <c r="DA215" s="249"/>
      <c r="DD215" s="249"/>
      <c r="DG215" s="249"/>
      <c r="DJ215" s="249"/>
      <c r="DM215" s="249"/>
      <c r="DP215" s="249"/>
      <c r="DS215" s="249"/>
      <c r="DV215" s="249"/>
      <c r="DY215" s="249"/>
      <c r="EB215" s="249"/>
      <c r="EE215" s="249"/>
      <c r="EH215" s="249"/>
      <c r="EK215" s="249"/>
      <c r="EN215" s="249"/>
      <c r="EQ215" s="249"/>
      <c r="ET215" s="249"/>
      <c r="EW215" s="249"/>
      <c r="EZ215" s="249"/>
      <c r="FC215" s="249"/>
      <c r="FF215" s="249"/>
      <c r="FI215" s="249"/>
      <c r="FL215" s="249"/>
      <c r="FO215" s="249"/>
      <c r="FR215" s="249"/>
      <c r="FU215" s="249"/>
      <c r="FX215" s="249"/>
      <c r="GA215" s="249"/>
      <c r="GD215" s="249"/>
      <c r="GG215" s="249"/>
      <c r="GJ215" s="249"/>
      <c r="GM215" s="249"/>
      <c r="GP215" s="249"/>
      <c r="GS215" s="249"/>
      <c r="GV215" s="249"/>
      <c r="GY215" s="249"/>
      <c r="HB215" s="249"/>
      <c r="HE215" s="249"/>
    </row>
    <row r="216" spans="1:213" x14ac:dyDescent="0.2">
      <c r="A216" s="262" t="s">
        <v>422</v>
      </c>
      <c r="B216" s="284">
        <v>1</v>
      </c>
      <c r="C216" s="24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W216" s="249"/>
      <c r="Z216" s="249"/>
      <c r="AC216" s="249"/>
      <c r="AD216" s="249"/>
      <c r="AE216" s="249"/>
      <c r="AF216" s="249"/>
      <c r="AG216" s="249"/>
      <c r="AJ216" s="249"/>
      <c r="AM216" s="249"/>
      <c r="AP216" s="249"/>
      <c r="AS216" s="249"/>
      <c r="AV216" s="249"/>
      <c r="AY216" s="249"/>
      <c r="BB216" s="249"/>
      <c r="BE216" s="249"/>
      <c r="BH216" s="249"/>
      <c r="BK216" s="249"/>
      <c r="BN216" s="249"/>
      <c r="BQ216" s="249"/>
      <c r="BT216" s="249"/>
      <c r="BW216" s="249"/>
      <c r="BZ216" s="249"/>
      <c r="CC216" s="249"/>
      <c r="CF216" s="249"/>
      <c r="CI216" s="249"/>
      <c r="CL216" s="249"/>
      <c r="CO216" s="249"/>
      <c r="CR216" s="249"/>
      <c r="CU216" s="249"/>
      <c r="CX216" s="249"/>
      <c r="DA216" s="249"/>
      <c r="DD216" s="249"/>
      <c r="DG216" s="249"/>
      <c r="DJ216" s="249"/>
      <c r="DM216" s="249"/>
      <c r="DP216" s="249"/>
      <c r="DS216" s="249"/>
      <c r="DV216" s="249"/>
      <c r="DY216" s="249"/>
      <c r="EB216" s="249"/>
      <c r="EE216" s="249"/>
      <c r="EH216" s="249"/>
      <c r="EK216" s="249"/>
      <c r="EN216" s="249"/>
      <c r="EQ216" s="249"/>
      <c r="ET216" s="249"/>
      <c r="EW216" s="249"/>
      <c r="EZ216" s="249"/>
      <c r="FC216" s="249"/>
      <c r="FF216" s="249"/>
      <c r="FI216" s="249"/>
      <c r="FL216" s="249"/>
      <c r="FO216" s="249"/>
      <c r="FR216" s="249"/>
      <c r="FU216" s="249"/>
      <c r="FX216" s="249"/>
      <c r="GA216" s="249"/>
      <c r="GD216" s="249"/>
      <c r="GG216" s="249"/>
      <c r="GJ216" s="249"/>
      <c r="GM216" s="249"/>
      <c r="GP216" s="249"/>
      <c r="GS216" s="249"/>
      <c r="GV216" s="249"/>
      <c r="GY216" s="249"/>
      <c r="HB216" s="249"/>
      <c r="HE216" s="249"/>
    </row>
    <row r="217" spans="1:213" x14ac:dyDescent="0.2">
      <c r="A217" s="249" t="s">
        <v>83</v>
      </c>
      <c r="B217" s="284">
        <v>0.5</v>
      </c>
      <c r="C217" s="249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W217" s="249"/>
      <c r="Z217" s="249"/>
      <c r="AC217" s="249"/>
      <c r="AD217" s="249"/>
      <c r="AE217" s="249"/>
      <c r="AF217" s="249"/>
      <c r="AG217" s="249"/>
      <c r="AJ217" s="249"/>
      <c r="AM217" s="249"/>
      <c r="AP217" s="249"/>
      <c r="AS217" s="249"/>
      <c r="AV217" s="249"/>
      <c r="AY217" s="249"/>
      <c r="BB217" s="249"/>
      <c r="BE217" s="249"/>
      <c r="BH217" s="249"/>
      <c r="BK217" s="249"/>
      <c r="BN217" s="249"/>
      <c r="BQ217" s="249"/>
      <c r="BT217" s="249"/>
      <c r="BW217" s="249"/>
      <c r="BZ217" s="249"/>
      <c r="CC217" s="249"/>
      <c r="CF217" s="249"/>
      <c r="CI217" s="249"/>
      <c r="CL217" s="249"/>
      <c r="CO217" s="249"/>
      <c r="CR217" s="249"/>
      <c r="CU217" s="249"/>
      <c r="CX217" s="249"/>
      <c r="DA217" s="249"/>
      <c r="DD217" s="249"/>
      <c r="DG217" s="249"/>
      <c r="DJ217" s="249"/>
      <c r="DM217" s="249"/>
      <c r="DP217" s="249"/>
      <c r="DS217" s="249"/>
      <c r="DV217" s="249"/>
      <c r="DY217" s="249"/>
      <c r="EB217" s="249"/>
      <c r="EE217" s="249"/>
      <c r="EH217" s="249"/>
      <c r="EK217" s="249"/>
      <c r="EN217" s="249"/>
      <c r="EQ217" s="249"/>
      <c r="ET217" s="249"/>
      <c r="EW217" s="249"/>
      <c r="EZ217" s="249"/>
      <c r="FC217" s="249"/>
      <c r="FF217" s="249"/>
      <c r="FI217" s="249"/>
      <c r="FL217" s="249"/>
      <c r="FO217" s="249"/>
      <c r="FR217" s="249"/>
      <c r="FU217" s="249"/>
      <c r="FX217" s="249"/>
      <c r="GA217" s="249"/>
      <c r="GD217" s="249"/>
      <c r="GG217" s="249"/>
      <c r="GJ217" s="249"/>
      <c r="GM217" s="249"/>
      <c r="GP217" s="249"/>
      <c r="GS217" s="249"/>
      <c r="GV217" s="249"/>
      <c r="GY217" s="249"/>
      <c r="HB217" s="249"/>
      <c r="HE217" s="249"/>
    </row>
    <row r="218" spans="1:213" x14ac:dyDescent="0.2">
      <c r="A218" s="558" t="s">
        <v>423</v>
      </c>
      <c r="B218" s="558"/>
      <c r="C218" s="558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W218" s="249"/>
      <c r="Z218" s="249"/>
      <c r="AC218" s="249"/>
      <c r="AD218" s="249"/>
      <c r="AE218" s="249"/>
      <c r="AF218" s="249"/>
      <c r="AG218" s="249"/>
      <c r="AJ218" s="249"/>
      <c r="AM218" s="249"/>
      <c r="AP218" s="249"/>
      <c r="AS218" s="249"/>
      <c r="AV218" s="249"/>
      <c r="AY218" s="249"/>
      <c r="BB218" s="249"/>
      <c r="BE218" s="249"/>
      <c r="BH218" s="249"/>
      <c r="BK218" s="249"/>
      <c r="BN218" s="249"/>
      <c r="BQ218" s="249"/>
      <c r="BT218" s="249"/>
      <c r="BW218" s="249"/>
      <c r="BZ218" s="249"/>
      <c r="CC218" s="249"/>
      <c r="CF218" s="249"/>
      <c r="CI218" s="249"/>
      <c r="CL218" s="249"/>
      <c r="CO218" s="249"/>
      <c r="CR218" s="249"/>
      <c r="CU218" s="249"/>
      <c r="CX218" s="249"/>
      <c r="DA218" s="249"/>
      <c r="DD218" s="249"/>
      <c r="DG218" s="249"/>
      <c r="DJ218" s="249"/>
      <c r="DM218" s="249"/>
      <c r="DP218" s="249"/>
      <c r="DS218" s="249"/>
      <c r="DV218" s="249"/>
      <c r="DY218" s="249"/>
      <c r="EB218" s="249"/>
      <c r="EE218" s="249"/>
      <c r="EH218" s="249"/>
      <c r="EK218" s="249"/>
      <c r="EN218" s="249"/>
      <c r="EQ218" s="249"/>
      <c r="ET218" s="249"/>
      <c r="EW218" s="249"/>
      <c r="EZ218" s="249"/>
      <c r="FC218" s="249"/>
      <c r="FF218" s="249"/>
      <c r="FI218" s="249"/>
      <c r="FL218" s="249"/>
      <c r="FO218" s="249"/>
      <c r="FR218" s="249"/>
      <c r="FU218" s="249"/>
      <c r="FX218" s="249"/>
      <c r="GA218" s="249"/>
      <c r="GD218" s="249"/>
      <c r="GG218" s="249"/>
      <c r="GJ218" s="249"/>
      <c r="GM218" s="249"/>
      <c r="GP218" s="249"/>
      <c r="GS218" s="249"/>
      <c r="GV218" s="249"/>
      <c r="GY218" s="249"/>
      <c r="HB218" s="249"/>
      <c r="HE218" s="249"/>
    </row>
    <row r="219" spans="1:213" x14ac:dyDescent="0.2">
      <c r="A219" s="249" t="s">
        <v>424</v>
      </c>
      <c r="B219" s="283">
        <v>60</v>
      </c>
      <c r="C219" s="263" t="s">
        <v>359</v>
      </c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W219" s="249"/>
      <c r="Z219" s="249"/>
      <c r="AC219" s="249"/>
      <c r="AD219" s="249"/>
      <c r="AE219" s="249"/>
      <c r="AF219" s="249"/>
      <c r="AG219" s="249"/>
      <c r="AJ219" s="249"/>
      <c r="AM219" s="249"/>
      <c r="AP219" s="249"/>
      <c r="AS219" s="249"/>
      <c r="AV219" s="249"/>
      <c r="AY219" s="249"/>
      <c r="BB219" s="249"/>
      <c r="BE219" s="249"/>
      <c r="BH219" s="249"/>
      <c r="BK219" s="249"/>
      <c r="BN219" s="249"/>
      <c r="BQ219" s="249"/>
      <c r="BT219" s="249"/>
      <c r="BW219" s="249"/>
      <c r="BZ219" s="249"/>
      <c r="CC219" s="249"/>
      <c r="CF219" s="249"/>
      <c r="CI219" s="249"/>
      <c r="CL219" s="249"/>
      <c r="CO219" s="249"/>
      <c r="CR219" s="249"/>
      <c r="CU219" s="249"/>
      <c r="CX219" s="249"/>
      <c r="DA219" s="249"/>
      <c r="DD219" s="249"/>
      <c r="DG219" s="249"/>
      <c r="DJ219" s="249"/>
      <c r="DM219" s="249"/>
      <c r="DP219" s="249"/>
      <c r="DS219" s="249"/>
      <c r="DV219" s="249"/>
      <c r="DY219" s="249"/>
      <c r="EB219" s="249"/>
      <c r="EE219" s="249"/>
      <c r="EH219" s="249"/>
      <c r="EK219" s="249"/>
      <c r="EN219" s="249"/>
      <c r="EQ219" s="249"/>
      <c r="ET219" s="249"/>
      <c r="EW219" s="249"/>
      <c r="EZ219" s="249"/>
      <c r="FC219" s="249"/>
      <c r="FF219" s="249"/>
      <c r="FI219" s="249"/>
      <c r="FL219" s="249"/>
      <c r="FO219" s="249"/>
      <c r="FR219" s="249"/>
      <c r="FU219" s="249"/>
      <c r="FX219" s="249"/>
      <c r="GA219" s="249"/>
      <c r="GD219" s="249"/>
      <c r="GG219" s="249"/>
      <c r="GJ219" s="249"/>
      <c r="GM219" s="249"/>
      <c r="GP219" s="249"/>
      <c r="GS219" s="249"/>
      <c r="GV219" s="249"/>
      <c r="GY219" s="249"/>
      <c r="HB219" s="249"/>
      <c r="HE219" s="249"/>
    </row>
    <row r="220" spans="1:213" x14ac:dyDescent="0.2">
      <c r="A220" s="262" t="s">
        <v>425</v>
      </c>
      <c r="B220" s="283">
        <v>250</v>
      </c>
      <c r="C220" s="249" t="s">
        <v>26</v>
      </c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W220" s="249"/>
      <c r="Z220" s="249"/>
      <c r="AC220" s="249"/>
      <c r="AD220" s="249"/>
      <c r="AE220" s="249"/>
      <c r="AF220" s="249"/>
      <c r="AG220" s="249"/>
      <c r="AJ220" s="249"/>
      <c r="AM220" s="249"/>
      <c r="AP220" s="249"/>
      <c r="AS220" s="249"/>
      <c r="AV220" s="249"/>
      <c r="AY220" s="249"/>
      <c r="BB220" s="249"/>
      <c r="BE220" s="249"/>
      <c r="BH220" s="249"/>
      <c r="BK220" s="249"/>
      <c r="BN220" s="249"/>
      <c r="BQ220" s="249"/>
      <c r="BT220" s="249"/>
      <c r="BW220" s="249"/>
      <c r="BZ220" s="249"/>
      <c r="CC220" s="249"/>
      <c r="CF220" s="249"/>
      <c r="CI220" s="249"/>
      <c r="CL220" s="249"/>
      <c r="CO220" s="249"/>
      <c r="CR220" s="249"/>
      <c r="CU220" s="249"/>
      <c r="CX220" s="249"/>
      <c r="DA220" s="249"/>
      <c r="DD220" s="249"/>
      <c r="DG220" s="249"/>
      <c r="DJ220" s="249"/>
      <c r="DM220" s="249"/>
      <c r="DP220" s="249"/>
      <c r="DS220" s="249"/>
      <c r="DV220" s="249"/>
      <c r="DY220" s="249"/>
      <c r="EB220" s="249"/>
      <c r="EE220" s="249"/>
      <c r="EH220" s="249"/>
      <c r="EK220" s="249"/>
      <c r="EN220" s="249"/>
      <c r="EQ220" s="249"/>
      <c r="ET220" s="249"/>
      <c r="EW220" s="249"/>
      <c r="EZ220" s="249"/>
      <c r="FC220" s="249"/>
      <c r="FF220" s="249"/>
      <c r="FI220" s="249"/>
      <c r="FL220" s="249"/>
      <c r="FO220" s="249"/>
      <c r="FR220" s="249"/>
      <c r="FU220" s="249"/>
      <c r="FX220" s="249"/>
      <c r="GA220" s="249"/>
      <c r="GD220" s="249"/>
      <c r="GG220" s="249"/>
      <c r="GJ220" s="249"/>
      <c r="GM220" s="249"/>
      <c r="GP220" s="249"/>
      <c r="GS220" s="249"/>
      <c r="GV220" s="249"/>
      <c r="GY220" s="249"/>
      <c r="HB220" s="249"/>
      <c r="HE220" s="249"/>
    </row>
    <row r="221" spans="1:213" x14ac:dyDescent="0.2">
      <c r="A221" s="262" t="s">
        <v>75</v>
      </c>
      <c r="B221" s="284">
        <v>25</v>
      </c>
      <c r="C221" s="249" t="s">
        <v>69</v>
      </c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W221" s="249"/>
      <c r="Z221" s="249"/>
      <c r="AC221" s="249"/>
      <c r="AD221" s="249"/>
      <c r="AE221" s="249"/>
      <c r="AF221" s="249"/>
      <c r="AG221" s="249"/>
      <c r="AJ221" s="249"/>
      <c r="AM221" s="249"/>
      <c r="AP221" s="249"/>
      <c r="AS221" s="249"/>
      <c r="AV221" s="249"/>
      <c r="AY221" s="249"/>
      <c r="BB221" s="249"/>
      <c r="BE221" s="249"/>
      <c r="BH221" s="249"/>
      <c r="BK221" s="249"/>
      <c r="BN221" s="249"/>
      <c r="BQ221" s="249"/>
      <c r="BT221" s="249"/>
      <c r="BW221" s="249"/>
      <c r="BZ221" s="249"/>
      <c r="CC221" s="249"/>
      <c r="CF221" s="249"/>
      <c r="CI221" s="249"/>
      <c r="CL221" s="249"/>
      <c r="CO221" s="249"/>
      <c r="CR221" s="249"/>
      <c r="CU221" s="249"/>
      <c r="CX221" s="249"/>
      <c r="DA221" s="249"/>
      <c r="DD221" s="249"/>
      <c r="DG221" s="249"/>
      <c r="DJ221" s="249"/>
      <c r="DM221" s="249"/>
      <c r="DP221" s="249"/>
      <c r="DS221" s="249"/>
      <c r="DV221" s="249"/>
      <c r="DY221" s="249"/>
      <c r="EB221" s="249"/>
      <c r="EE221" s="249"/>
      <c r="EH221" s="249"/>
      <c r="EK221" s="249"/>
      <c r="EN221" s="249"/>
      <c r="EQ221" s="249"/>
      <c r="ET221" s="249"/>
      <c r="EW221" s="249"/>
      <c r="EZ221" s="249"/>
      <c r="FC221" s="249"/>
      <c r="FF221" s="249"/>
      <c r="FI221" s="249"/>
      <c r="FL221" s="249"/>
      <c r="FO221" s="249"/>
      <c r="FR221" s="249"/>
      <c r="FU221" s="249"/>
      <c r="FX221" s="249"/>
      <c r="GA221" s="249"/>
      <c r="GD221" s="249"/>
      <c r="GG221" s="249"/>
      <c r="GJ221" s="249"/>
      <c r="GM221" s="249"/>
      <c r="GP221" s="249"/>
      <c r="GS221" s="249"/>
      <c r="GV221" s="249"/>
      <c r="GY221" s="249"/>
      <c r="HB221" s="249"/>
      <c r="HE221" s="249"/>
    </row>
    <row r="222" spans="1:213" x14ac:dyDescent="0.2">
      <c r="A222" s="262" t="s">
        <v>426</v>
      </c>
      <c r="B222" s="283">
        <v>100</v>
      </c>
      <c r="C222" s="263" t="s">
        <v>54</v>
      </c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W222" s="249"/>
      <c r="Z222" s="249"/>
      <c r="AC222" s="249"/>
      <c r="AD222" s="249"/>
      <c r="AE222" s="249"/>
      <c r="AF222" s="249"/>
      <c r="AG222" s="249"/>
      <c r="AJ222" s="249"/>
      <c r="AM222" s="249"/>
      <c r="AP222" s="249"/>
      <c r="AS222" s="249"/>
      <c r="AV222" s="249"/>
      <c r="AY222" s="249"/>
      <c r="BB222" s="249"/>
      <c r="BE222" s="249"/>
      <c r="BH222" s="249"/>
      <c r="BK222" s="249"/>
      <c r="BN222" s="249"/>
      <c r="BQ222" s="249"/>
      <c r="BT222" s="249"/>
      <c r="BW222" s="249"/>
      <c r="BZ222" s="249"/>
      <c r="CC222" s="249"/>
      <c r="CF222" s="249"/>
      <c r="CI222" s="249"/>
      <c r="CL222" s="249"/>
      <c r="CO222" s="249"/>
      <c r="CR222" s="249"/>
      <c r="CU222" s="249"/>
      <c r="CX222" s="249"/>
      <c r="DA222" s="249"/>
      <c r="DD222" s="249"/>
      <c r="DG222" s="249"/>
      <c r="DJ222" s="249"/>
      <c r="DM222" s="249"/>
      <c r="DP222" s="249"/>
      <c r="DS222" s="249"/>
      <c r="DV222" s="249"/>
      <c r="DY222" s="249"/>
      <c r="EB222" s="249"/>
      <c r="EE222" s="249"/>
      <c r="EH222" s="249"/>
      <c r="EK222" s="249"/>
      <c r="EN222" s="249"/>
      <c r="EQ222" s="249"/>
      <c r="ET222" s="249"/>
      <c r="EW222" s="249"/>
      <c r="EZ222" s="249"/>
      <c r="FC222" s="249"/>
      <c r="FF222" s="249"/>
      <c r="FI222" s="249"/>
      <c r="FL222" s="249"/>
      <c r="FO222" s="249"/>
      <c r="FR222" s="249"/>
      <c r="FU222" s="249"/>
      <c r="FX222" s="249"/>
      <c r="GA222" s="249"/>
      <c r="GD222" s="249"/>
      <c r="GG222" s="249"/>
      <c r="GJ222" s="249"/>
      <c r="GM222" s="249"/>
      <c r="GP222" s="249"/>
      <c r="GS222" s="249"/>
      <c r="GV222" s="249"/>
      <c r="GY222" s="249"/>
      <c r="HB222" s="249"/>
      <c r="HE222" s="249"/>
    </row>
    <row r="223" spans="1:213" x14ac:dyDescent="0.2">
      <c r="A223" s="249" t="s">
        <v>353</v>
      </c>
      <c r="B223" s="284">
        <v>1</v>
      </c>
      <c r="C223" s="247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W223" s="249"/>
      <c r="Z223" s="249"/>
      <c r="AC223" s="249"/>
      <c r="AD223" s="249"/>
      <c r="AE223" s="249"/>
      <c r="AF223" s="249"/>
      <c r="AG223" s="249"/>
      <c r="AJ223" s="249"/>
      <c r="AM223" s="249"/>
      <c r="AP223" s="249"/>
      <c r="AS223" s="249"/>
      <c r="AV223" s="249"/>
      <c r="AY223" s="249"/>
      <c r="BB223" s="249"/>
      <c r="BE223" s="249"/>
      <c r="BH223" s="249"/>
      <c r="BK223" s="249"/>
      <c r="BN223" s="249"/>
      <c r="BQ223" s="249"/>
      <c r="BT223" s="249"/>
      <c r="BW223" s="249"/>
      <c r="BZ223" s="249"/>
      <c r="CC223" s="249"/>
      <c r="CF223" s="249"/>
      <c r="CI223" s="249"/>
      <c r="CL223" s="249"/>
      <c r="CO223" s="249"/>
      <c r="CR223" s="249"/>
      <c r="CU223" s="249"/>
      <c r="CX223" s="249"/>
      <c r="DA223" s="249"/>
      <c r="DD223" s="249"/>
      <c r="DG223" s="249"/>
      <c r="DJ223" s="249"/>
      <c r="DM223" s="249"/>
      <c r="DP223" s="249"/>
      <c r="DS223" s="249"/>
      <c r="DV223" s="249"/>
      <c r="DY223" s="249"/>
      <c r="EB223" s="249"/>
      <c r="EE223" s="249"/>
      <c r="EH223" s="249"/>
      <c r="EK223" s="249"/>
      <c r="EN223" s="249"/>
      <c r="EQ223" s="249"/>
      <c r="ET223" s="249"/>
      <c r="EW223" s="249"/>
      <c r="EZ223" s="249"/>
      <c r="FC223" s="249"/>
      <c r="FF223" s="249"/>
      <c r="FI223" s="249"/>
      <c r="FL223" s="249"/>
      <c r="FO223" s="249"/>
      <c r="FR223" s="249"/>
      <c r="FU223" s="249"/>
      <c r="FX223" s="249"/>
      <c r="GA223" s="249"/>
      <c r="GD223" s="249"/>
      <c r="GG223" s="249"/>
      <c r="GJ223" s="249"/>
      <c r="GM223" s="249"/>
      <c r="GP223" s="249"/>
      <c r="GS223" s="249"/>
      <c r="GV223" s="249"/>
      <c r="GY223" s="249"/>
      <c r="HB223" s="249"/>
      <c r="HE223" s="249"/>
    </row>
    <row r="224" spans="1:213" x14ac:dyDescent="0.2">
      <c r="A224" s="262" t="s">
        <v>56</v>
      </c>
      <c r="B224" s="284">
        <v>1</v>
      </c>
      <c r="C224" s="247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W224" s="249"/>
      <c r="Z224" s="249"/>
      <c r="AC224" s="249"/>
      <c r="AD224" s="249"/>
      <c r="AE224" s="249"/>
      <c r="AF224" s="249"/>
      <c r="AG224" s="249"/>
      <c r="AJ224" s="249"/>
      <c r="AM224" s="249"/>
      <c r="AP224" s="249"/>
      <c r="AS224" s="249"/>
      <c r="AV224" s="249"/>
      <c r="AY224" s="249"/>
      <c r="BB224" s="249"/>
      <c r="BE224" s="249"/>
      <c r="BH224" s="249"/>
      <c r="BK224" s="249"/>
      <c r="BN224" s="249"/>
      <c r="BQ224" s="249"/>
      <c r="BT224" s="249"/>
      <c r="BW224" s="249"/>
      <c r="BZ224" s="249"/>
      <c r="CC224" s="249"/>
      <c r="CF224" s="249"/>
      <c r="CI224" s="249"/>
      <c r="CL224" s="249"/>
      <c r="CO224" s="249"/>
      <c r="CR224" s="249"/>
      <c r="CU224" s="249"/>
      <c r="CX224" s="249"/>
      <c r="DA224" s="249"/>
      <c r="DD224" s="249"/>
      <c r="DG224" s="249"/>
      <c r="DJ224" s="249"/>
      <c r="DM224" s="249"/>
      <c r="DP224" s="249"/>
      <c r="DS224" s="249"/>
      <c r="DV224" s="249"/>
      <c r="DY224" s="249"/>
      <c r="EB224" s="249"/>
      <c r="EE224" s="249"/>
      <c r="EH224" s="249"/>
      <c r="EK224" s="249"/>
      <c r="EN224" s="249"/>
      <c r="EQ224" s="249"/>
      <c r="ET224" s="249"/>
      <c r="EW224" s="249"/>
      <c r="EZ224" s="249"/>
      <c r="FC224" s="249"/>
      <c r="FF224" s="249"/>
      <c r="FI224" s="249"/>
      <c r="FL224" s="249"/>
      <c r="FO224" s="249"/>
      <c r="FR224" s="249"/>
      <c r="FU224" s="249"/>
      <c r="FX224" s="249"/>
      <c r="GA224" s="249"/>
      <c r="GD224" s="249"/>
      <c r="GG224" s="249"/>
      <c r="GJ224" s="249"/>
      <c r="GM224" s="249"/>
      <c r="GP224" s="249"/>
      <c r="GS224" s="249"/>
      <c r="GV224" s="249"/>
      <c r="GY224" s="249"/>
      <c r="HB224" s="249"/>
      <c r="HE224" s="249"/>
    </row>
    <row r="225" spans="1:213" x14ac:dyDescent="0.2">
      <c r="A225" s="262" t="s">
        <v>52</v>
      </c>
      <c r="B225" s="284">
        <v>0.4</v>
      </c>
      <c r="C225" s="247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W225" s="249"/>
      <c r="Z225" s="249"/>
      <c r="AC225" s="249"/>
      <c r="AD225" s="249"/>
      <c r="AE225" s="249"/>
      <c r="AF225" s="249"/>
      <c r="AG225" s="249"/>
      <c r="AJ225" s="249"/>
      <c r="AM225" s="249"/>
      <c r="AP225" s="249"/>
      <c r="AS225" s="249"/>
      <c r="AV225" s="249"/>
      <c r="AY225" s="249"/>
      <c r="BB225" s="249"/>
      <c r="BE225" s="249"/>
      <c r="BH225" s="249"/>
      <c r="BK225" s="249"/>
      <c r="BN225" s="249"/>
      <c r="BQ225" s="249"/>
      <c r="BT225" s="249"/>
      <c r="BW225" s="249"/>
      <c r="BZ225" s="249"/>
      <c r="CC225" s="249"/>
      <c r="CF225" s="249"/>
      <c r="CI225" s="249"/>
      <c r="CL225" s="249"/>
      <c r="CO225" s="249"/>
      <c r="CR225" s="249"/>
      <c r="CU225" s="249"/>
      <c r="CX225" s="249"/>
      <c r="DA225" s="249"/>
      <c r="DD225" s="249"/>
      <c r="DG225" s="249"/>
      <c r="DJ225" s="249"/>
      <c r="DM225" s="249"/>
      <c r="DP225" s="249"/>
      <c r="DS225" s="249"/>
      <c r="DV225" s="249"/>
      <c r="DY225" s="249"/>
      <c r="EB225" s="249"/>
      <c r="EE225" s="249"/>
      <c r="EH225" s="249"/>
      <c r="EK225" s="249"/>
      <c r="EN225" s="249"/>
      <c r="EQ225" s="249"/>
      <c r="ET225" s="249"/>
      <c r="EW225" s="249"/>
      <c r="EZ225" s="249"/>
      <c r="FC225" s="249"/>
      <c r="FF225" s="249"/>
      <c r="FI225" s="249"/>
      <c r="FL225" s="249"/>
      <c r="FO225" s="249"/>
      <c r="FR225" s="249"/>
      <c r="FU225" s="249"/>
      <c r="FX225" s="249"/>
      <c r="GA225" s="249"/>
      <c r="GD225" s="249"/>
      <c r="GG225" s="249"/>
      <c r="GJ225" s="249"/>
      <c r="GM225" s="249"/>
      <c r="GP225" s="249"/>
      <c r="GS225" s="249"/>
      <c r="GV225" s="249"/>
      <c r="GY225" s="249"/>
      <c r="HB225" s="249"/>
      <c r="HE225" s="249"/>
    </row>
    <row r="226" spans="1:213" x14ac:dyDescent="0.2">
      <c r="A226" s="262" t="s">
        <v>62</v>
      </c>
      <c r="B226" s="284">
        <v>1</v>
      </c>
      <c r="C226" s="247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W226" s="249"/>
      <c r="Z226" s="249"/>
      <c r="AC226" s="249"/>
      <c r="AD226" s="249"/>
      <c r="AE226" s="249"/>
      <c r="AF226" s="249"/>
      <c r="AG226" s="249"/>
      <c r="AJ226" s="249"/>
      <c r="AM226" s="249"/>
      <c r="AP226" s="249"/>
      <c r="AS226" s="249"/>
      <c r="AV226" s="249"/>
      <c r="AY226" s="249"/>
      <c r="BB226" s="249"/>
      <c r="BE226" s="249"/>
      <c r="BH226" s="249"/>
      <c r="BK226" s="249"/>
      <c r="BN226" s="249"/>
      <c r="BQ226" s="249"/>
      <c r="BT226" s="249"/>
      <c r="BW226" s="249"/>
      <c r="BZ226" s="249"/>
      <c r="CC226" s="249"/>
      <c r="CF226" s="249"/>
      <c r="CI226" s="249"/>
      <c r="CL226" s="249"/>
      <c r="CO226" s="249"/>
      <c r="CR226" s="249"/>
      <c r="CU226" s="249"/>
      <c r="CX226" s="249"/>
      <c r="DA226" s="249"/>
      <c r="DD226" s="249"/>
      <c r="DG226" s="249"/>
      <c r="DJ226" s="249"/>
      <c r="DM226" s="249"/>
      <c r="DP226" s="249"/>
      <c r="DS226" s="249"/>
      <c r="DV226" s="249"/>
      <c r="DY226" s="249"/>
      <c r="EB226" s="249"/>
      <c r="EE226" s="249"/>
      <c r="EH226" s="249"/>
      <c r="EK226" s="249"/>
      <c r="EN226" s="249"/>
      <c r="EQ226" s="249"/>
      <c r="ET226" s="249"/>
      <c r="EW226" s="249"/>
      <c r="EZ226" s="249"/>
      <c r="FC226" s="249"/>
      <c r="FF226" s="249"/>
      <c r="FI226" s="249"/>
      <c r="FL226" s="249"/>
      <c r="FO226" s="249"/>
      <c r="FR226" s="249"/>
      <c r="FU226" s="249"/>
      <c r="FX226" s="249"/>
      <c r="GA226" s="249"/>
      <c r="GD226" s="249"/>
      <c r="GG226" s="249"/>
      <c r="GJ226" s="249"/>
      <c r="GM226" s="249"/>
      <c r="GP226" s="249"/>
      <c r="GS226" s="249"/>
      <c r="GV226" s="249"/>
      <c r="GY226" s="249"/>
      <c r="HB226" s="249"/>
      <c r="HE226" s="249"/>
    </row>
    <row r="227" spans="1:213" x14ac:dyDescent="0.2">
      <c r="A227" s="262" t="s">
        <v>467</v>
      </c>
      <c r="B227" s="283">
        <v>4</v>
      </c>
      <c r="C227" s="249" t="s">
        <v>224</v>
      </c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W227" s="249"/>
      <c r="Z227" s="249"/>
      <c r="AC227" s="249"/>
      <c r="AD227" s="249"/>
      <c r="AE227" s="249"/>
      <c r="AF227" s="249"/>
      <c r="AG227" s="249"/>
      <c r="AJ227" s="249"/>
      <c r="AM227" s="249"/>
      <c r="AP227" s="249"/>
      <c r="AS227" s="249"/>
      <c r="AV227" s="249"/>
      <c r="AY227" s="249"/>
      <c r="BB227" s="249"/>
      <c r="BE227" s="249"/>
      <c r="BH227" s="249"/>
      <c r="BK227" s="249"/>
      <c r="BN227" s="249"/>
      <c r="BQ227" s="249"/>
      <c r="BT227" s="249"/>
      <c r="BW227" s="249"/>
      <c r="BZ227" s="249"/>
      <c r="CC227" s="249"/>
      <c r="CF227" s="249"/>
      <c r="CI227" s="249"/>
      <c r="CL227" s="249"/>
      <c r="CO227" s="249"/>
      <c r="CR227" s="249"/>
      <c r="CU227" s="249"/>
      <c r="CX227" s="249"/>
      <c r="DA227" s="249"/>
      <c r="DD227" s="249"/>
      <c r="DG227" s="249"/>
      <c r="DJ227" s="249"/>
      <c r="DM227" s="249"/>
      <c r="DP227" s="249"/>
      <c r="DS227" s="249"/>
      <c r="DV227" s="249"/>
      <c r="DY227" s="249"/>
      <c r="EB227" s="249"/>
      <c r="EE227" s="249"/>
      <c r="EH227" s="249"/>
      <c r="EK227" s="249"/>
      <c r="EN227" s="249"/>
      <c r="EQ227" s="249"/>
      <c r="ET227" s="249"/>
      <c r="EW227" s="249"/>
      <c r="EZ227" s="249"/>
      <c r="FC227" s="249"/>
      <c r="FF227" s="249"/>
      <c r="FI227" s="249"/>
      <c r="FL227" s="249"/>
      <c r="FO227" s="249"/>
      <c r="FR227" s="249"/>
      <c r="FU227" s="249"/>
      <c r="FX227" s="249"/>
      <c r="GA227" s="249"/>
      <c r="GD227" s="249"/>
      <c r="GG227" s="249"/>
      <c r="GJ227" s="249"/>
      <c r="GM227" s="249"/>
      <c r="GP227" s="249"/>
      <c r="GS227" s="249"/>
      <c r="GV227" s="249"/>
      <c r="GY227" s="249"/>
      <c r="HB227" s="249"/>
      <c r="HE227" s="249"/>
    </row>
    <row r="228" spans="1:213" x14ac:dyDescent="0.2">
      <c r="A228" s="262" t="s">
        <v>468</v>
      </c>
      <c r="B228" s="283">
        <v>4</v>
      </c>
      <c r="C228" s="249" t="s">
        <v>224</v>
      </c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W228" s="249"/>
      <c r="Z228" s="249"/>
      <c r="AC228" s="249"/>
      <c r="AD228" s="249"/>
      <c r="AE228" s="249"/>
      <c r="AF228" s="249"/>
      <c r="AG228" s="249"/>
      <c r="AJ228" s="249"/>
      <c r="AM228" s="249"/>
      <c r="AP228" s="249"/>
      <c r="AS228" s="249"/>
      <c r="AV228" s="249"/>
      <c r="AY228" s="249"/>
      <c r="BB228" s="249"/>
      <c r="BE228" s="249"/>
      <c r="BH228" s="249"/>
      <c r="BK228" s="249"/>
      <c r="BN228" s="249"/>
      <c r="BQ228" s="249"/>
      <c r="BT228" s="249"/>
      <c r="BW228" s="249"/>
      <c r="BZ228" s="249"/>
      <c r="CC228" s="249"/>
      <c r="CF228" s="249"/>
      <c r="CI228" s="249"/>
      <c r="CL228" s="249"/>
      <c r="CO228" s="249"/>
      <c r="CR228" s="249"/>
      <c r="CU228" s="249"/>
      <c r="CX228" s="249"/>
      <c r="DA228" s="249"/>
      <c r="DD228" s="249"/>
      <c r="DG228" s="249"/>
      <c r="DJ228" s="249"/>
      <c r="DM228" s="249"/>
      <c r="DP228" s="249"/>
      <c r="DS228" s="249"/>
      <c r="DV228" s="249"/>
      <c r="DY228" s="249"/>
      <c r="EB228" s="249"/>
      <c r="EE228" s="249"/>
      <c r="EH228" s="249"/>
      <c r="EK228" s="249"/>
      <c r="EN228" s="249"/>
      <c r="EQ228" s="249"/>
      <c r="ET228" s="249"/>
      <c r="EW228" s="249"/>
      <c r="EZ228" s="249"/>
      <c r="FC228" s="249"/>
      <c r="FF228" s="249"/>
      <c r="FI228" s="249"/>
      <c r="FL228" s="249"/>
      <c r="FO228" s="249"/>
      <c r="FR228" s="249"/>
      <c r="FU228" s="249"/>
      <c r="FX228" s="249"/>
      <c r="GA228" s="249"/>
      <c r="GD228" s="249"/>
      <c r="GG228" s="249"/>
      <c r="GJ228" s="249"/>
      <c r="GM228" s="249"/>
      <c r="GP228" s="249"/>
      <c r="GS228" s="249"/>
      <c r="GV228" s="249"/>
      <c r="GY228" s="249"/>
      <c r="HB228" s="249"/>
      <c r="HE228" s="249"/>
    </row>
    <row r="229" spans="1:213" x14ac:dyDescent="0.2">
      <c r="A229" s="262" t="s">
        <v>103</v>
      </c>
      <c r="B229" s="283">
        <v>0.4</v>
      </c>
      <c r="C229" s="247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W229" s="249"/>
      <c r="Z229" s="249"/>
      <c r="AC229" s="249"/>
      <c r="AD229" s="249"/>
      <c r="AE229" s="249"/>
      <c r="AF229" s="249"/>
      <c r="AG229" s="249"/>
      <c r="AJ229" s="249"/>
      <c r="AM229" s="249"/>
      <c r="AP229" s="249"/>
      <c r="AS229" s="249"/>
      <c r="AV229" s="249"/>
      <c r="AY229" s="249"/>
      <c r="BB229" s="249"/>
      <c r="BE229" s="249"/>
      <c r="BH229" s="249"/>
      <c r="BK229" s="249"/>
      <c r="BN229" s="249"/>
      <c r="BQ229" s="249"/>
      <c r="BT229" s="249"/>
      <c r="BW229" s="249"/>
      <c r="BZ229" s="249"/>
      <c r="CC229" s="249"/>
      <c r="CF229" s="249"/>
      <c r="CI229" s="249"/>
      <c r="CL229" s="249"/>
      <c r="CO229" s="249"/>
      <c r="CR229" s="249"/>
      <c r="CU229" s="249"/>
      <c r="CX229" s="249"/>
      <c r="DA229" s="249"/>
      <c r="DD229" s="249"/>
      <c r="DG229" s="249"/>
      <c r="DJ229" s="249"/>
      <c r="DM229" s="249"/>
      <c r="DP229" s="249"/>
      <c r="DS229" s="249"/>
      <c r="DV229" s="249"/>
      <c r="DY229" s="249"/>
      <c r="EB229" s="249"/>
      <c r="EE229" s="249"/>
      <c r="EH229" s="249"/>
      <c r="EK229" s="249"/>
      <c r="EN229" s="249"/>
      <c r="EQ229" s="249"/>
      <c r="ET229" s="249"/>
      <c r="EW229" s="249"/>
      <c r="EZ229" s="249"/>
      <c r="FC229" s="249"/>
      <c r="FF229" s="249"/>
      <c r="FI229" s="249"/>
      <c r="FL229" s="249"/>
      <c r="FO229" s="249"/>
      <c r="FR229" s="249"/>
      <c r="FU229" s="249"/>
      <c r="FX229" s="249"/>
      <c r="GA229" s="249"/>
      <c r="GD229" s="249"/>
      <c r="GG229" s="249"/>
      <c r="GJ229" s="249"/>
      <c r="GM229" s="249"/>
      <c r="GP229" s="249"/>
      <c r="GS229" s="249"/>
      <c r="GV229" s="249"/>
      <c r="GY229" s="249"/>
      <c r="HB229" s="249"/>
      <c r="HE229" s="249"/>
    </row>
    <row r="230" spans="1:213" x14ac:dyDescent="0.2">
      <c r="A230" s="558" t="s">
        <v>427</v>
      </c>
      <c r="B230" s="558"/>
      <c r="C230" s="558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W230" s="249"/>
      <c r="Z230" s="249"/>
      <c r="AC230" s="249"/>
      <c r="AD230" s="249"/>
      <c r="AE230" s="249"/>
      <c r="AF230" s="249"/>
      <c r="AG230" s="249"/>
      <c r="AJ230" s="249"/>
      <c r="AM230" s="249"/>
      <c r="AP230" s="249"/>
      <c r="AS230" s="249"/>
      <c r="AV230" s="249"/>
      <c r="AY230" s="249"/>
      <c r="BB230" s="249"/>
      <c r="BE230" s="249"/>
      <c r="BH230" s="249"/>
      <c r="BK230" s="249"/>
      <c r="BN230" s="249"/>
      <c r="BQ230" s="249"/>
      <c r="BT230" s="249"/>
      <c r="BW230" s="249"/>
      <c r="BZ230" s="249"/>
      <c r="CC230" s="249"/>
      <c r="CF230" s="249"/>
      <c r="CI230" s="249"/>
      <c r="CL230" s="249"/>
      <c r="CO230" s="249"/>
      <c r="CR230" s="249"/>
      <c r="CU230" s="249"/>
      <c r="CX230" s="249"/>
      <c r="DA230" s="249"/>
      <c r="DD230" s="249"/>
      <c r="DG230" s="249"/>
      <c r="DJ230" s="249"/>
      <c r="DM230" s="249"/>
      <c r="DP230" s="249"/>
      <c r="DS230" s="249"/>
      <c r="DV230" s="249"/>
      <c r="DY230" s="249"/>
      <c r="EB230" s="249"/>
      <c r="EE230" s="249"/>
      <c r="EH230" s="249"/>
      <c r="EK230" s="249"/>
      <c r="EN230" s="249"/>
      <c r="EQ230" s="249"/>
      <c r="ET230" s="249"/>
      <c r="EW230" s="249"/>
      <c r="EZ230" s="249"/>
      <c r="FC230" s="249"/>
      <c r="FF230" s="249"/>
      <c r="FI230" s="249"/>
      <c r="FL230" s="249"/>
      <c r="FO230" s="249"/>
      <c r="FR230" s="249"/>
      <c r="FU230" s="249"/>
      <c r="FX230" s="249"/>
      <c r="GA230" s="249"/>
      <c r="GD230" s="249"/>
      <c r="GG230" s="249"/>
      <c r="GJ230" s="249"/>
      <c r="GM230" s="249"/>
      <c r="GP230" s="249"/>
      <c r="GS230" s="249"/>
      <c r="GV230" s="249"/>
      <c r="GY230" s="249"/>
      <c r="HB230" s="249"/>
      <c r="HE230" s="249"/>
    </row>
    <row r="231" spans="1:213" x14ac:dyDescent="0.2">
      <c r="A231" s="249" t="s">
        <v>428</v>
      </c>
      <c r="B231" s="283">
        <v>60</v>
      </c>
      <c r="C231" s="263" t="s">
        <v>359</v>
      </c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W231" s="249"/>
      <c r="Z231" s="249"/>
      <c r="AC231" s="249"/>
      <c r="AD231" s="249"/>
      <c r="AE231" s="249"/>
      <c r="AF231" s="249"/>
      <c r="AG231" s="249"/>
      <c r="AJ231" s="249"/>
      <c r="AM231" s="249"/>
      <c r="AP231" s="249"/>
      <c r="AS231" s="249"/>
      <c r="AV231" s="249"/>
      <c r="AY231" s="249"/>
      <c r="BB231" s="249"/>
      <c r="BE231" s="249"/>
      <c r="BH231" s="249"/>
      <c r="BK231" s="249"/>
      <c r="BN231" s="249"/>
      <c r="BQ231" s="249"/>
      <c r="BT231" s="249"/>
      <c r="BW231" s="249"/>
      <c r="BZ231" s="249"/>
      <c r="CC231" s="249"/>
      <c r="CF231" s="249"/>
      <c r="CI231" s="249"/>
      <c r="CL231" s="249"/>
      <c r="CO231" s="249"/>
      <c r="CR231" s="249"/>
      <c r="CU231" s="249"/>
      <c r="CX231" s="249"/>
      <c r="DA231" s="249"/>
      <c r="DD231" s="249"/>
      <c r="DG231" s="249"/>
      <c r="DJ231" s="249"/>
      <c r="DM231" s="249"/>
      <c r="DP231" s="249"/>
      <c r="DS231" s="249"/>
      <c r="DV231" s="249"/>
      <c r="DY231" s="249"/>
      <c r="EB231" s="249"/>
      <c r="EE231" s="249"/>
      <c r="EH231" s="249"/>
      <c r="EK231" s="249"/>
      <c r="EN231" s="249"/>
      <c r="EQ231" s="249"/>
      <c r="ET231" s="249"/>
      <c r="EW231" s="249"/>
      <c r="EZ231" s="249"/>
      <c r="FC231" s="249"/>
      <c r="FF231" s="249"/>
      <c r="FI231" s="249"/>
      <c r="FL231" s="249"/>
      <c r="FO231" s="249"/>
      <c r="FR231" s="249"/>
      <c r="FU231" s="249"/>
      <c r="FX231" s="249"/>
      <c r="GA231" s="249"/>
      <c r="GD231" s="249"/>
      <c r="GG231" s="249"/>
      <c r="GJ231" s="249"/>
      <c r="GM231" s="249"/>
      <c r="GP231" s="249"/>
      <c r="GS231" s="249"/>
      <c r="GV231" s="249"/>
      <c r="GY231" s="249"/>
      <c r="HB231" s="249"/>
      <c r="HE231" s="249"/>
    </row>
    <row r="232" spans="1:213" x14ac:dyDescent="0.2">
      <c r="A232" s="262" t="s">
        <v>40</v>
      </c>
      <c r="B232" s="283">
        <v>250</v>
      </c>
      <c r="C232" s="249" t="s">
        <v>26</v>
      </c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W232" s="249"/>
      <c r="Z232" s="249"/>
      <c r="AC232" s="249"/>
      <c r="AD232" s="249"/>
      <c r="AE232" s="249"/>
      <c r="AF232" s="249"/>
      <c r="AG232" s="249"/>
      <c r="AJ232" s="249"/>
      <c r="AM232" s="249"/>
      <c r="AP232" s="249"/>
      <c r="AS232" s="249"/>
      <c r="AV232" s="249"/>
      <c r="AY232" s="249"/>
      <c r="BB232" s="249"/>
      <c r="BE232" s="249"/>
      <c r="BH232" s="249"/>
      <c r="BK232" s="249"/>
      <c r="BN232" s="249"/>
      <c r="BQ232" s="249"/>
      <c r="BT232" s="249"/>
      <c r="BW232" s="249"/>
      <c r="BZ232" s="249"/>
      <c r="CC232" s="249"/>
      <c r="CF232" s="249"/>
      <c r="CI232" s="249"/>
      <c r="CL232" s="249"/>
      <c r="CO232" s="249"/>
      <c r="CR232" s="249"/>
      <c r="CU232" s="249"/>
      <c r="CX232" s="249"/>
      <c r="DA232" s="249"/>
      <c r="DD232" s="249"/>
      <c r="DG232" s="249"/>
      <c r="DJ232" s="249"/>
      <c r="DM232" s="249"/>
      <c r="DP232" s="249"/>
      <c r="DS232" s="249"/>
      <c r="DV232" s="249"/>
      <c r="DY232" s="249"/>
      <c r="EB232" s="249"/>
      <c r="EE232" s="249"/>
      <c r="EH232" s="249"/>
      <c r="EK232" s="249"/>
      <c r="EN232" s="249"/>
      <c r="EQ232" s="249"/>
      <c r="ET232" s="249"/>
      <c r="EW232" s="249"/>
      <c r="EZ232" s="249"/>
      <c r="FC232" s="249"/>
      <c r="FF232" s="249"/>
      <c r="FI232" s="249"/>
      <c r="FL232" s="249"/>
      <c r="FO232" s="249"/>
      <c r="FR232" s="249"/>
      <c r="FU232" s="249"/>
      <c r="FX232" s="249"/>
      <c r="GA232" s="249"/>
      <c r="GD232" s="249"/>
      <c r="GG232" s="249"/>
      <c r="GJ232" s="249"/>
      <c r="GM232" s="249"/>
      <c r="GP232" s="249"/>
      <c r="GS232" s="249"/>
      <c r="GV232" s="249"/>
      <c r="GY232" s="249"/>
      <c r="HB232" s="249"/>
      <c r="HE232" s="249"/>
    </row>
    <row r="233" spans="1:213" x14ac:dyDescent="0.2">
      <c r="A233" s="262" t="s">
        <v>429</v>
      </c>
      <c r="B233" s="284">
        <v>25</v>
      </c>
      <c r="C233" s="249" t="s">
        <v>69</v>
      </c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W233" s="249"/>
      <c r="Z233" s="249"/>
      <c r="AC233" s="249"/>
      <c r="AD233" s="249"/>
      <c r="AE233" s="249"/>
      <c r="AF233" s="249"/>
      <c r="AG233" s="249"/>
      <c r="AJ233" s="249"/>
      <c r="AM233" s="249"/>
      <c r="AP233" s="249"/>
      <c r="AS233" s="249"/>
      <c r="AV233" s="249"/>
      <c r="AY233" s="249"/>
      <c r="BB233" s="249"/>
      <c r="BE233" s="249"/>
      <c r="BH233" s="249"/>
      <c r="BK233" s="249"/>
      <c r="BN233" s="249"/>
      <c r="BQ233" s="249"/>
      <c r="BT233" s="249"/>
      <c r="BW233" s="249"/>
      <c r="BZ233" s="249"/>
      <c r="CC233" s="249"/>
      <c r="CF233" s="249"/>
      <c r="CI233" s="249"/>
      <c r="CL233" s="249"/>
      <c r="CO233" s="249"/>
      <c r="CR233" s="249"/>
      <c r="CU233" s="249"/>
      <c r="CX233" s="249"/>
      <c r="DA233" s="249"/>
      <c r="DD233" s="249"/>
      <c r="DG233" s="249"/>
      <c r="DJ233" s="249"/>
      <c r="DM233" s="249"/>
      <c r="DP233" s="249"/>
      <c r="DS233" s="249"/>
      <c r="DV233" s="249"/>
      <c r="DY233" s="249"/>
      <c r="EB233" s="249"/>
      <c r="EE233" s="249"/>
      <c r="EH233" s="249"/>
      <c r="EK233" s="249"/>
      <c r="EN233" s="249"/>
      <c r="EQ233" s="249"/>
      <c r="ET233" s="249"/>
      <c r="EW233" s="249"/>
      <c r="EZ233" s="249"/>
      <c r="FC233" s="249"/>
      <c r="FF233" s="249"/>
      <c r="FI233" s="249"/>
      <c r="FL233" s="249"/>
      <c r="FO233" s="249"/>
      <c r="FR233" s="249"/>
      <c r="FU233" s="249"/>
      <c r="FX233" s="249"/>
      <c r="GA233" s="249"/>
      <c r="GD233" s="249"/>
      <c r="GG233" s="249"/>
      <c r="GJ233" s="249"/>
      <c r="GM233" s="249"/>
      <c r="GP233" s="249"/>
      <c r="GS233" s="249"/>
      <c r="GV233" s="249"/>
      <c r="GY233" s="249"/>
      <c r="HB233" s="249"/>
      <c r="HE233" s="249"/>
    </row>
    <row r="234" spans="1:213" x14ac:dyDescent="0.2">
      <c r="A234" s="262" t="s">
        <v>79</v>
      </c>
      <c r="B234" s="283">
        <v>50</v>
      </c>
      <c r="C234" s="263" t="s">
        <v>54</v>
      </c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W234" s="249"/>
      <c r="Z234" s="249"/>
      <c r="AC234" s="249"/>
      <c r="AD234" s="249"/>
      <c r="AE234" s="249"/>
      <c r="AF234" s="249"/>
      <c r="AG234" s="249"/>
      <c r="AJ234" s="249"/>
      <c r="AM234" s="249"/>
      <c r="AP234" s="249"/>
      <c r="AS234" s="249"/>
      <c r="AV234" s="249"/>
      <c r="AY234" s="249"/>
      <c r="BB234" s="249"/>
      <c r="BE234" s="249"/>
      <c r="BH234" s="249"/>
      <c r="BK234" s="249"/>
      <c r="BN234" s="249"/>
      <c r="BQ234" s="249"/>
      <c r="BT234" s="249"/>
      <c r="BW234" s="249"/>
      <c r="BZ234" s="249"/>
      <c r="CC234" s="249"/>
      <c r="CF234" s="249"/>
      <c r="CI234" s="249"/>
      <c r="CL234" s="249"/>
      <c r="CO234" s="249"/>
      <c r="CR234" s="249"/>
      <c r="CU234" s="249"/>
      <c r="CX234" s="249"/>
      <c r="DA234" s="249"/>
      <c r="DD234" s="249"/>
      <c r="DG234" s="249"/>
      <c r="DJ234" s="249"/>
      <c r="DM234" s="249"/>
      <c r="DP234" s="249"/>
      <c r="DS234" s="249"/>
      <c r="DV234" s="249"/>
      <c r="DY234" s="249"/>
      <c r="EB234" s="249"/>
      <c r="EE234" s="249"/>
      <c r="EH234" s="249"/>
      <c r="EK234" s="249"/>
      <c r="EN234" s="249"/>
      <c r="EQ234" s="249"/>
      <c r="ET234" s="249"/>
      <c r="EW234" s="249"/>
      <c r="EZ234" s="249"/>
      <c r="FC234" s="249"/>
      <c r="FF234" s="249"/>
      <c r="FI234" s="249"/>
      <c r="FL234" s="249"/>
      <c r="FO234" s="249"/>
      <c r="FR234" s="249"/>
      <c r="FU234" s="249"/>
      <c r="FX234" s="249"/>
      <c r="GA234" s="249"/>
      <c r="GD234" s="249"/>
      <c r="GG234" s="249"/>
      <c r="GJ234" s="249"/>
      <c r="GM234" s="249"/>
      <c r="GP234" s="249"/>
      <c r="GS234" s="249"/>
      <c r="GV234" s="249"/>
      <c r="GY234" s="249"/>
      <c r="HB234" s="249"/>
      <c r="HE234" s="249"/>
    </row>
    <row r="235" spans="1:213" x14ac:dyDescent="0.2">
      <c r="A235" s="249" t="s">
        <v>353</v>
      </c>
      <c r="B235" s="284">
        <v>1</v>
      </c>
      <c r="C235" s="247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W235" s="249"/>
      <c r="Z235" s="249"/>
      <c r="AC235" s="249"/>
      <c r="AD235" s="249"/>
      <c r="AE235" s="249"/>
      <c r="AF235" s="249"/>
      <c r="AG235" s="249"/>
      <c r="AJ235" s="249"/>
      <c r="AM235" s="249"/>
      <c r="AP235" s="249"/>
      <c r="AS235" s="249"/>
      <c r="AV235" s="249"/>
      <c r="AY235" s="249"/>
      <c r="BB235" s="249"/>
      <c r="BE235" s="249"/>
      <c r="BH235" s="249"/>
      <c r="BK235" s="249"/>
      <c r="BN235" s="249"/>
      <c r="BQ235" s="249"/>
      <c r="BT235" s="249"/>
      <c r="BW235" s="249"/>
      <c r="BZ235" s="249"/>
      <c r="CC235" s="249"/>
      <c r="CF235" s="249"/>
      <c r="CI235" s="249"/>
      <c r="CL235" s="249"/>
      <c r="CO235" s="249"/>
      <c r="CR235" s="249"/>
      <c r="CU235" s="249"/>
      <c r="CX235" s="249"/>
      <c r="DA235" s="249"/>
      <c r="DD235" s="249"/>
      <c r="DG235" s="249"/>
      <c r="DJ235" s="249"/>
      <c r="DM235" s="249"/>
      <c r="DP235" s="249"/>
      <c r="DS235" s="249"/>
      <c r="DV235" s="249"/>
      <c r="DY235" s="249"/>
      <c r="EB235" s="249"/>
      <c r="EE235" s="249"/>
      <c r="EH235" s="249"/>
      <c r="EK235" s="249"/>
      <c r="EN235" s="249"/>
      <c r="EQ235" s="249"/>
      <c r="ET235" s="249"/>
      <c r="EW235" s="249"/>
      <c r="EZ235" s="249"/>
      <c r="FC235" s="249"/>
      <c r="FF235" s="249"/>
      <c r="FI235" s="249"/>
      <c r="FL235" s="249"/>
      <c r="FO235" s="249"/>
      <c r="FR235" s="249"/>
      <c r="FU235" s="249"/>
      <c r="FX235" s="249"/>
      <c r="GA235" s="249"/>
      <c r="GD235" s="249"/>
      <c r="GG235" s="249"/>
      <c r="GJ235" s="249"/>
      <c r="GM235" s="249"/>
      <c r="GP235" s="249"/>
      <c r="GS235" s="249"/>
      <c r="GV235" s="249"/>
      <c r="GY235" s="249"/>
      <c r="HB235" s="249"/>
      <c r="HE235" s="249"/>
    </row>
    <row r="236" spans="1:213" x14ac:dyDescent="0.2">
      <c r="A236" s="262" t="s">
        <v>56</v>
      </c>
      <c r="B236" s="284">
        <v>1</v>
      </c>
      <c r="C236" s="247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W236" s="249"/>
      <c r="Z236" s="249"/>
      <c r="AC236" s="249"/>
      <c r="AD236" s="249"/>
      <c r="AE236" s="249"/>
      <c r="AF236" s="249"/>
      <c r="AG236" s="249"/>
      <c r="AJ236" s="249"/>
      <c r="AM236" s="249"/>
      <c r="AP236" s="249"/>
      <c r="AS236" s="249"/>
      <c r="AV236" s="249"/>
      <c r="AY236" s="249"/>
      <c r="BB236" s="249"/>
      <c r="BE236" s="249"/>
      <c r="BH236" s="249"/>
      <c r="BK236" s="249"/>
      <c r="BN236" s="249"/>
      <c r="BQ236" s="249"/>
      <c r="BT236" s="249"/>
      <c r="BW236" s="249"/>
      <c r="BZ236" s="249"/>
      <c r="CC236" s="249"/>
      <c r="CF236" s="249"/>
      <c r="CI236" s="249"/>
      <c r="CL236" s="249"/>
      <c r="CO236" s="249"/>
      <c r="CR236" s="249"/>
      <c r="CU236" s="249"/>
      <c r="CX236" s="249"/>
      <c r="DA236" s="249"/>
      <c r="DD236" s="249"/>
      <c r="DG236" s="249"/>
      <c r="DJ236" s="249"/>
      <c r="DM236" s="249"/>
      <c r="DP236" s="249"/>
      <c r="DS236" s="249"/>
      <c r="DV236" s="249"/>
      <c r="DY236" s="249"/>
      <c r="EB236" s="249"/>
      <c r="EE236" s="249"/>
      <c r="EH236" s="249"/>
      <c r="EK236" s="249"/>
      <c r="EN236" s="249"/>
      <c r="EQ236" s="249"/>
      <c r="ET236" s="249"/>
      <c r="EW236" s="249"/>
      <c r="EZ236" s="249"/>
      <c r="FC236" s="249"/>
      <c r="FF236" s="249"/>
      <c r="FI236" s="249"/>
      <c r="FL236" s="249"/>
      <c r="FO236" s="249"/>
      <c r="FR236" s="249"/>
      <c r="FU236" s="249"/>
      <c r="FX236" s="249"/>
      <c r="GA236" s="249"/>
      <c r="GD236" s="249"/>
      <c r="GG236" s="249"/>
      <c r="GJ236" s="249"/>
      <c r="GM236" s="249"/>
      <c r="GP236" s="249"/>
      <c r="GS236" s="249"/>
      <c r="GV236" s="249"/>
      <c r="GY236" s="249"/>
      <c r="HB236" s="249"/>
      <c r="HE236" s="249"/>
    </row>
    <row r="237" spans="1:213" x14ac:dyDescent="0.2">
      <c r="A237" s="262" t="s">
        <v>52</v>
      </c>
      <c r="B237" s="284">
        <v>0.4</v>
      </c>
      <c r="C237" s="247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W237" s="249"/>
      <c r="Z237" s="249"/>
      <c r="AC237" s="249"/>
      <c r="AD237" s="249"/>
      <c r="AE237" s="249"/>
      <c r="AF237" s="249"/>
      <c r="AG237" s="249"/>
      <c r="AJ237" s="249"/>
      <c r="AM237" s="249"/>
      <c r="AP237" s="249"/>
      <c r="AS237" s="249"/>
      <c r="AV237" s="249"/>
      <c r="AY237" s="249"/>
      <c r="BB237" s="249"/>
      <c r="BE237" s="249"/>
      <c r="BH237" s="249"/>
      <c r="BK237" s="249"/>
      <c r="BN237" s="249"/>
      <c r="BQ237" s="249"/>
      <c r="BT237" s="249"/>
      <c r="BW237" s="249"/>
      <c r="BZ237" s="249"/>
      <c r="CC237" s="249"/>
      <c r="CF237" s="249"/>
      <c r="CI237" s="249"/>
      <c r="CL237" s="249"/>
      <c r="CO237" s="249"/>
      <c r="CR237" s="249"/>
      <c r="CU237" s="249"/>
      <c r="CX237" s="249"/>
      <c r="DA237" s="249"/>
      <c r="DD237" s="249"/>
      <c r="DG237" s="249"/>
      <c r="DJ237" s="249"/>
      <c r="DM237" s="249"/>
      <c r="DP237" s="249"/>
      <c r="DS237" s="249"/>
      <c r="DV237" s="249"/>
      <c r="DY237" s="249"/>
      <c r="EB237" s="249"/>
      <c r="EE237" s="249"/>
      <c r="EH237" s="249"/>
      <c r="EK237" s="249"/>
      <c r="EN237" s="249"/>
      <c r="EQ237" s="249"/>
      <c r="ET237" s="249"/>
      <c r="EW237" s="249"/>
      <c r="EZ237" s="249"/>
      <c r="FC237" s="249"/>
      <c r="FF237" s="249"/>
      <c r="FI237" s="249"/>
      <c r="FL237" s="249"/>
      <c r="FO237" s="249"/>
      <c r="FR237" s="249"/>
      <c r="FU237" s="249"/>
      <c r="FX237" s="249"/>
      <c r="GA237" s="249"/>
      <c r="GD237" s="249"/>
      <c r="GG237" s="249"/>
      <c r="GJ237" s="249"/>
      <c r="GM237" s="249"/>
      <c r="GP237" s="249"/>
      <c r="GS237" s="249"/>
      <c r="GV237" s="249"/>
      <c r="GY237" s="249"/>
      <c r="HB237" s="249"/>
      <c r="HE237" s="249"/>
    </row>
    <row r="238" spans="1:213" x14ac:dyDescent="0.2">
      <c r="A238" s="262" t="s">
        <v>62</v>
      </c>
      <c r="B238" s="284">
        <v>1</v>
      </c>
      <c r="C238" s="247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W238" s="249"/>
      <c r="Z238" s="249"/>
      <c r="AC238" s="249"/>
      <c r="AD238" s="249"/>
      <c r="AE238" s="249"/>
      <c r="AF238" s="249"/>
      <c r="AG238" s="249"/>
      <c r="AJ238" s="249"/>
      <c r="AM238" s="249"/>
      <c r="AP238" s="249"/>
      <c r="AS238" s="249"/>
      <c r="AV238" s="249"/>
      <c r="AY238" s="249"/>
      <c r="BB238" s="249"/>
      <c r="BE238" s="249"/>
      <c r="BH238" s="249"/>
      <c r="BK238" s="249"/>
      <c r="BN238" s="249"/>
      <c r="BQ238" s="249"/>
      <c r="BT238" s="249"/>
      <c r="BW238" s="249"/>
      <c r="BZ238" s="249"/>
      <c r="CC238" s="249"/>
      <c r="CF238" s="249"/>
      <c r="CI238" s="249"/>
      <c r="CL238" s="249"/>
      <c r="CO238" s="249"/>
      <c r="CR238" s="249"/>
      <c r="CU238" s="249"/>
      <c r="CX238" s="249"/>
      <c r="DA238" s="249"/>
      <c r="DD238" s="249"/>
      <c r="DG238" s="249"/>
      <c r="DJ238" s="249"/>
      <c r="DM238" s="249"/>
      <c r="DP238" s="249"/>
      <c r="DS238" s="249"/>
      <c r="DV238" s="249"/>
      <c r="DY238" s="249"/>
      <c r="EB238" s="249"/>
      <c r="EE238" s="249"/>
      <c r="EH238" s="249"/>
      <c r="EK238" s="249"/>
      <c r="EN238" s="249"/>
      <c r="EQ238" s="249"/>
      <c r="ET238" s="249"/>
      <c r="EW238" s="249"/>
      <c r="EZ238" s="249"/>
      <c r="FC238" s="249"/>
      <c r="FF238" s="249"/>
      <c r="FI238" s="249"/>
      <c r="FL238" s="249"/>
      <c r="FO238" s="249"/>
      <c r="FR238" s="249"/>
      <c r="FU238" s="249"/>
      <c r="FX238" s="249"/>
      <c r="GA238" s="249"/>
      <c r="GD238" s="249"/>
      <c r="GG238" s="249"/>
      <c r="GJ238" s="249"/>
      <c r="GM238" s="249"/>
      <c r="GP238" s="249"/>
      <c r="GS238" s="249"/>
      <c r="GV238" s="249"/>
      <c r="GY238" s="249"/>
      <c r="HB238" s="249"/>
      <c r="HE238" s="249"/>
    </row>
    <row r="239" spans="1:213" x14ac:dyDescent="0.2">
      <c r="A239" s="262" t="s">
        <v>469</v>
      </c>
      <c r="B239" s="283">
        <v>0</v>
      </c>
      <c r="C239" s="249" t="s">
        <v>224</v>
      </c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W239" s="249"/>
      <c r="Z239" s="249"/>
      <c r="AC239" s="249"/>
      <c r="AD239" s="249"/>
      <c r="AE239" s="249"/>
      <c r="AF239" s="249"/>
      <c r="AG239" s="249"/>
      <c r="AJ239" s="249"/>
      <c r="AM239" s="249"/>
      <c r="AP239" s="249"/>
      <c r="AS239" s="249"/>
      <c r="AV239" s="249"/>
      <c r="AY239" s="249"/>
      <c r="BB239" s="249"/>
      <c r="BE239" s="249"/>
      <c r="BH239" s="249"/>
      <c r="BK239" s="249"/>
      <c r="BN239" s="249"/>
      <c r="BQ239" s="249"/>
      <c r="BT239" s="249"/>
      <c r="BW239" s="249"/>
      <c r="BZ239" s="249"/>
      <c r="CC239" s="249"/>
      <c r="CF239" s="249"/>
      <c r="CI239" s="249"/>
      <c r="CL239" s="249"/>
      <c r="CO239" s="249"/>
      <c r="CR239" s="249"/>
      <c r="CU239" s="249"/>
      <c r="CX239" s="249"/>
      <c r="DA239" s="249"/>
      <c r="DD239" s="249"/>
      <c r="DG239" s="249"/>
      <c r="DJ239" s="249"/>
      <c r="DM239" s="249"/>
      <c r="DP239" s="249"/>
      <c r="DS239" s="249"/>
      <c r="DV239" s="249"/>
      <c r="DY239" s="249"/>
      <c r="EB239" s="249"/>
      <c r="EE239" s="249"/>
      <c r="EH239" s="249"/>
      <c r="EK239" s="249"/>
      <c r="EN239" s="249"/>
      <c r="EQ239" s="249"/>
      <c r="ET239" s="249"/>
      <c r="EW239" s="249"/>
      <c r="EZ239" s="249"/>
      <c r="FC239" s="249"/>
      <c r="FF239" s="249"/>
      <c r="FI239" s="249"/>
      <c r="FL239" s="249"/>
      <c r="FO239" s="249"/>
      <c r="FR239" s="249"/>
      <c r="FU239" s="249"/>
      <c r="FX239" s="249"/>
      <c r="GA239" s="249"/>
      <c r="GD239" s="249"/>
      <c r="GG239" s="249"/>
      <c r="GJ239" s="249"/>
      <c r="GM239" s="249"/>
      <c r="GP239" s="249"/>
      <c r="GS239" s="249"/>
      <c r="GV239" s="249"/>
      <c r="GY239" s="249"/>
      <c r="HB239" s="249"/>
      <c r="HE239" s="249"/>
    </row>
    <row r="240" spans="1:213" x14ac:dyDescent="0.2">
      <c r="A240" s="262" t="s">
        <v>470</v>
      </c>
      <c r="B240" s="283">
        <v>8</v>
      </c>
      <c r="C240" s="249" t="s">
        <v>224</v>
      </c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W240" s="249"/>
      <c r="Z240" s="249"/>
      <c r="AC240" s="249"/>
      <c r="AD240" s="249"/>
      <c r="AE240" s="249"/>
      <c r="AF240" s="249"/>
      <c r="AG240" s="249"/>
      <c r="AJ240" s="249"/>
      <c r="AM240" s="249"/>
      <c r="AP240" s="249"/>
      <c r="AS240" s="249"/>
      <c r="AV240" s="249"/>
      <c r="AY240" s="249"/>
      <c r="BB240" s="249"/>
      <c r="BE240" s="249"/>
      <c r="BH240" s="249"/>
      <c r="BK240" s="249"/>
      <c r="BN240" s="249"/>
      <c r="BQ240" s="249"/>
      <c r="BT240" s="249"/>
      <c r="BW240" s="249"/>
      <c r="BZ240" s="249"/>
      <c r="CC240" s="249"/>
      <c r="CF240" s="249"/>
      <c r="CI240" s="249"/>
      <c r="CL240" s="249"/>
      <c r="CO240" s="249"/>
      <c r="CR240" s="249"/>
      <c r="CU240" s="249"/>
      <c r="CX240" s="249"/>
      <c r="DA240" s="249"/>
      <c r="DD240" s="249"/>
      <c r="DG240" s="249"/>
      <c r="DJ240" s="249"/>
      <c r="DM240" s="249"/>
      <c r="DP240" s="249"/>
      <c r="DS240" s="249"/>
      <c r="DV240" s="249"/>
      <c r="DY240" s="249"/>
      <c r="EB240" s="249"/>
      <c r="EE240" s="249"/>
      <c r="EH240" s="249"/>
      <c r="EK240" s="249"/>
      <c r="EN240" s="249"/>
      <c r="EQ240" s="249"/>
      <c r="ET240" s="249"/>
      <c r="EW240" s="249"/>
      <c r="EZ240" s="249"/>
      <c r="FC240" s="249"/>
      <c r="FF240" s="249"/>
      <c r="FI240" s="249"/>
      <c r="FL240" s="249"/>
      <c r="FO240" s="249"/>
      <c r="FR240" s="249"/>
      <c r="FU240" s="249"/>
      <c r="FX240" s="249"/>
      <c r="GA240" s="249"/>
      <c r="GD240" s="249"/>
      <c r="GG240" s="249"/>
      <c r="GJ240" s="249"/>
      <c r="GM240" s="249"/>
      <c r="GP240" s="249"/>
      <c r="GS240" s="249"/>
      <c r="GV240" s="249"/>
      <c r="GY240" s="249"/>
      <c r="HB240" s="249"/>
      <c r="HE240" s="249"/>
    </row>
    <row r="241" spans="1:213" x14ac:dyDescent="0.2">
      <c r="A241" s="262" t="s">
        <v>103</v>
      </c>
      <c r="B241" s="283">
        <v>0.4</v>
      </c>
      <c r="C241" s="247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W241" s="249"/>
      <c r="Z241" s="249"/>
      <c r="AC241" s="249"/>
      <c r="AD241" s="249"/>
      <c r="AE241" s="249"/>
      <c r="AF241" s="249"/>
      <c r="AG241" s="249"/>
      <c r="AJ241" s="249"/>
      <c r="AM241" s="249"/>
      <c r="AP241" s="249"/>
      <c r="AS241" s="249"/>
      <c r="AV241" s="249"/>
      <c r="AY241" s="249"/>
      <c r="BB241" s="249"/>
      <c r="BE241" s="249"/>
      <c r="BH241" s="249"/>
      <c r="BK241" s="249"/>
      <c r="BN241" s="249"/>
      <c r="BQ241" s="249"/>
      <c r="BT241" s="249"/>
      <c r="BW241" s="249"/>
      <c r="BZ241" s="249"/>
      <c r="CC241" s="249"/>
      <c r="CF241" s="249"/>
      <c r="CI241" s="249"/>
      <c r="CL241" s="249"/>
      <c r="CO241" s="249"/>
      <c r="CR241" s="249"/>
      <c r="CU241" s="249"/>
      <c r="CX241" s="249"/>
      <c r="DA241" s="249"/>
      <c r="DD241" s="249"/>
      <c r="DG241" s="249"/>
      <c r="DJ241" s="249"/>
      <c r="DM241" s="249"/>
      <c r="DP241" s="249"/>
      <c r="DS241" s="249"/>
      <c r="DV241" s="249"/>
      <c r="DY241" s="249"/>
      <c r="EB241" s="249"/>
      <c r="EE241" s="249"/>
      <c r="EH241" s="249"/>
      <c r="EK241" s="249"/>
      <c r="EN241" s="249"/>
      <c r="EQ241" s="249"/>
      <c r="ET241" s="249"/>
      <c r="EW241" s="249"/>
      <c r="EZ241" s="249"/>
      <c r="FC241" s="249"/>
      <c r="FF241" s="249"/>
      <c r="FI241" s="249"/>
      <c r="FL241" s="249"/>
      <c r="FO241" s="249"/>
      <c r="FR241" s="249"/>
      <c r="FU241" s="249"/>
      <c r="FX241" s="249"/>
      <c r="GA241" s="249"/>
      <c r="GD241" s="249"/>
      <c r="GG241" s="249"/>
      <c r="GJ241" s="249"/>
      <c r="GM241" s="249"/>
      <c r="GP241" s="249"/>
      <c r="GS241" s="249"/>
      <c r="GV241" s="249"/>
      <c r="GY241" s="249"/>
      <c r="HB241" s="249"/>
      <c r="HE241" s="249"/>
    </row>
    <row r="242" spans="1:213" x14ac:dyDescent="0.2">
      <c r="A242" s="558" t="s">
        <v>430</v>
      </c>
      <c r="B242" s="558"/>
      <c r="C242" s="558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W242" s="249"/>
      <c r="Z242" s="249"/>
      <c r="AC242" s="249"/>
      <c r="AD242" s="249"/>
      <c r="AE242" s="249"/>
      <c r="AF242" s="249"/>
      <c r="AG242" s="249"/>
      <c r="AJ242" s="249"/>
      <c r="AM242" s="249"/>
      <c r="AP242" s="249"/>
      <c r="AS242" s="249"/>
      <c r="AV242" s="249"/>
      <c r="AY242" s="249"/>
      <c r="BB242" s="249"/>
      <c r="BE242" s="249"/>
      <c r="BH242" s="249"/>
      <c r="BK242" s="249"/>
      <c r="BN242" s="249"/>
      <c r="BQ242" s="249"/>
      <c r="BT242" s="249"/>
      <c r="BW242" s="249"/>
      <c r="BZ242" s="249"/>
      <c r="CC242" s="249"/>
      <c r="CF242" s="249"/>
      <c r="CI242" s="249"/>
      <c r="CL242" s="249"/>
      <c r="CO242" s="249"/>
      <c r="CR242" s="249"/>
      <c r="CU242" s="249"/>
      <c r="CX242" s="249"/>
      <c r="DA242" s="249"/>
      <c r="DD242" s="249"/>
      <c r="DG242" s="249"/>
      <c r="DJ242" s="249"/>
      <c r="DM242" s="249"/>
      <c r="DP242" s="249"/>
      <c r="DS242" s="249"/>
      <c r="DV242" s="249"/>
      <c r="DY242" s="249"/>
      <c r="EB242" s="249"/>
      <c r="EE242" s="249"/>
      <c r="EH242" s="249"/>
      <c r="EK242" s="249"/>
      <c r="EN242" s="249"/>
      <c r="EQ242" s="249"/>
      <c r="ET242" s="249"/>
      <c r="EW242" s="249"/>
      <c r="EZ242" s="249"/>
      <c r="FC242" s="249"/>
      <c r="FF242" s="249"/>
      <c r="FI242" s="249"/>
      <c r="FL242" s="249"/>
      <c r="FO242" s="249"/>
      <c r="FR242" s="249"/>
      <c r="FU242" s="249"/>
      <c r="FX242" s="249"/>
      <c r="GA242" s="249"/>
      <c r="GD242" s="249"/>
      <c r="GG242" s="249"/>
      <c r="GJ242" s="249"/>
      <c r="GM242" s="249"/>
      <c r="GP242" s="249"/>
      <c r="GS242" s="249"/>
      <c r="GV242" s="249"/>
      <c r="GY242" s="249"/>
      <c r="HB242" s="249"/>
      <c r="HE242" s="249"/>
    </row>
    <row r="243" spans="1:213" x14ac:dyDescent="0.2">
      <c r="A243" s="249" t="s">
        <v>58</v>
      </c>
      <c r="B243" s="283">
        <v>60</v>
      </c>
      <c r="C243" s="263" t="s">
        <v>359</v>
      </c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W243" s="249"/>
      <c r="Z243" s="249"/>
      <c r="AC243" s="249"/>
      <c r="AD243" s="249"/>
      <c r="AE243" s="249"/>
      <c r="AF243" s="249"/>
      <c r="AG243" s="249"/>
      <c r="AJ243" s="249"/>
      <c r="AM243" s="249"/>
      <c r="AP243" s="249"/>
      <c r="AS243" s="249"/>
      <c r="AV243" s="249"/>
      <c r="AY243" s="249"/>
      <c r="BB243" s="249"/>
      <c r="BE243" s="249"/>
      <c r="BH243" s="249"/>
      <c r="BK243" s="249"/>
      <c r="BN243" s="249"/>
      <c r="BQ243" s="249"/>
      <c r="BT243" s="249"/>
      <c r="BW243" s="249"/>
      <c r="BZ243" s="249"/>
      <c r="CC243" s="249"/>
      <c r="CF243" s="249"/>
      <c r="CI243" s="249"/>
      <c r="CL243" s="249"/>
      <c r="CO243" s="249"/>
      <c r="CR243" s="249"/>
      <c r="CU243" s="249"/>
      <c r="CX243" s="249"/>
      <c r="DA243" s="249"/>
      <c r="DD243" s="249"/>
      <c r="DG243" s="249"/>
      <c r="DJ243" s="249"/>
      <c r="DM243" s="249"/>
      <c r="DP243" s="249"/>
      <c r="DS243" s="249"/>
      <c r="DV243" s="249"/>
      <c r="DY243" s="249"/>
      <c r="EB243" s="249"/>
      <c r="EE243" s="249"/>
      <c r="EH243" s="249"/>
      <c r="EK243" s="249"/>
      <c r="EN243" s="249"/>
      <c r="EQ243" s="249"/>
      <c r="ET243" s="249"/>
      <c r="EW243" s="249"/>
      <c r="EZ243" s="249"/>
      <c r="FC243" s="249"/>
      <c r="FF243" s="249"/>
      <c r="FI243" s="249"/>
      <c r="FL243" s="249"/>
      <c r="FO243" s="249"/>
      <c r="FR243" s="249"/>
      <c r="FU243" s="249"/>
      <c r="FX243" s="249"/>
      <c r="GA243" s="249"/>
      <c r="GD243" s="249"/>
      <c r="GG243" s="249"/>
      <c r="GJ243" s="249"/>
      <c r="GM243" s="249"/>
      <c r="GP243" s="249"/>
      <c r="GS243" s="249"/>
      <c r="GV243" s="249"/>
      <c r="GY243" s="249"/>
      <c r="HB243" s="249"/>
      <c r="HE243" s="249"/>
    </row>
    <row r="244" spans="1:213" x14ac:dyDescent="0.2">
      <c r="A244" s="262" t="s">
        <v>431</v>
      </c>
      <c r="B244" s="283">
        <v>225</v>
      </c>
      <c r="C244" s="249" t="s">
        <v>26</v>
      </c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W244" s="249"/>
      <c r="Z244" s="249"/>
      <c r="AC244" s="249"/>
      <c r="AD244" s="249"/>
      <c r="AE244" s="249"/>
      <c r="AF244" s="249"/>
      <c r="AG244" s="249"/>
      <c r="AJ244" s="249"/>
      <c r="AM244" s="249"/>
      <c r="AP244" s="249"/>
      <c r="AS244" s="249"/>
      <c r="AV244" s="249"/>
      <c r="AY244" s="249"/>
      <c r="BB244" s="249"/>
      <c r="BE244" s="249"/>
      <c r="BH244" s="249"/>
      <c r="BK244" s="249"/>
      <c r="BN244" s="249"/>
      <c r="BQ244" s="249"/>
      <c r="BT244" s="249"/>
      <c r="BW244" s="249"/>
      <c r="BZ244" s="249"/>
      <c r="CC244" s="249"/>
      <c r="CF244" s="249"/>
      <c r="CI244" s="249"/>
      <c r="CL244" s="249"/>
      <c r="CO244" s="249"/>
      <c r="CR244" s="249"/>
      <c r="CU244" s="249"/>
      <c r="CX244" s="249"/>
      <c r="DA244" s="249"/>
      <c r="DD244" s="249"/>
      <c r="DG244" s="249"/>
      <c r="DJ244" s="249"/>
      <c r="DM244" s="249"/>
      <c r="DP244" s="249"/>
      <c r="DS244" s="249"/>
      <c r="DV244" s="249"/>
      <c r="DY244" s="249"/>
      <c r="EB244" s="249"/>
      <c r="EE244" s="249"/>
      <c r="EH244" s="249"/>
      <c r="EK244" s="249"/>
      <c r="EN244" s="249"/>
      <c r="EQ244" s="249"/>
      <c r="ET244" s="249"/>
      <c r="EW244" s="249"/>
      <c r="EZ244" s="249"/>
      <c r="FC244" s="249"/>
      <c r="FF244" s="249"/>
      <c r="FI244" s="249"/>
      <c r="FL244" s="249"/>
      <c r="FO244" s="249"/>
      <c r="FR244" s="249"/>
      <c r="FU244" s="249"/>
      <c r="FX244" s="249"/>
      <c r="GA244" s="249"/>
      <c r="GD244" s="249"/>
      <c r="GG244" s="249"/>
      <c r="GJ244" s="249"/>
      <c r="GM244" s="249"/>
      <c r="GP244" s="249"/>
      <c r="GS244" s="249"/>
      <c r="GV244" s="249"/>
      <c r="GY244" s="249"/>
      <c r="HB244" s="249"/>
      <c r="HE244" s="249"/>
    </row>
    <row r="245" spans="1:213" x14ac:dyDescent="0.2">
      <c r="A245" s="262" t="s">
        <v>432</v>
      </c>
      <c r="B245" s="284">
        <v>25</v>
      </c>
      <c r="C245" s="249" t="s">
        <v>69</v>
      </c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W245" s="249"/>
      <c r="Z245" s="249"/>
      <c r="AC245" s="249"/>
      <c r="AD245" s="249"/>
      <c r="AE245" s="249"/>
      <c r="AF245" s="249"/>
      <c r="AG245" s="249"/>
      <c r="AJ245" s="249"/>
      <c r="AM245" s="249"/>
      <c r="AP245" s="249"/>
      <c r="AS245" s="249"/>
      <c r="AV245" s="249"/>
      <c r="AY245" s="249"/>
      <c r="BB245" s="249"/>
      <c r="BE245" s="249"/>
      <c r="BH245" s="249"/>
      <c r="BK245" s="249"/>
      <c r="BN245" s="249"/>
      <c r="BQ245" s="249"/>
      <c r="BT245" s="249"/>
      <c r="BW245" s="249"/>
      <c r="BZ245" s="249"/>
      <c r="CC245" s="249"/>
      <c r="CF245" s="249"/>
      <c r="CI245" s="249"/>
      <c r="CL245" s="249"/>
      <c r="CO245" s="249"/>
      <c r="CR245" s="249"/>
      <c r="CU245" s="249"/>
      <c r="CX245" s="249"/>
      <c r="DA245" s="249"/>
      <c r="DD245" s="249"/>
      <c r="DG245" s="249"/>
      <c r="DJ245" s="249"/>
      <c r="DM245" s="249"/>
      <c r="DP245" s="249"/>
      <c r="DS245" s="249"/>
      <c r="DV245" s="249"/>
      <c r="DY245" s="249"/>
      <c r="EB245" s="249"/>
      <c r="EE245" s="249"/>
      <c r="EH245" s="249"/>
      <c r="EK245" s="249"/>
      <c r="EN245" s="249"/>
      <c r="EQ245" s="249"/>
      <c r="ET245" s="249"/>
      <c r="EW245" s="249"/>
      <c r="EZ245" s="249"/>
      <c r="FC245" s="249"/>
      <c r="FF245" s="249"/>
      <c r="FI245" s="249"/>
      <c r="FL245" s="249"/>
      <c r="FO245" s="249"/>
      <c r="FR245" s="249"/>
      <c r="FU245" s="249"/>
      <c r="FX245" s="249"/>
      <c r="GA245" s="249"/>
      <c r="GD245" s="249"/>
      <c r="GG245" s="249"/>
      <c r="GJ245" s="249"/>
      <c r="GM245" s="249"/>
      <c r="GP245" s="249"/>
      <c r="GS245" s="249"/>
      <c r="GV245" s="249"/>
      <c r="GY245" s="249"/>
      <c r="HB245" s="249"/>
      <c r="HE245" s="249"/>
    </row>
    <row r="246" spans="1:213" x14ac:dyDescent="0.2">
      <c r="A246" s="262" t="s">
        <v>433</v>
      </c>
      <c r="B246" s="283">
        <v>100</v>
      </c>
      <c r="C246" s="263" t="s">
        <v>54</v>
      </c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W246" s="249"/>
      <c r="Z246" s="249"/>
      <c r="AC246" s="249"/>
      <c r="AD246" s="249"/>
      <c r="AE246" s="249"/>
      <c r="AF246" s="249"/>
      <c r="AG246" s="249"/>
      <c r="AJ246" s="249"/>
      <c r="AM246" s="249"/>
      <c r="AP246" s="249"/>
      <c r="AS246" s="249"/>
      <c r="AV246" s="249"/>
      <c r="AY246" s="249"/>
      <c r="BB246" s="249"/>
      <c r="BE246" s="249"/>
      <c r="BH246" s="249"/>
      <c r="BK246" s="249"/>
      <c r="BN246" s="249"/>
      <c r="BQ246" s="249"/>
      <c r="BT246" s="249"/>
      <c r="BW246" s="249"/>
      <c r="BZ246" s="249"/>
      <c r="CC246" s="249"/>
      <c r="CF246" s="249"/>
      <c r="CI246" s="249"/>
      <c r="CL246" s="249"/>
      <c r="CO246" s="249"/>
      <c r="CR246" s="249"/>
      <c r="CU246" s="249"/>
      <c r="CX246" s="249"/>
      <c r="DA246" s="249"/>
      <c r="DD246" s="249"/>
      <c r="DG246" s="249"/>
      <c r="DJ246" s="249"/>
      <c r="DM246" s="249"/>
      <c r="DP246" s="249"/>
      <c r="DS246" s="249"/>
      <c r="DV246" s="249"/>
      <c r="DY246" s="249"/>
      <c r="EB246" s="249"/>
      <c r="EE246" s="249"/>
      <c r="EH246" s="249"/>
      <c r="EK246" s="249"/>
      <c r="EN246" s="249"/>
      <c r="EQ246" s="249"/>
      <c r="ET246" s="249"/>
      <c r="EW246" s="249"/>
      <c r="EZ246" s="249"/>
      <c r="FC246" s="249"/>
      <c r="FF246" s="249"/>
      <c r="FI246" s="249"/>
      <c r="FL246" s="249"/>
      <c r="FO246" s="249"/>
      <c r="FR246" s="249"/>
      <c r="FU246" s="249"/>
      <c r="FX246" s="249"/>
      <c r="GA246" s="249"/>
      <c r="GD246" s="249"/>
      <c r="GG246" s="249"/>
      <c r="GJ246" s="249"/>
      <c r="GM246" s="249"/>
      <c r="GP246" s="249"/>
      <c r="GS246" s="249"/>
      <c r="GV246" s="249"/>
      <c r="GY246" s="249"/>
      <c r="HB246" s="249"/>
      <c r="HE246" s="249"/>
    </row>
    <row r="247" spans="1:213" x14ac:dyDescent="0.2">
      <c r="A247" s="249" t="s">
        <v>353</v>
      </c>
      <c r="B247" s="284">
        <v>1</v>
      </c>
      <c r="C247" s="247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W247" s="249"/>
      <c r="Z247" s="249"/>
      <c r="AC247" s="249"/>
      <c r="AD247" s="249"/>
      <c r="AE247" s="249"/>
      <c r="AF247" s="249"/>
      <c r="AG247" s="249"/>
      <c r="AJ247" s="249"/>
      <c r="AM247" s="249"/>
      <c r="AP247" s="249"/>
      <c r="AS247" s="249"/>
      <c r="AV247" s="249"/>
      <c r="AY247" s="249"/>
      <c r="BB247" s="249"/>
      <c r="BE247" s="249"/>
      <c r="BH247" s="249"/>
      <c r="BK247" s="249"/>
      <c r="BN247" s="249"/>
      <c r="BQ247" s="249"/>
      <c r="BT247" s="249"/>
      <c r="BW247" s="249"/>
      <c r="BZ247" s="249"/>
      <c r="CC247" s="249"/>
      <c r="CF247" s="249"/>
      <c r="CI247" s="249"/>
      <c r="CL247" s="249"/>
      <c r="CO247" s="249"/>
      <c r="CR247" s="249"/>
      <c r="CU247" s="249"/>
      <c r="CX247" s="249"/>
      <c r="DA247" s="249"/>
      <c r="DD247" s="249"/>
      <c r="DG247" s="249"/>
      <c r="DJ247" s="249"/>
      <c r="DM247" s="249"/>
      <c r="DP247" s="249"/>
      <c r="DS247" s="249"/>
      <c r="DV247" s="249"/>
      <c r="DY247" s="249"/>
      <c r="EB247" s="249"/>
      <c r="EE247" s="249"/>
      <c r="EH247" s="249"/>
      <c r="EK247" s="249"/>
      <c r="EN247" s="249"/>
      <c r="EQ247" s="249"/>
      <c r="ET247" s="249"/>
      <c r="EW247" s="249"/>
      <c r="EZ247" s="249"/>
      <c r="FC247" s="249"/>
      <c r="FF247" s="249"/>
      <c r="FI247" s="249"/>
      <c r="FL247" s="249"/>
      <c r="FO247" s="249"/>
      <c r="FR247" s="249"/>
      <c r="FU247" s="249"/>
      <c r="FX247" s="249"/>
      <c r="GA247" s="249"/>
      <c r="GD247" s="249"/>
      <c r="GG247" s="249"/>
      <c r="GJ247" s="249"/>
      <c r="GM247" s="249"/>
      <c r="GP247" s="249"/>
      <c r="GS247" s="249"/>
      <c r="GV247" s="249"/>
      <c r="GY247" s="249"/>
      <c r="HB247" s="249"/>
      <c r="HE247" s="249"/>
    </row>
    <row r="248" spans="1:213" x14ac:dyDescent="0.2">
      <c r="A248" s="262" t="s">
        <v>56</v>
      </c>
      <c r="B248" s="284">
        <v>1</v>
      </c>
      <c r="C248" s="247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W248" s="249"/>
      <c r="Z248" s="249"/>
      <c r="AC248" s="249"/>
      <c r="AD248" s="249"/>
      <c r="AE248" s="249"/>
      <c r="AF248" s="249"/>
      <c r="AG248" s="249"/>
      <c r="AJ248" s="249"/>
      <c r="AM248" s="249"/>
      <c r="AP248" s="249"/>
      <c r="AS248" s="249"/>
      <c r="AV248" s="249"/>
      <c r="AY248" s="249"/>
      <c r="BB248" s="249"/>
      <c r="BE248" s="249"/>
      <c r="BH248" s="249"/>
      <c r="BK248" s="249"/>
      <c r="BN248" s="249"/>
      <c r="BQ248" s="249"/>
      <c r="BT248" s="249"/>
      <c r="BW248" s="249"/>
      <c r="BZ248" s="249"/>
      <c r="CC248" s="249"/>
      <c r="CF248" s="249"/>
      <c r="CI248" s="249"/>
      <c r="CL248" s="249"/>
      <c r="CO248" s="249"/>
      <c r="CR248" s="249"/>
      <c r="CU248" s="249"/>
      <c r="CX248" s="249"/>
      <c r="DA248" s="249"/>
      <c r="DD248" s="249"/>
      <c r="DG248" s="249"/>
      <c r="DJ248" s="249"/>
      <c r="DM248" s="249"/>
      <c r="DP248" s="249"/>
      <c r="DS248" s="249"/>
      <c r="DV248" s="249"/>
      <c r="DY248" s="249"/>
      <c r="EB248" s="249"/>
      <c r="EE248" s="249"/>
      <c r="EH248" s="249"/>
      <c r="EK248" s="249"/>
      <c r="EN248" s="249"/>
      <c r="EQ248" s="249"/>
      <c r="ET248" s="249"/>
      <c r="EW248" s="249"/>
      <c r="EZ248" s="249"/>
      <c r="FC248" s="249"/>
      <c r="FF248" s="249"/>
      <c r="FI248" s="249"/>
      <c r="FL248" s="249"/>
      <c r="FO248" s="249"/>
      <c r="FR248" s="249"/>
      <c r="FU248" s="249"/>
      <c r="FX248" s="249"/>
      <c r="GA248" s="249"/>
      <c r="GD248" s="249"/>
      <c r="GG248" s="249"/>
      <c r="GJ248" s="249"/>
      <c r="GM248" s="249"/>
      <c r="GP248" s="249"/>
      <c r="GS248" s="249"/>
      <c r="GV248" s="249"/>
      <c r="GY248" s="249"/>
      <c r="HB248" s="249"/>
      <c r="HE248" s="249"/>
    </row>
    <row r="249" spans="1:213" x14ac:dyDescent="0.2">
      <c r="A249" s="262" t="s">
        <v>52</v>
      </c>
      <c r="B249" s="284">
        <v>0.4</v>
      </c>
      <c r="C249" s="247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W249" s="249"/>
      <c r="Z249" s="249"/>
      <c r="AC249" s="249"/>
      <c r="AD249" s="249"/>
      <c r="AE249" s="249"/>
      <c r="AF249" s="249"/>
      <c r="AG249" s="249"/>
      <c r="AJ249" s="249"/>
      <c r="AM249" s="249"/>
      <c r="AP249" s="249"/>
      <c r="AS249" s="249"/>
      <c r="AV249" s="249"/>
      <c r="AY249" s="249"/>
      <c r="BB249" s="249"/>
      <c r="BE249" s="249"/>
      <c r="BH249" s="249"/>
      <c r="BK249" s="249"/>
      <c r="BN249" s="249"/>
      <c r="BQ249" s="249"/>
      <c r="BT249" s="249"/>
      <c r="BW249" s="249"/>
      <c r="BZ249" s="249"/>
      <c r="CC249" s="249"/>
      <c r="CF249" s="249"/>
      <c r="CI249" s="249"/>
      <c r="CL249" s="249"/>
      <c r="CO249" s="249"/>
      <c r="CR249" s="249"/>
      <c r="CU249" s="249"/>
      <c r="CX249" s="249"/>
      <c r="DA249" s="249"/>
      <c r="DD249" s="249"/>
      <c r="DG249" s="249"/>
      <c r="DJ249" s="249"/>
      <c r="DM249" s="249"/>
      <c r="DP249" s="249"/>
      <c r="DS249" s="249"/>
      <c r="DV249" s="249"/>
      <c r="DY249" s="249"/>
      <c r="EB249" s="249"/>
      <c r="EE249" s="249"/>
      <c r="EH249" s="249"/>
      <c r="EK249" s="249"/>
      <c r="EN249" s="249"/>
      <c r="EQ249" s="249"/>
      <c r="ET249" s="249"/>
      <c r="EW249" s="249"/>
      <c r="EZ249" s="249"/>
      <c r="FC249" s="249"/>
      <c r="FF249" s="249"/>
      <c r="FI249" s="249"/>
      <c r="FL249" s="249"/>
      <c r="FO249" s="249"/>
      <c r="FR249" s="249"/>
      <c r="FU249" s="249"/>
      <c r="FX249" s="249"/>
      <c r="GA249" s="249"/>
      <c r="GD249" s="249"/>
      <c r="GG249" s="249"/>
      <c r="GJ249" s="249"/>
      <c r="GM249" s="249"/>
      <c r="GP249" s="249"/>
      <c r="GS249" s="249"/>
      <c r="GV249" s="249"/>
      <c r="GY249" s="249"/>
      <c r="HB249" s="249"/>
      <c r="HE249" s="249"/>
    </row>
    <row r="250" spans="1:213" x14ac:dyDescent="0.2">
      <c r="A250" s="262" t="s">
        <v>62</v>
      </c>
      <c r="B250" s="284">
        <v>1</v>
      </c>
      <c r="C250" s="247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W250" s="249"/>
      <c r="Z250" s="249"/>
      <c r="AC250" s="249"/>
      <c r="AD250" s="249"/>
      <c r="AE250" s="249"/>
      <c r="AF250" s="249"/>
      <c r="AG250" s="249"/>
      <c r="AJ250" s="249"/>
      <c r="AM250" s="249"/>
      <c r="AP250" s="249"/>
      <c r="AS250" s="249"/>
      <c r="AV250" s="249"/>
      <c r="AY250" s="249"/>
      <c r="BB250" s="249"/>
      <c r="BE250" s="249"/>
      <c r="BH250" s="249"/>
      <c r="BK250" s="249"/>
      <c r="BN250" s="249"/>
      <c r="BQ250" s="249"/>
      <c r="BT250" s="249"/>
      <c r="BW250" s="249"/>
      <c r="BZ250" s="249"/>
      <c r="CC250" s="249"/>
      <c r="CF250" s="249"/>
      <c r="CI250" s="249"/>
      <c r="CL250" s="249"/>
      <c r="CO250" s="249"/>
      <c r="CR250" s="249"/>
      <c r="CU250" s="249"/>
      <c r="CX250" s="249"/>
      <c r="DA250" s="249"/>
      <c r="DD250" s="249"/>
      <c r="DG250" s="249"/>
      <c r="DJ250" s="249"/>
      <c r="DM250" s="249"/>
      <c r="DP250" s="249"/>
      <c r="DS250" s="249"/>
      <c r="DV250" s="249"/>
      <c r="DY250" s="249"/>
      <c r="EB250" s="249"/>
      <c r="EE250" s="249"/>
      <c r="EH250" s="249"/>
      <c r="EK250" s="249"/>
      <c r="EN250" s="249"/>
      <c r="EQ250" s="249"/>
      <c r="ET250" s="249"/>
      <c r="EW250" s="249"/>
      <c r="EZ250" s="249"/>
      <c r="FC250" s="249"/>
      <c r="FF250" s="249"/>
      <c r="FI250" s="249"/>
      <c r="FL250" s="249"/>
      <c r="FO250" s="249"/>
      <c r="FR250" s="249"/>
      <c r="FU250" s="249"/>
      <c r="FX250" s="249"/>
      <c r="GA250" s="249"/>
      <c r="GD250" s="249"/>
      <c r="GG250" s="249"/>
      <c r="GJ250" s="249"/>
      <c r="GM250" s="249"/>
      <c r="GP250" s="249"/>
      <c r="GS250" s="249"/>
      <c r="GV250" s="249"/>
      <c r="GY250" s="249"/>
      <c r="HB250" s="249"/>
      <c r="HE250" s="249"/>
    </row>
    <row r="251" spans="1:213" x14ac:dyDescent="0.2">
      <c r="A251" s="262" t="s">
        <v>466</v>
      </c>
      <c r="B251" s="283">
        <v>8</v>
      </c>
      <c r="C251" s="249" t="s">
        <v>224</v>
      </c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W251" s="249"/>
      <c r="Z251" s="249"/>
      <c r="AC251" s="249"/>
      <c r="AD251" s="249"/>
      <c r="AE251" s="249"/>
      <c r="AF251" s="249"/>
      <c r="AG251" s="249"/>
      <c r="AJ251" s="249"/>
      <c r="AM251" s="249"/>
      <c r="AP251" s="249"/>
      <c r="AS251" s="249"/>
      <c r="AV251" s="249"/>
      <c r="AY251" s="249"/>
      <c r="BB251" s="249"/>
      <c r="BE251" s="249"/>
      <c r="BH251" s="249"/>
      <c r="BK251" s="249"/>
      <c r="BN251" s="249"/>
      <c r="BQ251" s="249"/>
      <c r="BT251" s="249"/>
      <c r="BW251" s="249"/>
      <c r="BZ251" s="249"/>
      <c r="CC251" s="249"/>
      <c r="CF251" s="249"/>
      <c r="CI251" s="249"/>
      <c r="CL251" s="249"/>
      <c r="CO251" s="249"/>
      <c r="CR251" s="249"/>
      <c r="CU251" s="249"/>
      <c r="CX251" s="249"/>
      <c r="DA251" s="249"/>
      <c r="DD251" s="249"/>
      <c r="DG251" s="249"/>
      <c r="DJ251" s="249"/>
      <c r="DM251" s="249"/>
      <c r="DP251" s="249"/>
      <c r="DS251" s="249"/>
      <c r="DV251" s="249"/>
      <c r="DY251" s="249"/>
      <c r="EB251" s="249"/>
      <c r="EE251" s="249"/>
      <c r="EH251" s="249"/>
      <c r="EK251" s="249"/>
      <c r="EN251" s="249"/>
      <c r="EQ251" s="249"/>
      <c r="ET251" s="249"/>
      <c r="EW251" s="249"/>
      <c r="EZ251" s="249"/>
      <c r="FC251" s="249"/>
      <c r="FF251" s="249"/>
      <c r="FI251" s="249"/>
      <c r="FL251" s="249"/>
      <c r="FO251" s="249"/>
      <c r="FR251" s="249"/>
      <c r="FU251" s="249"/>
      <c r="FX251" s="249"/>
      <c r="GA251" s="249"/>
      <c r="GD251" s="249"/>
      <c r="GG251" s="249"/>
      <c r="GJ251" s="249"/>
      <c r="GM251" s="249"/>
      <c r="GP251" s="249"/>
      <c r="GS251" s="249"/>
      <c r="GV251" s="249"/>
      <c r="GY251" s="249"/>
      <c r="HB251" s="249"/>
      <c r="HE251" s="249"/>
    </row>
    <row r="252" spans="1:213" x14ac:dyDescent="0.2">
      <c r="A252" s="262" t="s">
        <v>465</v>
      </c>
      <c r="B252" s="283">
        <v>0</v>
      </c>
      <c r="C252" s="249" t="s">
        <v>224</v>
      </c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W252" s="249"/>
      <c r="Z252" s="249"/>
      <c r="AC252" s="249"/>
      <c r="AD252" s="249"/>
      <c r="AE252" s="249"/>
      <c r="AF252" s="249"/>
      <c r="AG252" s="249"/>
      <c r="AJ252" s="249"/>
      <c r="AM252" s="249"/>
      <c r="AP252" s="249"/>
      <c r="AS252" s="249"/>
      <c r="AV252" s="249"/>
      <c r="AY252" s="249"/>
      <c r="BB252" s="249"/>
      <c r="BE252" s="249"/>
      <c r="BH252" s="249"/>
      <c r="BK252" s="249"/>
      <c r="BN252" s="249"/>
      <c r="BQ252" s="249"/>
      <c r="BT252" s="249"/>
      <c r="BW252" s="249"/>
      <c r="BZ252" s="249"/>
      <c r="CC252" s="249"/>
      <c r="CF252" s="249"/>
      <c r="CI252" s="249"/>
      <c r="CL252" s="249"/>
      <c r="CO252" s="249"/>
      <c r="CR252" s="249"/>
      <c r="CU252" s="249"/>
      <c r="CX252" s="249"/>
      <c r="DA252" s="249"/>
      <c r="DD252" s="249"/>
      <c r="DG252" s="249"/>
      <c r="DJ252" s="249"/>
      <c r="DM252" s="249"/>
      <c r="DP252" s="249"/>
      <c r="DS252" s="249"/>
      <c r="DV252" s="249"/>
      <c r="DY252" s="249"/>
      <c r="EB252" s="249"/>
      <c r="EE252" s="249"/>
      <c r="EH252" s="249"/>
      <c r="EK252" s="249"/>
      <c r="EN252" s="249"/>
      <c r="EQ252" s="249"/>
      <c r="ET252" s="249"/>
      <c r="EW252" s="249"/>
      <c r="EZ252" s="249"/>
      <c r="FC252" s="249"/>
      <c r="FF252" s="249"/>
      <c r="FI252" s="249"/>
      <c r="FL252" s="249"/>
      <c r="FO252" s="249"/>
      <c r="FR252" s="249"/>
      <c r="FU252" s="249"/>
      <c r="FX252" s="249"/>
      <c r="GA252" s="249"/>
      <c r="GD252" s="249"/>
      <c r="GG252" s="249"/>
      <c r="GJ252" s="249"/>
      <c r="GM252" s="249"/>
      <c r="GP252" s="249"/>
      <c r="GS252" s="249"/>
      <c r="GV252" s="249"/>
      <c r="GY252" s="249"/>
      <c r="HB252" s="249"/>
      <c r="HE252" s="249"/>
    </row>
    <row r="253" spans="1:213" x14ac:dyDescent="0.2">
      <c r="A253" s="262" t="s">
        <v>103</v>
      </c>
      <c r="B253" s="283">
        <v>0.4</v>
      </c>
      <c r="C253" s="247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W253" s="249"/>
      <c r="Z253" s="249"/>
      <c r="AC253" s="249"/>
      <c r="AD253" s="249"/>
      <c r="AE253" s="249"/>
      <c r="AF253" s="249"/>
      <c r="AG253" s="249"/>
      <c r="AJ253" s="249"/>
      <c r="AM253" s="249"/>
      <c r="AP253" s="249"/>
      <c r="AS253" s="249"/>
      <c r="AV253" s="249"/>
      <c r="AY253" s="249"/>
      <c r="BB253" s="249"/>
      <c r="BE253" s="249"/>
      <c r="BH253" s="249"/>
      <c r="BK253" s="249"/>
      <c r="BN253" s="249"/>
      <c r="BQ253" s="249"/>
      <c r="BT253" s="249"/>
      <c r="BW253" s="249"/>
      <c r="BZ253" s="249"/>
      <c r="CC253" s="249"/>
      <c r="CF253" s="249"/>
      <c r="CI253" s="249"/>
      <c r="CL253" s="249"/>
      <c r="CO253" s="249"/>
      <c r="CR253" s="249"/>
      <c r="CU253" s="249"/>
      <c r="CX253" s="249"/>
      <c r="DA253" s="249"/>
      <c r="DD253" s="249"/>
      <c r="DG253" s="249"/>
      <c r="DJ253" s="249"/>
      <c r="DM253" s="249"/>
      <c r="DP253" s="249"/>
      <c r="DS253" s="249"/>
      <c r="DV253" s="249"/>
      <c r="DY253" s="249"/>
      <c r="EB253" s="249"/>
      <c r="EE253" s="249"/>
      <c r="EH253" s="249"/>
      <c r="EK253" s="249"/>
      <c r="EN253" s="249"/>
      <c r="EQ253" s="249"/>
      <c r="ET253" s="249"/>
      <c r="EW253" s="249"/>
      <c r="EZ253" s="249"/>
      <c r="FC253" s="249"/>
      <c r="FF253" s="249"/>
      <c r="FI253" s="249"/>
      <c r="FL253" s="249"/>
      <c r="FO253" s="249"/>
      <c r="FR253" s="249"/>
      <c r="FU253" s="249"/>
      <c r="FX253" s="249"/>
      <c r="GA253" s="249"/>
      <c r="GD253" s="249"/>
      <c r="GG253" s="249"/>
      <c r="GJ253" s="249"/>
      <c r="GM253" s="249"/>
      <c r="GP253" s="249"/>
      <c r="GS253" s="249"/>
      <c r="GV253" s="249"/>
      <c r="GY253" s="249"/>
      <c r="HB253" s="249"/>
      <c r="HE253" s="249"/>
    </row>
    <row r="254" spans="1:213" x14ac:dyDescent="0.2">
      <c r="A254" s="558" t="s">
        <v>434</v>
      </c>
      <c r="B254" s="558"/>
      <c r="C254" s="558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W254" s="249"/>
      <c r="Z254" s="249"/>
      <c r="AC254" s="249"/>
      <c r="AD254" s="249"/>
      <c r="AE254" s="249"/>
      <c r="AF254" s="249"/>
      <c r="AG254" s="249"/>
      <c r="AJ254" s="249"/>
      <c r="AM254" s="249"/>
      <c r="AP254" s="249"/>
      <c r="AS254" s="249"/>
      <c r="AV254" s="249"/>
      <c r="AY254" s="249"/>
      <c r="BB254" s="249"/>
      <c r="BE254" s="249"/>
      <c r="BH254" s="249"/>
      <c r="BK254" s="249"/>
      <c r="BN254" s="249"/>
      <c r="BQ254" s="249"/>
      <c r="BT254" s="249"/>
      <c r="BW254" s="249"/>
      <c r="BZ254" s="249"/>
      <c r="CC254" s="249"/>
      <c r="CF254" s="249"/>
      <c r="CI254" s="249"/>
      <c r="CL254" s="249"/>
      <c r="CO254" s="249"/>
      <c r="CR254" s="249"/>
      <c r="CU254" s="249"/>
      <c r="CX254" s="249"/>
      <c r="DA254" s="249"/>
      <c r="DD254" s="249"/>
      <c r="DG254" s="249"/>
      <c r="DJ254" s="249"/>
      <c r="DM254" s="249"/>
      <c r="DP254" s="249"/>
      <c r="DS254" s="249"/>
      <c r="DV254" s="249"/>
      <c r="DY254" s="249"/>
      <c r="EB254" s="249"/>
      <c r="EE254" s="249"/>
      <c r="EH254" s="249"/>
      <c r="EK254" s="249"/>
      <c r="EN254" s="249"/>
      <c r="EQ254" s="249"/>
      <c r="ET254" s="249"/>
      <c r="EW254" s="249"/>
      <c r="EZ254" s="249"/>
      <c r="FC254" s="249"/>
      <c r="FF254" s="249"/>
      <c r="FI254" s="249"/>
      <c r="FL254" s="249"/>
      <c r="FO254" s="249"/>
      <c r="FR254" s="249"/>
      <c r="FU254" s="249"/>
      <c r="FX254" s="249"/>
      <c r="GA254" s="249"/>
      <c r="GD254" s="249"/>
      <c r="GG254" s="249"/>
      <c r="GJ254" s="249"/>
      <c r="GM254" s="249"/>
      <c r="GP254" s="249"/>
      <c r="GS254" s="249"/>
      <c r="GV254" s="249"/>
      <c r="GY254" s="249"/>
      <c r="HB254" s="249"/>
      <c r="HE254" s="249"/>
    </row>
    <row r="255" spans="1:213" x14ac:dyDescent="0.2">
      <c r="A255" s="249" t="s">
        <v>435</v>
      </c>
      <c r="B255" s="283">
        <v>60</v>
      </c>
      <c r="C255" s="263" t="s">
        <v>359</v>
      </c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W255" s="249"/>
      <c r="Z255" s="249"/>
      <c r="AC255" s="249"/>
      <c r="AD255" s="249"/>
      <c r="AE255" s="249"/>
      <c r="AF255" s="249"/>
      <c r="AG255" s="249"/>
      <c r="AJ255" s="249"/>
      <c r="AM255" s="249"/>
      <c r="AP255" s="249"/>
      <c r="AS255" s="249"/>
      <c r="AV255" s="249"/>
      <c r="AY255" s="249"/>
      <c r="BB255" s="249"/>
      <c r="BE255" s="249"/>
      <c r="BH255" s="249"/>
      <c r="BK255" s="249"/>
      <c r="BN255" s="249"/>
      <c r="BQ255" s="249"/>
      <c r="BT255" s="249"/>
      <c r="BW255" s="249"/>
      <c r="BZ255" s="249"/>
      <c r="CC255" s="249"/>
      <c r="CF255" s="249"/>
      <c r="CI255" s="249"/>
      <c r="CL255" s="249"/>
      <c r="CO255" s="249"/>
      <c r="CR255" s="249"/>
      <c r="CU255" s="249"/>
      <c r="CX255" s="249"/>
      <c r="DA255" s="249"/>
      <c r="DD255" s="249"/>
      <c r="DG255" s="249"/>
      <c r="DJ255" s="249"/>
      <c r="DM255" s="249"/>
      <c r="DP255" s="249"/>
      <c r="DS255" s="249"/>
      <c r="DV255" s="249"/>
      <c r="DY255" s="249"/>
      <c r="EB255" s="249"/>
      <c r="EE255" s="249"/>
      <c r="EH255" s="249"/>
      <c r="EK255" s="249"/>
      <c r="EN255" s="249"/>
      <c r="EQ255" s="249"/>
      <c r="ET255" s="249"/>
      <c r="EW255" s="249"/>
      <c r="EZ255" s="249"/>
      <c r="FC255" s="249"/>
      <c r="FF255" s="249"/>
      <c r="FI255" s="249"/>
      <c r="FL255" s="249"/>
      <c r="FO255" s="249"/>
      <c r="FR255" s="249"/>
      <c r="FU255" s="249"/>
      <c r="FX255" s="249"/>
      <c r="GA255" s="249"/>
      <c r="GD255" s="249"/>
      <c r="GG255" s="249"/>
      <c r="GJ255" s="249"/>
      <c r="GM255" s="249"/>
      <c r="GP255" s="249"/>
      <c r="GS255" s="249"/>
      <c r="GV255" s="249"/>
      <c r="GY255" s="249"/>
      <c r="HB255" s="249"/>
      <c r="HE255" s="249"/>
    </row>
    <row r="256" spans="1:213" x14ac:dyDescent="0.2">
      <c r="A256" s="262" t="s">
        <v>221</v>
      </c>
      <c r="B256" s="283">
        <v>130</v>
      </c>
      <c r="C256" s="249" t="s">
        <v>26</v>
      </c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W256" s="249"/>
      <c r="Z256" s="249"/>
      <c r="AC256" s="249"/>
      <c r="AD256" s="249"/>
      <c r="AE256" s="249"/>
      <c r="AF256" s="249"/>
      <c r="AG256" s="249"/>
      <c r="AJ256" s="249"/>
      <c r="AM256" s="249"/>
      <c r="AP256" s="249"/>
      <c r="AS256" s="249"/>
      <c r="AV256" s="249"/>
      <c r="AY256" s="249"/>
      <c r="BB256" s="249"/>
      <c r="BE256" s="249"/>
      <c r="BH256" s="249"/>
      <c r="BK256" s="249"/>
      <c r="BN256" s="249"/>
      <c r="BQ256" s="249"/>
      <c r="BT256" s="249"/>
      <c r="BW256" s="249"/>
      <c r="BZ256" s="249"/>
      <c r="CC256" s="249"/>
      <c r="CF256" s="249"/>
      <c r="CI256" s="249"/>
      <c r="CL256" s="249"/>
      <c r="CO256" s="249"/>
      <c r="CR256" s="249"/>
      <c r="CU256" s="249"/>
      <c r="CX256" s="249"/>
      <c r="DA256" s="249"/>
      <c r="DD256" s="249"/>
      <c r="DG256" s="249"/>
      <c r="DJ256" s="249"/>
      <c r="DM256" s="249"/>
      <c r="DP256" s="249"/>
      <c r="DS256" s="249"/>
      <c r="DV256" s="249"/>
      <c r="DY256" s="249"/>
      <c r="EB256" s="249"/>
      <c r="EE256" s="249"/>
      <c r="EH256" s="249"/>
      <c r="EK256" s="249"/>
      <c r="EN256" s="249"/>
      <c r="EQ256" s="249"/>
      <c r="ET256" s="249"/>
      <c r="EW256" s="249"/>
      <c r="EZ256" s="249"/>
      <c r="FC256" s="249"/>
      <c r="FF256" s="249"/>
      <c r="FI256" s="249"/>
      <c r="FL256" s="249"/>
      <c r="FO256" s="249"/>
      <c r="FR256" s="249"/>
      <c r="FU256" s="249"/>
      <c r="FX256" s="249"/>
      <c r="GA256" s="249"/>
      <c r="GD256" s="249"/>
      <c r="GG256" s="249"/>
      <c r="GJ256" s="249"/>
      <c r="GM256" s="249"/>
      <c r="GP256" s="249"/>
      <c r="GS256" s="249"/>
      <c r="GV256" s="249"/>
      <c r="GY256" s="249"/>
      <c r="HB256" s="249"/>
      <c r="HE256" s="249"/>
    </row>
    <row r="257" spans="1:213" x14ac:dyDescent="0.2">
      <c r="A257" s="262" t="s">
        <v>186</v>
      </c>
      <c r="B257" s="284">
        <v>1</v>
      </c>
      <c r="C257" s="249" t="s">
        <v>69</v>
      </c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W257" s="249"/>
      <c r="Z257" s="249"/>
      <c r="AC257" s="249"/>
      <c r="AD257" s="249"/>
      <c r="AE257" s="249"/>
      <c r="AF257" s="249"/>
      <c r="AG257" s="249"/>
      <c r="AJ257" s="249"/>
      <c r="AM257" s="249"/>
      <c r="AP257" s="249"/>
      <c r="AS257" s="249"/>
      <c r="AV257" s="249"/>
      <c r="AY257" s="249"/>
      <c r="BB257" s="249"/>
      <c r="BE257" s="249"/>
      <c r="BH257" s="249"/>
      <c r="BK257" s="249"/>
      <c r="BN257" s="249"/>
      <c r="BQ257" s="249"/>
      <c r="BT257" s="249"/>
      <c r="BW257" s="249"/>
      <c r="BZ257" s="249"/>
      <c r="CC257" s="249"/>
      <c r="CF257" s="249"/>
      <c r="CI257" s="249"/>
      <c r="CL257" s="249"/>
      <c r="CO257" s="249"/>
      <c r="CR257" s="249"/>
      <c r="CU257" s="249"/>
      <c r="CX257" s="249"/>
      <c r="DA257" s="249"/>
      <c r="DD257" s="249"/>
      <c r="DG257" s="249"/>
      <c r="DJ257" s="249"/>
      <c r="DM257" s="249"/>
      <c r="DP257" s="249"/>
      <c r="DS257" s="249"/>
      <c r="DV257" s="249"/>
      <c r="DY257" s="249"/>
      <c r="EB257" s="249"/>
      <c r="EE257" s="249"/>
      <c r="EH257" s="249"/>
      <c r="EK257" s="249"/>
      <c r="EN257" s="249"/>
      <c r="EQ257" s="249"/>
      <c r="ET257" s="249"/>
      <c r="EW257" s="249"/>
      <c r="EZ257" s="249"/>
      <c r="FC257" s="249"/>
      <c r="FF257" s="249"/>
      <c r="FI257" s="249"/>
      <c r="FL257" s="249"/>
      <c r="FO257" s="249"/>
      <c r="FR257" s="249"/>
      <c r="FU257" s="249"/>
      <c r="FX257" s="249"/>
      <c r="GA257" s="249"/>
      <c r="GD257" s="249"/>
      <c r="GG257" s="249"/>
      <c r="GJ257" s="249"/>
      <c r="GM257" s="249"/>
      <c r="GP257" s="249"/>
      <c r="GS257" s="249"/>
      <c r="GV257" s="249"/>
      <c r="GY257" s="249"/>
      <c r="HB257" s="249"/>
      <c r="HE257" s="249"/>
    </row>
    <row r="258" spans="1:213" x14ac:dyDescent="0.2">
      <c r="A258" s="262" t="s">
        <v>436</v>
      </c>
      <c r="B258" s="283">
        <v>330</v>
      </c>
      <c r="C258" s="263" t="s">
        <v>54</v>
      </c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W258" s="249"/>
      <c r="Z258" s="249"/>
      <c r="AC258" s="249"/>
      <c r="AD258" s="249"/>
      <c r="AE258" s="249"/>
      <c r="AF258" s="249"/>
      <c r="AG258" s="249"/>
      <c r="AJ258" s="249"/>
      <c r="AM258" s="249"/>
      <c r="AP258" s="249"/>
      <c r="AS258" s="249"/>
      <c r="AV258" s="249"/>
      <c r="AY258" s="249"/>
      <c r="BB258" s="249"/>
      <c r="BE258" s="249"/>
      <c r="BH258" s="249"/>
      <c r="BK258" s="249"/>
      <c r="BN258" s="249"/>
      <c r="BQ258" s="249"/>
      <c r="BT258" s="249"/>
      <c r="BW258" s="249"/>
      <c r="BZ258" s="249"/>
      <c r="CC258" s="249"/>
      <c r="CF258" s="249"/>
      <c r="CI258" s="249"/>
      <c r="CL258" s="249"/>
      <c r="CO258" s="249"/>
      <c r="CR258" s="249"/>
      <c r="CU258" s="249"/>
      <c r="CX258" s="249"/>
      <c r="DA258" s="249"/>
      <c r="DD258" s="249"/>
      <c r="DG258" s="249"/>
      <c r="DJ258" s="249"/>
      <c r="DM258" s="249"/>
      <c r="DP258" s="249"/>
      <c r="DS258" s="249"/>
      <c r="DV258" s="249"/>
      <c r="DY258" s="249"/>
      <c r="EB258" s="249"/>
      <c r="EE258" s="249"/>
      <c r="EH258" s="249"/>
      <c r="EK258" s="249"/>
      <c r="EN258" s="249"/>
      <c r="EQ258" s="249"/>
      <c r="ET258" s="249"/>
      <c r="EW258" s="249"/>
      <c r="EZ258" s="249"/>
      <c r="FC258" s="249"/>
      <c r="FF258" s="249"/>
      <c r="FI258" s="249"/>
      <c r="FL258" s="249"/>
      <c r="FO258" s="249"/>
      <c r="FR258" s="249"/>
      <c r="FU258" s="249"/>
      <c r="FX258" s="249"/>
      <c r="GA258" s="249"/>
      <c r="GD258" s="249"/>
      <c r="GG258" s="249"/>
      <c r="GJ258" s="249"/>
      <c r="GM258" s="249"/>
      <c r="GP258" s="249"/>
      <c r="GS258" s="249"/>
      <c r="GV258" s="249"/>
      <c r="GY258" s="249"/>
      <c r="HB258" s="249"/>
      <c r="HE258" s="249"/>
    </row>
    <row r="259" spans="1:213" x14ac:dyDescent="0.2">
      <c r="A259" s="249" t="s">
        <v>353</v>
      </c>
      <c r="B259" s="284">
        <v>1</v>
      </c>
      <c r="C259" s="247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W259" s="249"/>
      <c r="Z259" s="249"/>
      <c r="AC259" s="249"/>
      <c r="AD259" s="249"/>
      <c r="AE259" s="249"/>
      <c r="AF259" s="249"/>
      <c r="AG259" s="249"/>
      <c r="AJ259" s="249"/>
      <c r="AM259" s="249"/>
      <c r="AP259" s="249"/>
      <c r="AS259" s="249"/>
      <c r="AV259" s="249"/>
      <c r="AY259" s="249"/>
      <c r="BB259" s="249"/>
      <c r="BE259" s="249"/>
      <c r="BH259" s="249"/>
      <c r="BK259" s="249"/>
      <c r="BN259" s="249"/>
      <c r="BQ259" s="249"/>
      <c r="BT259" s="249"/>
      <c r="BW259" s="249"/>
      <c r="BZ259" s="249"/>
      <c r="CC259" s="249"/>
      <c r="CF259" s="249"/>
      <c r="CI259" s="249"/>
      <c r="CL259" s="249"/>
      <c r="CO259" s="249"/>
      <c r="CR259" s="249"/>
      <c r="CU259" s="249"/>
      <c r="CX259" s="249"/>
      <c r="DA259" s="249"/>
      <c r="DD259" s="249"/>
      <c r="DG259" s="249"/>
      <c r="DJ259" s="249"/>
      <c r="DM259" s="249"/>
      <c r="DP259" s="249"/>
      <c r="DS259" s="249"/>
      <c r="DV259" s="249"/>
      <c r="DY259" s="249"/>
      <c r="EB259" s="249"/>
      <c r="EE259" s="249"/>
      <c r="EH259" s="249"/>
      <c r="EK259" s="249"/>
      <c r="EN259" s="249"/>
      <c r="EQ259" s="249"/>
      <c r="ET259" s="249"/>
      <c r="EW259" s="249"/>
      <c r="EZ259" s="249"/>
      <c r="FC259" s="249"/>
      <c r="FF259" s="249"/>
      <c r="FI259" s="249"/>
      <c r="FL259" s="249"/>
      <c r="FO259" s="249"/>
      <c r="FR259" s="249"/>
      <c r="FU259" s="249"/>
      <c r="FX259" s="249"/>
      <c r="GA259" s="249"/>
      <c r="GD259" s="249"/>
      <c r="GG259" s="249"/>
      <c r="GJ259" s="249"/>
      <c r="GM259" s="249"/>
      <c r="GP259" s="249"/>
      <c r="GS259" s="249"/>
      <c r="GV259" s="249"/>
      <c r="GY259" s="249"/>
      <c r="HB259" s="249"/>
      <c r="HE259" s="249"/>
    </row>
    <row r="260" spans="1:213" x14ac:dyDescent="0.2">
      <c r="A260" s="262" t="s">
        <v>56</v>
      </c>
      <c r="B260" s="284">
        <v>1</v>
      </c>
      <c r="C260" s="247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W260" s="249"/>
      <c r="Z260" s="249"/>
      <c r="AC260" s="249"/>
      <c r="AD260" s="249"/>
      <c r="AE260" s="249"/>
      <c r="AF260" s="249"/>
      <c r="AG260" s="249"/>
      <c r="AJ260" s="249"/>
      <c r="AM260" s="249"/>
      <c r="AP260" s="249"/>
      <c r="AS260" s="249"/>
      <c r="AV260" s="249"/>
      <c r="AY260" s="249"/>
      <c r="BB260" s="249"/>
      <c r="BE260" s="249"/>
      <c r="BH260" s="249"/>
      <c r="BK260" s="249"/>
      <c r="BN260" s="249"/>
      <c r="BQ260" s="249"/>
      <c r="BT260" s="249"/>
      <c r="BW260" s="249"/>
      <c r="BZ260" s="249"/>
      <c r="CC260" s="249"/>
      <c r="CF260" s="249"/>
      <c r="CI260" s="249"/>
      <c r="CL260" s="249"/>
      <c r="CO260" s="249"/>
      <c r="CR260" s="249"/>
      <c r="CU260" s="249"/>
      <c r="CX260" s="249"/>
      <c r="DA260" s="249"/>
      <c r="DD260" s="249"/>
      <c r="DG260" s="249"/>
      <c r="DJ260" s="249"/>
      <c r="DM260" s="249"/>
      <c r="DP260" s="249"/>
      <c r="DS260" s="249"/>
      <c r="DV260" s="249"/>
      <c r="DY260" s="249"/>
      <c r="EB260" s="249"/>
      <c r="EE260" s="249"/>
      <c r="EH260" s="249"/>
      <c r="EK260" s="249"/>
      <c r="EN260" s="249"/>
      <c r="EQ260" s="249"/>
      <c r="ET260" s="249"/>
      <c r="EW260" s="249"/>
      <c r="EZ260" s="249"/>
      <c r="FC260" s="249"/>
      <c r="FF260" s="249"/>
      <c r="FI260" s="249"/>
      <c r="FL260" s="249"/>
      <c r="FO260" s="249"/>
      <c r="FR260" s="249"/>
      <c r="FU260" s="249"/>
      <c r="FX260" s="249"/>
      <c r="GA260" s="249"/>
      <c r="GD260" s="249"/>
      <c r="GG260" s="249"/>
      <c r="GJ260" s="249"/>
      <c r="GM260" s="249"/>
      <c r="GP260" s="249"/>
      <c r="GS260" s="249"/>
      <c r="GV260" s="249"/>
      <c r="GY260" s="249"/>
      <c r="HB260" s="249"/>
      <c r="HE260" s="249"/>
    </row>
    <row r="261" spans="1:213" x14ac:dyDescent="0.2">
      <c r="A261" s="262" t="s">
        <v>52</v>
      </c>
      <c r="B261" s="284">
        <v>0.4</v>
      </c>
      <c r="C261" s="247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W261" s="249"/>
      <c r="Z261" s="249"/>
      <c r="AC261" s="249"/>
      <c r="AD261" s="249"/>
      <c r="AE261" s="249"/>
      <c r="AF261" s="249"/>
      <c r="AG261" s="249"/>
      <c r="AJ261" s="249"/>
      <c r="AM261" s="249"/>
      <c r="AP261" s="249"/>
      <c r="AS261" s="249"/>
      <c r="AV261" s="249"/>
      <c r="AY261" s="249"/>
      <c r="BB261" s="249"/>
      <c r="BE261" s="249"/>
      <c r="BH261" s="249"/>
      <c r="BK261" s="249"/>
      <c r="BN261" s="249"/>
      <c r="BQ261" s="249"/>
      <c r="BT261" s="249"/>
      <c r="BW261" s="249"/>
      <c r="BZ261" s="249"/>
      <c r="CC261" s="249"/>
      <c r="CF261" s="249"/>
      <c r="CI261" s="249"/>
      <c r="CL261" s="249"/>
      <c r="CO261" s="249"/>
      <c r="CR261" s="249"/>
      <c r="CU261" s="249"/>
      <c r="CX261" s="249"/>
      <c r="DA261" s="249"/>
      <c r="DD261" s="249"/>
      <c r="DG261" s="249"/>
      <c r="DJ261" s="249"/>
      <c r="DM261" s="249"/>
      <c r="DP261" s="249"/>
      <c r="DS261" s="249"/>
      <c r="DV261" s="249"/>
      <c r="DY261" s="249"/>
      <c r="EB261" s="249"/>
      <c r="EE261" s="249"/>
      <c r="EH261" s="249"/>
      <c r="EK261" s="249"/>
      <c r="EN261" s="249"/>
      <c r="EQ261" s="249"/>
      <c r="ET261" s="249"/>
      <c r="EW261" s="249"/>
      <c r="EZ261" s="249"/>
      <c r="FC261" s="249"/>
      <c r="FF261" s="249"/>
      <c r="FI261" s="249"/>
      <c r="FL261" s="249"/>
      <c r="FO261" s="249"/>
      <c r="FR261" s="249"/>
      <c r="FU261" s="249"/>
      <c r="FX261" s="249"/>
      <c r="GA261" s="249"/>
      <c r="GD261" s="249"/>
      <c r="GG261" s="249"/>
      <c r="GJ261" s="249"/>
      <c r="GM261" s="249"/>
      <c r="GP261" s="249"/>
      <c r="GS261" s="249"/>
      <c r="GV261" s="249"/>
      <c r="GY261" s="249"/>
      <c r="HB261" s="249"/>
      <c r="HE261" s="249"/>
    </row>
    <row r="262" spans="1:213" x14ac:dyDescent="0.2">
      <c r="A262" s="262" t="s">
        <v>62</v>
      </c>
      <c r="B262" s="284">
        <v>1</v>
      </c>
      <c r="C262" s="247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W262" s="249"/>
      <c r="Z262" s="249"/>
      <c r="AC262" s="249"/>
      <c r="AD262" s="249"/>
      <c r="AE262" s="249"/>
      <c r="AF262" s="249"/>
      <c r="AG262" s="249"/>
      <c r="AJ262" s="249"/>
      <c r="AM262" s="249"/>
      <c r="AP262" s="249"/>
      <c r="AS262" s="249"/>
      <c r="AV262" s="249"/>
      <c r="AY262" s="249"/>
      <c r="BB262" s="249"/>
      <c r="BE262" s="249"/>
      <c r="BH262" s="249"/>
      <c r="BK262" s="249"/>
      <c r="BN262" s="249"/>
      <c r="BQ262" s="249"/>
      <c r="BT262" s="249"/>
      <c r="BW262" s="249"/>
      <c r="BZ262" s="249"/>
      <c r="CC262" s="249"/>
      <c r="CF262" s="249"/>
      <c r="CI262" s="249"/>
      <c r="CL262" s="249"/>
      <c r="CO262" s="249"/>
      <c r="CR262" s="249"/>
      <c r="CU262" s="249"/>
      <c r="CX262" s="249"/>
      <c r="DA262" s="249"/>
      <c r="DD262" s="249"/>
      <c r="DG262" s="249"/>
      <c r="DJ262" s="249"/>
      <c r="DM262" s="249"/>
      <c r="DP262" s="249"/>
      <c r="DS262" s="249"/>
      <c r="DV262" s="249"/>
      <c r="DY262" s="249"/>
      <c r="EB262" s="249"/>
      <c r="EE262" s="249"/>
      <c r="EH262" s="249"/>
      <c r="EK262" s="249"/>
      <c r="EN262" s="249"/>
      <c r="EQ262" s="249"/>
      <c r="ET262" s="249"/>
      <c r="EW262" s="249"/>
      <c r="EZ262" s="249"/>
      <c r="FC262" s="249"/>
      <c r="FF262" s="249"/>
      <c r="FI262" s="249"/>
      <c r="FL262" s="249"/>
      <c r="FO262" s="249"/>
      <c r="FR262" s="249"/>
      <c r="FU262" s="249"/>
      <c r="FX262" s="249"/>
      <c r="GA262" s="249"/>
      <c r="GD262" s="249"/>
      <c r="GG262" s="249"/>
      <c r="GJ262" s="249"/>
      <c r="GM262" s="249"/>
      <c r="GP262" s="249"/>
      <c r="GS262" s="249"/>
      <c r="GV262" s="249"/>
      <c r="GY262" s="249"/>
      <c r="HB262" s="249"/>
      <c r="HE262" s="249"/>
    </row>
    <row r="263" spans="1:213" x14ac:dyDescent="0.2">
      <c r="A263" s="262" t="s">
        <v>471</v>
      </c>
      <c r="B263" s="283">
        <v>8</v>
      </c>
      <c r="C263" s="249" t="s">
        <v>224</v>
      </c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W263" s="249"/>
      <c r="Z263" s="249"/>
      <c r="AC263" s="249"/>
      <c r="AD263" s="249"/>
      <c r="AE263" s="249"/>
      <c r="AF263" s="249"/>
      <c r="AG263" s="249"/>
      <c r="AJ263" s="249"/>
      <c r="AM263" s="249"/>
      <c r="AP263" s="249"/>
      <c r="AS263" s="249"/>
      <c r="AV263" s="249"/>
      <c r="AY263" s="249"/>
      <c r="BB263" s="249"/>
      <c r="BE263" s="249"/>
      <c r="BH263" s="249"/>
      <c r="BK263" s="249"/>
      <c r="BN263" s="249"/>
      <c r="BQ263" s="249"/>
      <c r="BT263" s="249"/>
      <c r="BW263" s="249"/>
      <c r="BZ263" s="249"/>
      <c r="CC263" s="249"/>
      <c r="CF263" s="249"/>
      <c r="CI263" s="249"/>
      <c r="CL263" s="249"/>
      <c r="CO263" s="249"/>
      <c r="CR263" s="249"/>
      <c r="CU263" s="249"/>
      <c r="CX263" s="249"/>
      <c r="DA263" s="249"/>
      <c r="DD263" s="249"/>
      <c r="DG263" s="249"/>
      <c r="DJ263" s="249"/>
      <c r="DM263" s="249"/>
      <c r="DP263" s="249"/>
      <c r="DS263" s="249"/>
      <c r="DV263" s="249"/>
      <c r="DY263" s="249"/>
      <c r="EB263" s="249"/>
      <c r="EE263" s="249"/>
      <c r="EH263" s="249"/>
      <c r="EK263" s="249"/>
      <c r="EN263" s="249"/>
      <c r="EQ263" s="249"/>
      <c r="ET263" s="249"/>
      <c r="EW263" s="249"/>
      <c r="EZ263" s="249"/>
      <c r="FC263" s="249"/>
      <c r="FF263" s="249"/>
      <c r="FI263" s="249"/>
      <c r="FL263" s="249"/>
      <c r="FO263" s="249"/>
      <c r="FR263" s="249"/>
      <c r="FU263" s="249"/>
      <c r="FX263" s="249"/>
      <c r="GA263" s="249"/>
      <c r="GD263" s="249"/>
      <c r="GG263" s="249"/>
      <c r="GJ263" s="249"/>
      <c r="GM263" s="249"/>
      <c r="GP263" s="249"/>
      <c r="GS263" s="249"/>
      <c r="GV263" s="249"/>
      <c r="GY263" s="249"/>
      <c r="HB263" s="249"/>
      <c r="HE263" s="249"/>
    </row>
    <row r="264" spans="1:213" x14ac:dyDescent="0.2">
      <c r="A264" s="262" t="s">
        <v>472</v>
      </c>
      <c r="B264" s="283">
        <v>0</v>
      </c>
      <c r="C264" s="249" t="s">
        <v>224</v>
      </c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W264" s="249"/>
      <c r="Z264" s="249"/>
      <c r="AC264" s="249"/>
      <c r="AD264" s="249"/>
      <c r="AE264" s="249"/>
      <c r="AF264" s="249"/>
      <c r="AG264" s="249"/>
      <c r="AJ264" s="249"/>
      <c r="AM264" s="249"/>
      <c r="AP264" s="249"/>
      <c r="AS264" s="249"/>
      <c r="AV264" s="249"/>
      <c r="AY264" s="249"/>
      <c r="BB264" s="249"/>
      <c r="BE264" s="249"/>
      <c r="BH264" s="249"/>
      <c r="BK264" s="249"/>
      <c r="BN264" s="249"/>
      <c r="BQ264" s="249"/>
      <c r="BT264" s="249"/>
      <c r="BW264" s="249"/>
      <c r="BZ264" s="249"/>
      <c r="CC264" s="249"/>
      <c r="CF264" s="249"/>
      <c r="CI264" s="249"/>
      <c r="CL264" s="249"/>
      <c r="CO264" s="249"/>
      <c r="CR264" s="249"/>
      <c r="CU264" s="249"/>
      <c r="CX264" s="249"/>
      <c r="DA264" s="249"/>
      <c r="DD264" s="249"/>
      <c r="DG264" s="249"/>
      <c r="DJ264" s="249"/>
      <c r="DM264" s="249"/>
      <c r="DP264" s="249"/>
      <c r="DS264" s="249"/>
      <c r="DV264" s="249"/>
      <c r="DY264" s="249"/>
      <c r="EB264" s="249"/>
      <c r="EE264" s="249"/>
      <c r="EH264" s="249"/>
      <c r="EK264" s="249"/>
      <c r="EN264" s="249"/>
      <c r="EQ264" s="249"/>
      <c r="ET264" s="249"/>
      <c r="EW264" s="249"/>
      <c r="EZ264" s="249"/>
      <c r="FC264" s="249"/>
      <c r="FF264" s="249"/>
      <c r="FI264" s="249"/>
      <c r="FL264" s="249"/>
      <c r="FO264" s="249"/>
      <c r="FR264" s="249"/>
      <c r="FU264" s="249"/>
      <c r="FX264" s="249"/>
      <c r="GA264" s="249"/>
      <c r="GD264" s="249"/>
      <c r="GG264" s="249"/>
      <c r="GJ264" s="249"/>
      <c r="GM264" s="249"/>
      <c r="GP264" s="249"/>
      <c r="GS264" s="249"/>
      <c r="GV264" s="249"/>
      <c r="GY264" s="249"/>
      <c r="HB264" s="249"/>
      <c r="HE264" s="249"/>
    </row>
    <row r="265" spans="1:213" x14ac:dyDescent="0.2">
      <c r="A265" s="262" t="s">
        <v>103</v>
      </c>
      <c r="B265" s="283">
        <v>0.4</v>
      </c>
      <c r="C265" s="247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W265" s="249"/>
      <c r="Z265" s="249"/>
      <c r="AC265" s="249"/>
      <c r="AD265" s="249"/>
      <c r="AE265" s="249"/>
      <c r="AF265" s="249"/>
      <c r="AG265" s="249"/>
      <c r="AJ265" s="249"/>
      <c r="AM265" s="249"/>
      <c r="AP265" s="249"/>
      <c r="AS265" s="249"/>
      <c r="AV265" s="249"/>
      <c r="AY265" s="249"/>
      <c r="BB265" s="249"/>
      <c r="BE265" s="249"/>
      <c r="BH265" s="249"/>
      <c r="BK265" s="249"/>
      <c r="BN265" s="249"/>
      <c r="BQ265" s="249"/>
      <c r="BT265" s="249"/>
      <c r="BW265" s="249"/>
      <c r="BZ265" s="249"/>
      <c r="CC265" s="249"/>
      <c r="CF265" s="249"/>
      <c r="CI265" s="249"/>
      <c r="CL265" s="249"/>
      <c r="CO265" s="249"/>
      <c r="CR265" s="249"/>
      <c r="CU265" s="249"/>
      <c r="CX265" s="249"/>
      <c r="DA265" s="249"/>
      <c r="DD265" s="249"/>
      <c r="DG265" s="249"/>
      <c r="DJ265" s="249"/>
      <c r="DM265" s="249"/>
      <c r="DP265" s="249"/>
      <c r="DS265" s="249"/>
      <c r="DV265" s="249"/>
      <c r="DY265" s="249"/>
      <c r="EB265" s="249"/>
      <c r="EE265" s="249"/>
      <c r="EH265" s="249"/>
      <c r="EK265" s="249"/>
      <c r="EN265" s="249"/>
      <c r="EQ265" s="249"/>
      <c r="ET265" s="249"/>
      <c r="EW265" s="249"/>
      <c r="EZ265" s="249"/>
      <c r="FC265" s="249"/>
      <c r="FF265" s="249"/>
      <c r="FI265" s="249"/>
      <c r="FL265" s="249"/>
      <c r="FO265" s="249"/>
      <c r="FR265" s="249"/>
      <c r="FU265" s="249"/>
      <c r="FX265" s="249"/>
      <c r="GA265" s="249"/>
      <c r="GD265" s="249"/>
      <c r="GG265" s="249"/>
      <c r="GJ265" s="249"/>
      <c r="GM265" s="249"/>
      <c r="GP265" s="249"/>
      <c r="GS265" s="249"/>
      <c r="GV265" s="249"/>
      <c r="GY265" s="249"/>
      <c r="HB265" s="249"/>
      <c r="HE265" s="249"/>
    </row>
    <row r="266" spans="1:213" x14ac:dyDescent="0.2">
      <c r="A266" s="262" t="s">
        <v>220</v>
      </c>
      <c r="B266" s="283">
        <v>5</v>
      </c>
      <c r="C266" s="249" t="s">
        <v>129</v>
      </c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W266" s="249"/>
      <c r="Z266" s="249"/>
      <c r="AC266" s="249"/>
      <c r="AD266" s="249"/>
      <c r="AE266" s="249"/>
      <c r="AF266" s="249"/>
      <c r="AG266" s="249"/>
      <c r="AJ266" s="249"/>
      <c r="AM266" s="249"/>
      <c r="AP266" s="249"/>
      <c r="AS266" s="249"/>
      <c r="AV266" s="249"/>
      <c r="AY266" s="249"/>
      <c r="BB266" s="249"/>
      <c r="BE266" s="249"/>
      <c r="BH266" s="249"/>
      <c r="BK266" s="249"/>
      <c r="BN266" s="249"/>
      <c r="BQ266" s="249"/>
      <c r="BT266" s="249"/>
      <c r="BW266" s="249"/>
      <c r="BZ266" s="249"/>
      <c r="CC266" s="249"/>
      <c r="CF266" s="249"/>
      <c r="CI266" s="249"/>
      <c r="CL266" s="249"/>
      <c r="CO266" s="249"/>
      <c r="CR266" s="249"/>
      <c r="CU266" s="249"/>
      <c r="CX266" s="249"/>
      <c r="DA266" s="249"/>
      <c r="DD266" s="249"/>
      <c r="DG266" s="249"/>
      <c r="DJ266" s="249"/>
      <c r="DM266" s="249"/>
      <c r="DP266" s="249"/>
      <c r="DS266" s="249"/>
      <c r="DV266" s="249"/>
      <c r="DY266" s="249"/>
      <c r="EB266" s="249"/>
      <c r="EE266" s="249"/>
      <c r="EH266" s="249"/>
      <c r="EK266" s="249"/>
      <c r="EN266" s="249"/>
      <c r="EQ266" s="249"/>
      <c r="ET266" s="249"/>
      <c r="EW266" s="249"/>
      <c r="EZ266" s="249"/>
      <c r="FC266" s="249"/>
      <c r="FF266" s="249"/>
      <c r="FI266" s="249"/>
      <c r="FL266" s="249"/>
      <c r="FO266" s="249"/>
      <c r="FR266" s="249"/>
      <c r="FU266" s="249"/>
      <c r="FX266" s="249"/>
      <c r="GA266" s="249"/>
      <c r="GD266" s="249"/>
      <c r="GG266" s="249"/>
      <c r="GJ266" s="249"/>
      <c r="GM266" s="249"/>
      <c r="GP266" s="249"/>
      <c r="GS266" s="249"/>
      <c r="GV266" s="249"/>
      <c r="GY266" s="249"/>
      <c r="HB266" s="249"/>
      <c r="HE266" s="249"/>
    </row>
    <row r="267" spans="1:213" x14ac:dyDescent="0.2">
      <c r="A267" s="262" t="s">
        <v>219</v>
      </c>
      <c r="B267" s="283">
        <v>26</v>
      </c>
      <c r="C267" s="249" t="s">
        <v>130</v>
      </c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W267" s="249"/>
      <c r="Z267" s="249"/>
      <c r="AC267" s="249"/>
      <c r="AD267" s="249"/>
      <c r="AE267" s="249"/>
      <c r="AF267" s="249"/>
      <c r="AG267" s="249"/>
      <c r="AJ267" s="249"/>
      <c r="AM267" s="249"/>
      <c r="AP267" s="249"/>
      <c r="AS267" s="249"/>
      <c r="AV267" s="249"/>
      <c r="AY267" s="249"/>
      <c r="BB267" s="249"/>
      <c r="BE267" s="249"/>
      <c r="BH267" s="249"/>
      <c r="BK267" s="249"/>
      <c r="BN267" s="249"/>
      <c r="BQ267" s="249"/>
      <c r="BT267" s="249"/>
      <c r="BW267" s="249"/>
      <c r="BZ267" s="249"/>
      <c r="CC267" s="249"/>
      <c r="CF267" s="249"/>
      <c r="CI267" s="249"/>
      <c r="CL267" s="249"/>
      <c r="CO267" s="249"/>
      <c r="CR267" s="249"/>
      <c r="CU267" s="249"/>
      <c r="CX267" s="249"/>
      <c r="DA267" s="249"/>
      <c r="DD267" s="249"/>
      <c r="DG267" s="249"/>
      <c r="DJ267" s="249"/>
      <c r="DM267" s="249"/>
      <c r="DP267" s="249"/>
      <c r="DS267" s="249"/>
      <c r="DV267" s="249"/>
      <c r="DY267" s="249"/>
      <c r="EB267" s="249"/>
      <c r="EE267" s="249"/>
      <c r="EH267" s="249"/>
      <c r="EK267" s="249"/>
      <c r="EN267" s="249"/>
      <c r="EQ267" s="249"/>
      <c r="ET267" s="249"/>
      <c r="EW267" s="249"/>
      <c r="EZ267" s="249"/>
      <c r="FC267" s="249"/>
      <c r="FF267" s="249"/>
      <c r="FI267" s="249"/>
      <c r="FL267" s="249"/>
      <c r="FO267" s="249"/>
      <c r="FR267" s="249"/>
      <c r="FU267" s="249"/>
      <c r="FX267" s="249"/>
      <c r="GA267" s="249"/>
      <c r="GD267" s="249"/>
      <c r="GG267" s="249"/>
      <c r="GJ267" s="249"/>
      <c r="GM267" s="249"/>
      <c r="GP267" s="249"/>
      <c r="GS267" s="249"/>
      <c r="GV267" s="249"/>
      <c r="GY267" s="249"/>
      <c r="HB267" s="249"/>
      <c r="HE267" s="249"/>
    </row>
    <row r="268" spans="1:213" x14ac:dyDescent="0.2">
      <c r="A268" s="558" t="s">
        <v>437</v>
      </c>
      <c r="B268" s="558"/>
      <c r="C268" s="558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W268" s="249"/>
      <c r="Z268" s="249"/>
      <c r="AC268" s="249"/>
      <c r="AD268" s="249"/>
      <c r="AE268" s="249"/>
      <c r="AF268" s="249"/>
      <c r="AG268" s="249"/>
      <c r="AJ268" s="249"/>
      <c r="AM268" s="249"/>
      <c r="AP268" s="249"/>
      <c r="AS268" s="249"/>
      <c r="AV268" s="249"/>
      <c r="AY268" s="249"/>
      <c r="BB268" s="249"/>
      <c r="BE268" s="249"/>
      <c r="BH268" s="249"/>
      <c r="BK268" s="249"/>
      <c r="BN268" s="249"/>
      <c r="BQ268" s="249"/>
      <c r="BT268" s="249"/>
      <c r="BW268" s="249"/>
      <c r="BZ268" s="249"/>
      <c r="CC268" s="249"/>
      <c r="CF268" s="249"/>
      <c r="CI268" s="249"/>
      <c r="CL268" s="249"/>
      <c r="CO268" s="249"/>
      <c r="CR268" s="249"/>
      <c r="CU268" s="249"/>
      <c r="CX268" s="249"/>
      <c r="DA268" s="249"/>
      <c r="DD268" s="249"/>
      <c r="DG268" s="249"/>
      <c r="DJ268" s="249"/>
      <c r="DM268" s="249"/>
      <c r="DP268" s="249"/>
      <c r="DS268" s="249"/>
      <c r="DV268" s="249"/>
      <c r="DY268" s="249"/>
      <c r="EB268" s="249"/>
      <c r="EE268" s="249"/>
      <c r="EH268" s="249"/>
      <c r="EK268" s="249"/>
      <c r="EN268" s="249"/>
      <c r="EQ268" s="249"/>
      <c r="ET268" s="249"/>
      <c r="EW268" s="249"/>
      <c r="EZ268" s="249"/>
      <c r="FC268" s="249"/>
      <c r="FF268" s="249"/>
      <c r="FI268" s="249"/>
      <c r="FL268" s="249"/>
      <c r="FO268" s="249"/>
      <c r="FR268" s="249"/>
      <c r="FU268" s="249"/>
      <c r="FX268" s="249"/>
      <c r="GA268" s="249"/>
      <c r="GD268" s="249"/>
      <c r="GG268" s="249"/>
      <c r="GJ268" s="249"/>
      <c r="GM268" s="249"/>
      <c r="GP268" s="249"/>
      <c r="GS268" s="249"/>
      <c r="GV268" s="249"/>
      <c r="GY268" s="249"/>
      <c r="HB268" s="249"/>
      <c r="HE268" s="249"/>
    </row>
    <row r="269" spans="1:213" x14ac:dyDescent="0.2">
      <c r="A269" s="249" t="s">
        <v>435</v>
      </c>
      <c r="B269" s="283">
        <v>60</v>
      </c>
      <c r="C269" s="263" t="s">
        <v>359</v>
      </c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W269" s="249"/>
      <c r="Z269" s="249"/>
      <c r="AC269" s="249"/>
      <c r="AD269" s="249"/>
      <c r="AE269" s="249"/>
      <c r="AF269" s="249"/>
      <c r="AG269" s="249"/>
      <c r="AJ269" s="249"/>
      <c r="AM269" s="249"/>
      <c r="AP269" s="249"/>
      <c r="AS269" s="249"/>
      <c r="AV269" s="249"/>
      <c r="AY269" s="249"/>
      <c r="BB269" s="249"/>
      <c r="BE269" s="249"/>
      <c r="BH269" s="249"/>
      <c r="BK269" s="249"/>
      <c r="BN269" s="249"/>
      <c r="BQ269" s="249"/>
      <c r="BT269" s="249"/>
      <c r="BW269" s="249"/>
      <c r="BZ269" s="249"/>
      <c r="CC269" s="249"/>
      <c r="CF269" s="249"/>
      <c r="CI269" s="249"/>
      <c r="CL269" s="249"/>
      <c r="CO269" s="249"/>
      <c r="CR269" s="249"/>
      <c r="CU269" s="249"/>
      <c r="CX269" s="249"/>
      <c r="DA269" s="249"/>
      <c r="DD269" s="249"/>
      <c r="DG269" s="249"/>
      <c r="DJ269" s="249"/>
      <c r="DM269" s="249"/>
      <c r="DP269" s="249"/>
      <c r="DS269" s="249"/>
      <c r="DV269" s="249"/>
      <c r="DY269" s="249"/>
      <c r="EB269" s="249"/>
      <c r="EE269" s="249"/>
      <c r="EH269" s="249"/>
      <c r="EK269" s="249"/>
      <c r="EN269" s="249"/>
      <c r="EQ269" s="249"/>
      <c r="ET269" s="249"/>
      <c r="EW269" s="249"/>
      <c r="EZ269" s="249"/>
      <c r="FC269" s="249"/>
      <c r="FF269" s="249"/>
      <c r="FI269" s="249"/>
      <c r="FL269" s="249"/>
      <c r="FO269" s="249"/>
      <c r="FR269" s="249"/>
      <c r="FU269" s="249"/>
      <c r="FX269" s="249"/>
      <c r="GA269" s="249"/>
      <c r="GD269" s="249"/>
      <c r="GG269" s="249"/>
      <c r="GJ269" s="249"/>
      <c r="GM269" s="249"/>
      <c r="GP269" s="249"/>
      <c r="GS269" s="249"/>
      <c r="GV269" s="249"/>
      <c r="GY269" s="249"/>
      <c r="HB269" s="249"/>
      <c r="HE269" s="249"/>
    </row>
    <row r="270" spans="1:213" x14ac:dyDescent="0.2">
      <c r="A270" s="262" t="s">
        <v>221</v>
      </c>
      <c r="B270" s="283">
        <v>130</v>
      </c>
      <c r="C270" s="249" t="s">
        <v>26</v>
      </c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W270" s="249"/>
      <c r="Z270" s="249"/>
      <c r="AC270" s="249"/>
      <c r="AD270" s="249"/>
      <c r="AE270" s="249"/>
      <c r="AF270" s="249"/>
      <c r="AG270" s="249"/>
      <c r="AJ270" s="249"/>
      <c r="AM270" s="249"/>
      <c r="AP270" s="249"/>
      <c r="AS270" s="249"/>
      <c r="AV270" s="249"/>
      <c r="AY270" s="249"/>
      <c r="BB270" s="249"/>
      <c r="BE270" s="249"/>
      <c r="BH270" s="249"/>
      <c r="BK270" s="249"/>
      <c r="BN270" s="249"/>
      <c r="BQ270" s="249"/>
      <c r="BT270" s="249"/>
      <c r="BW270" s="249"/>
      <c r="BZ270" s="249"/>
      <c r="CC270" s="249"/>
      <c r="CF270" s="249"/>
      <c r="CI270" s="249"/>
      <c r="CL270" s="249"/>
      <c r="CO270" s="249"/>
      <c r="CR270" s="249"/>
      <c r="CU270" s="249"/>
      <c r="CX270" s="249"/>
      <c r="DA270" s="249"/>
      <c r="DD270" s="249"/>
      <c r="DG270" s="249"/>
      <c r="DJ270" s="249"/>
      <c r="DM270" s="249"/>
      <c r="DP270" s="249"/>
      <c r="DS270" s="249"/>
      <c r="DV270" s="249"/>
      <c r="DY270" s="249"/>
      <c r="EB270" s="249"/>
      <c r="EE270" s="249"/>
      <c r="EH270" s="249"/>
      <c r="EK270" s="249"/>
      <c r="EN270" s="249"/>
      <c r="EQ270" s="249"/>
      <c r="ET270" s="249"/>
      <c r="EW270" s="249"/>
      <c r="EZ270" s="249"/>
      <c r="FC270" s="249"/>
      <c r="FF270" s="249"/>
      <c r="FI270" s="249"/>
      <c r="FL270" s="249"/>
      <c r="FO270" s="249"/>
      <c r="FR270" s="249"/>
      <c r="FU270" s="249"/>
      <c r="FX270" s="249"/>
      <c r="GA270" s="249"/>
      <c r="GD270" s="249"/>
      <c r="GG270" s="249"/>
      <c r="GJ270" s="249"/>
      <c r="GM270" s="249"/>
      <c r="GP270" s="249"/>
      <c r="GS270" s="249"/>
      <c r="GV270" s="249"/>
      <c r="GY270" s="249"/>
      <c r="HB270" s="249"/>
      <c r="HE270" s="249"/>
    </row>
    <row r="271" spans="1:213" x14ac:dyDescent="0.2">
      <c r="A271" s="262" t="s">
        <v>186</v>
      </c>
      <c r="B271" s="284">
        <v>1</v>
      </c>
      <c r="C271" s="249" t="s">
        <v>69</v>
      </c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W271" s="249"/>
      <c r="Z271" s="249"/>
      <c r="AC271" s="249"/>
      <c r="AD271" s="249"/>
      <c r="AE271" s="249"/>
      <c r="AF271" s="249"/>
      <c r="AG271" s="249"/>
      <c r="AJ271" s="249"/>
      <c r="AM271" s="249"/>
      <c r="AP271" s="249"/>
      <c r="AS271" s="249"/>
      <c r="AV271" s="249"/>
      <c r="AY271" s="249"/>
      <c r="BB271" s="249"/>
      <c r="BE271" s="249"/>
      <c r="BH271" s="249"/>
      <c r="BK271" s="249"/>
      <c r="BN271" s="249"/>
      <c r="BQ271" s="249"/>
      <c r="BT271" s="249"/>
      <c r="BW271" s="249"/>
      <c r="BZ271" s="249"/>
      <c r="CC271" s="249"/>
      <c r="CF271" s="249"/>
      <c r="CI271" s="249"/>
      <c r="CL271" s="249"/>
      <c r="CO271" s="249"/>
      <c r="CR271" s="249"/>
      <c r="CU271" s="249"/>
      <c r="CX271" s="249"/>
      <c r="DA271" s="249"/>
      <c r="DD271" s="249"/>
      <c r="DG271" s="249"/>
      <c r="DJ271" s="249"/>
      <c r="DM271" s="249"/>
      <c r="DP271" s="249"/>
      <c r="DS271" s="249"/>
      <c r="DV271" s="249"/>
      <c r="DY271" s="249"/>
      <c r="EB271" s="249"/>
      <c r="EE271" s="249"/>
      <c r="EH271" s="249"/>
      <c r="EK271" s="249"/>
      <c r="EN271" s="249"/>
      <c r="EQ271" s="249"/>
      <c r="ET271" s="249"/>
      <c r="EW271" s="249"/>
      <c r="EZ271" s="249"/>
      <c r="FC271" s="249"/>
      <c r="FF271" s="249"/>
      <c r="FI271" s="249"/>
      <c r="FL271" s="249"/>
      <c r="FO271" s="249"/>
      <c r="FR271" s="249"/>
      <c r="FU271" s="249"/>
      <c r="FX271" s="249"/>
      <c r="GA271" s="249"/>
      <c r="GD271" s="249"/>
      <c r="GG271" s="249"/>
      <c r="GJ271" s="249"/>
      <c r="GM271" s="249"/>
      <c r="GP271" s="249"/>
      <c r="GS271" s="249"/>
      <c r="GV271" s="249"/>
      <c r="GY271" s="249"/>
      <c r="HB271" s="249"/>
      <c r="HE271" s="249"/>
    </row>
    <row r="272" spans="1:213" x14ac:dyDescent="0.2">
      <c r="A272" s="262" t="s">
        <v>436</v>
      </c>
      <c r="B272" s="283">
        <v>330</v>
      </c>
      <c r="C272" s="263" t="s">
        <v>54</v>
      </c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W272" s="249"/>
      <c r="Z272" s="249"/>
      <c r="AC272" s="249"/>
      <c r="AD272" s="249"/>
      <c r="AE272" s="249"/>
      <c r="AF272" s="249"/>
      <c r="AG272" s="249"/>
      <c r="AJ272" s="249"/>
      <c r="AM272" s="249"/>
      <c r="AP272" s="249"/>
      <c r="AS272" s="249"/>
      <c r="AV272" s="249"/>
      <c r="AY272" s="249"/>
      <c r="BB272" s="249"/>
      <c r="BE272" s="249"/>
      <c r="BH272" s="249"/>
      <c r="BK272" s="249"/>
      <c r="BN272" s="249"/>
      <c r="BQ272" s="249"/>
      <c r="BT272" s="249"/>
      <c r="BW272" s="249"/>
      <c r="BZ272" s="249"/>
      <c r="CC272" s="249"/>
      <c r="CF272" s="249"/>
      <c r="CI272" s="249"/>
      <c r="CL272" s="249"/>
      <c r="CO272" s="249"/>
      <c r="CR272" s="249"/>
      <c r="CU272" s="249"/>
      <c r="CX272" s="249"/>
      <c r="DA272" s="249"/>
      <c r="DD272" s="249"/>
      <c r="DG272" s="249"/>
      <c r="DJ272" s="249"/>
      <c r="DM272" s="249"/>
      <c r="DP272" s="249"/>
      <c r="DS272" s="249"/>
      <c r="DV272" s="249"/>
      <c r="DY272" s="249"/>
      <c r="EB272" s="249"/>
      <c r="EE272" s="249"/>
      <c r="EH272" s="249"/>
      <c r="EK272" s="249"/>
      <c r="EN272" s="249"/>
      <c r="EQ272" s="249"/>
      <c r="ET272" s="249"/>
      <c r="EW272" s="249"/>
      <c r="EZ272" s="249"/>
      <c r="FC272" s="249"/>
      <c r="FF272" s="249"/>
      <c r="FI272" s="249"/>
      <c r="FL272" s="249"/>
      <c r="FO272" s="249"/>
      <c r="FR272" s="249"/>
      <c r="FU272" s="249"/>
      <c r="FX272" s="249"/>
      <c r="GA272" s="249"/>
      <c r="GD272" s="249"/>
      <c r="GG272" s="249"/>
      <c r="GJ272" s="249"/>
      <c r="GM272" s="249"/>
      <c r="GP272" s="249"/>
      <c r="GS272" s="249"/>
      <c r="GV272" s="249"/>
      <c r="GY272" s="249"/>
      <c r="HB272" s="249"/>
      <c r="HE272" s="249"/>
    </row>
    <row r="273" spans="1:213" x14ac:dyDescent="0.2">
      <c r="A273" s="262" t="s">
        <v>56</v>
      </c>
      <c r="B273" s="284">
        <v>1</v>
      </c>
      <c r="C273" s="247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W273" s="249"/>
      <c r="Z273" s="249"/>
      <c r="AC273" s="249"/>
      <c r="AD273" s="249"/>
      <c r="AE273" s="249"/>
      <c r="AF273" s="249"/>
      <c r="AG273" s="249"/>
      <c r="AJ273" s="249"/>
      <c r="AM273" s="249"/>
      <c r="AP273" s="249"/>
      <c r="AS273" s="249"/>
      <c r="AV273" s="249"/>
      <c r="AY273" s="249"/>
      <c r="BB273" s="249"/>
      <c r="BE273" s="249"/>
      <c r="BH273" s="249"/>
      <c r="BK273" s="249"/>
      <c r="BN273" s="249"/>
      <c r="BQ273" s="249"/>
      <c r="BT273" s="249"/>
      <c r="BW273" s="249"/>
      <c r="BZ273" s="249"/>
      <c r="CC273" s="249"/>
      <c r="CF273" s="249"/>
      <c r="CI273" s="249"/>
      <c r="CL273" s="249"/>
      <c r="CO273" s="249"/>
      <c r="CR273" s="249"/>
      <c r="CU273" s="249"/>
      <c r="CX273" s="249"/>
      <c r="DA273" s="249"/>
      <c r="DD273" s="249"/>
      <c r="DG273" s="249"/>
      <c r="DJ273" s="249"/>
      <c r="DM273" s="249"/>
      <c r="DP273" s="249"/>
      <c r="DS273" s="249"/>
      <c r="DV273" s="249"/>
      <c r="DY273" s="249"/>
      <c r="EB273" s="249"/>
      <c r="EE273" s="249"/>
      <c r="EH273" s="249"/>
      <c r="EK273" s="249"/>
      <c r="EN273" s="249"/>
      <c r="EQ273" s="249"/>
      <c r="ET273" s="249"/>
      <c r="EW273" s="249"/>
      <c r="EZ273" s="249"/>
      <c r="FC273" s="249"/>
      <c r="FF273" s="249"/>
      <c r="FI273" s="249"/>
      <c r="FL273" s="249"/>
      <c r="FO273" s="249"/>
      <c r="FR273" s="249"/>
      <c r="FU273" s="249"/>
      <c r="FX273" s="249"/>
      <c r="GA273" s="249"/>
      <c r="GD273" s="249"/>
      <c r="GG273" s="249"/>
      <c r="GJ273" s="249"/>
      <c r="GM273" s="249"/>
      <c r="GP273" s="249"/>
      <c r="GS273" s="249"/>
      <c r="GV273" s="249"/>
      <c r="GY273" s="249"/>
      <c r="HB273" s="249"/>
      <c r="HE273" s="249"/>
    </row>
    <row r="274" spans="1:213" x14ac:dyDescent="0.2">
      <c r="A274" s="262" t="s">
        <v>52</v>
      </c>
      <c r="B274" s="284">
        <v>0.4</v>
      </c>
      <c r="C274" s="247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W274" s="249"/>
      <c r="Z274" s="249"/>
      <c r="AC274" s="249"/>
      <c r="AD274" s="249"/>
      <c r="AE274" s="249"/>
      <c r="AF274" s="249"/>
      <c r="AG274" s="249"/>
      <c r="AJ274" s="249"/>
      <c r="AM274" s="249"/>
      <c r="AP274" s="249"/>
      <c r="AS274" s="249"/>
      <c r="AV274" s="249"/>
      <c r="AY274" s="249"/>
      <c r="BB274" s="249"/>
      <c r="BE274" s="249"/>
      <c r="BH274" s="249"/>
      <c r="BK274" s="249"/>
      <c r="BN274" s="249"/>
      <c r="BQ274" s="249"/>
      <c r="BT274" s="249"/>
      <c r="BW274" s="249"/>
      <c r="BZ274" s="249"/>
      <c r="CC274" s="249"/>
      <c r="CF274" s="249"/>
      <c r="CI274" s="249"/>
      <c r="CL274" s="249"/>
      <c r="CO274" s="249"/>
      <c r="CR274" s="249"/>
      <c r="CU274" s="249"/>
      <c r="CX274" s="249"/>
      <c r="DA274" s="249"/>
      <c r="DD274" s="249"/>
      <c r="DG274" s="249"/>
      <c r="DJ274" s="249"/>
      <c r="DM274" s="249"/>
      <c r="DP274" s="249"/>
      <c r="DS274" s="249"/>
      <c r="DV274" s="249"/>
      <c r="DY274" s="249"/>
      <c r="EB274" s="249"/>
      <c r="EE274" s="249"/>
      <c r="EH274" s="249"/>
      <c r="EK274" s="249"/>
      <c r="EN274" s="249"/>
      <c r="EQ274" s="249"/>
      <c r="ET274" s="249"/>
      <c r="EW274" s="249"/>
      <c r="EZ274" s="249"/>
      <c r="FC274" s="249"/>
      <c r="FF274" s="249"/>
      <c r="FI274" s="249"/>
      <c r="FL274" s="249"/>
      <c r="FO274" s="249"/>
      <c r="FR274" s="249"/>
      <c r="FU274" s="249"/>
      <c r="FX274" s="249"/>
      <c r="GA274" s="249"/>
      <c r="GD274" s="249"/>
      <c r="GG274" s="249"/>
      <c r="GJ274" s="249"/>
      <c r="GM274" s="249"/>
      <c r="GP274" s="249"/>
      <c r="GS274" s="249"/>
      <c r="GV274" s="249"/>
      <c r="GY274" s="249"/>
      <c r="HB274" s="249"/>
      <c r="HE274" s="249"/>
    </row>
    <row r="275" spans="1:213" x14ac:dyDescent="0.2">
      <c r="A275" s="262" t="s">
        <v>62</v>
      </c>
      <c r="B275" s="284">
        <v>1</v>
      </c>
      <c r="C275" s="247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W275" s="249"/>
      <c r="Z275" s="249"/>
      <c r="AC275" s="249"/>
      <c r="AD275" s="249"/>
      <c r="AE275" s="249"/>
      <c r="AF275" s="249"/>
      <c r="AG275" s="249"/>
      <c r="AJ275" s="249"/>
      <c r="AM275" s="249"/>
      <c r="AP275" s="249"/>
      <c r="AS275" s="249"/>
      <c r="AV275" s="249"/>
      <c r="AY275" s="249"/>
      <c r="BB275" s="249"/>
      <c r="BE275" s="249"/>
      <c r="BH275" s="249"/>
      <c r="BK275" s="249"/>
      <c r="BN275" s="249"/>
      <c r="BQ275" s="249"/>
      <c r="BT275" s="249"/>
      <c r="BW275" s="249"/>
      <c r="BZ275" s="249"/>
      <c r="CC275" s="249"/>
      <c r="CF275" s="249"/>
      <c r="CI275" s="249"/>
      <c r="CL275" s="249"/>
      <c r="CO275" s="249"/>
      <c r="CR275" s="249"/>
      <c r="CU275" s="249"/>
      <c r="CX275" s="249"/>
      <c r="DA275" s="249"/>
      <c r="DD275" s="249"/>
      <c r="DG275" s="249"/>
      <c r="DJ275" s="249"/>
      <c r="DM275" s="249"/>
      <c r="DP275" s="249"/>
      <c r="DS275" s="249"/>
      <c r="DV275" s="249"/>
      <c r="DY275" s="249"/>
      <c r="EB275" s="249"/>
      <c r="EE275" s="249"/>
      <c r="EH275" s="249"/>
      <c r="EK275" s="249"/>
      <c r="EN275" s="249"/>
      <c r="EQ275" s="249"/>
      <c r="ET275" s="249"/>
      <c r="EW275" s="249"/>
      <c r="EZ275" s="249"/>
      <c r="FC275" s="249"/>
      <c r="FF275" s="249"/>
      <c r="FI275" s="249"/>
      <c r="FL275" s="249"/>
      <c r="FO275" s="249"/>
      <c r="FR275" s="249"/>
      <c r="FU275" s="249"/>
      <c r="FX275" s="249"/>
      <c r="GA275" s="249"/>
      <c r="GD275" s="249"/>
      <c r="GG275" s="249"/>
      <c r="GJ275" s="249"/>
      <c r="GM275" s="249"/>
      <c r="GP275" s="249"/>
      <c r="GS275" s="249"/>
      <c r="GV275" s="249"/>
      <c r="GY275" s="249"/>
      <c r="HB275" s="249"/>
      <c r="HE275" s="249"/>
    </row>
    <row r="276" spans="1:213" x14ac:dyDescent="0.2">
      <c r="A276" s="262" t="s">
        <v>471</v>
      </c>
      <c r="B276" s="283">
        <v>8</v>
      </c>
      <c r="C276" s="249" t="s">
        <v>224</v>
      </c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W276" s="249"/>
      <c r="Z276" s="249"/>
      <c r="AC276" s="249"/>
      <c r="AD276" s="249"/>
      <c r="AE276" s="249"/>
      <c r="AF276" s="249"/>
      <c r="AG276" s="249"/>
      <c r="AJ276" s="249"/>
      <c r="AM276" s="249"/>
      <c r="AP276" s="249"/>
      <c r="AS276" s="249"/>
      <c r="AV276" s="249"/>
      <c r="AY276" s="249"/>
      <c r="BB276" s="249"/>
      <c r="BE276" s="249"/>
      <c r="BH276" s="249"/>
      <c r="BK276" s="249"/>
      <c r="BN276" s="249"/>
      <c r="BQ276" s="249"/>
      <c r="BT276" s="249"/>
      <c r="BW276" s="249"/>
      <c r="BZ276" s="249"/>
      <c r="CC276" s="249"/>
      <c r="CF276" s="249"/>
      <c r="CI276" s="249"/>
      <c r="CL276" s="249"/>
      <c r="CO276" s="249"/>
      <c r="CR276" s="249"/>
      <c r="CU276" s="249"/>
      <c r="CX276" s="249"/>
      <c r="DA276" s="249"/>
      <c r="DD276" s="249"/>
      <c r="DG276" s="249"/>
      <c r="DJ276" s="249"/>
      <c r="DM276" s="249"/>
      <c r="DP276" s="249"/>
      <c r="DS276" s="249"/>
      <c r="DV276" s="249"/>
      <c r="DY276" s="249"/>
      <c r="EB276" s="249"/>
      <c r="EE276" s="249"/>
      <c r="EH276" s="249"/>
      <c r="EK276" s="249"/>
      <c r="EN276" s="249"/>
      <c r="EQ276" s="249"/>
      <c r="ET276" s="249"/>
      <c r="EW276" s="249"/>
      <c r="EZ276" s="249"/>
      <c r="FC276" s="249"/>
      <c r="FF276" s="249"/>
      <c r="FI276" s="249"/>
      <c r="FL276" s="249"/>
      <c r="FO276" s="249"/>
      <c r="FR276" s="249"/>
      <c r="FU276" s="249"/>
      <c r="FX276" s="249"/>
      <c r="GA276" s="249"/>
      <c r="GD276" s="249"/>
      <c r="GG276" s="249"/>
      <c r="GJ276" s="249"/>
      <c r="GM276" s="249"/>
      <c r="GP276" s="249"/>
      <c r="GS276" s="249"/>
      <c r="GV276" s="249"/>
      <c r="GY276" s="249"/>
      <c r="HB276" s="249"/>
      <c r="HE276" s="249"/>
    </row>
    <row r="277" spans="1:213" x14ac:dyDescent="0.2">
      <c r="A277" s="262" t="s">
        <v>472</v>
      </c>
      <c r="B277" s="283">
        <v>0</v>
      </c>
      <c r="C277" s="249" t="s">
        <v>224</v>
      </c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W277" s="249"/>
      <c r="Z277" s="249"/>
      <c r="AC277" s="249"/>
      <c r="AD277" s="249"/>
      <c r="AE277" s="249"/>
      <c r="AF277" s="249"/>
      <c r="AG277" s="249"/>
      <c r="AJ277" s="249"/>
      <c r="AM277" s="249"/>
      <c r="AP277" s="249"/>
      <c r="AS277" s="249"/>
      <c r="AV277" s="249"/>
      <c r="AY277" s="249"/>
      <c r="BB277" s="249"/>
      <c r="BE277" s="249"/>
      <c r="BH277" s="249"/>
      <c r="BK277" s="249"/>
      <c r="BN277" s="249"/>
      <c r="BQ277" s="249"/>
      <c r="BT277" s="249"/>
      <c r="BW277" s="249"/>
      <c r="BZ277" s="249"/>
      <c r="CC277" s="249"/>
      <c r="CF277" s="249"/>
      <c r="CI277" s="249"/>
      <c r="CL277" s="249"/>
      <c r="CO277" s="249"/>
      <c r="CR277" s="249"/>
      <c r="CU277" s="249"/>
      <c r="CX277" s="249"/>
      <c r="DA277" s="249"/>
      <c r="DD277" s="249"/>
      <c r="DG277" s="249"/>
      <c r="DJ277" s="249"/>
      <c r="DM277" s="249"/>
      <c r="DP277" s="249"/>
      <c r="DS277" s="249"/>
      <c r="DV277" s="249"/>
      <c r="DY277" s="249"/>
      <c r="EB277" s="249"/>
      <c r="EE277" s="249"/>
      <c r="EH277" s="249"/>
      <c r="EK277" s="249"/>
      <c r="EN277" s="249"/>
      <c r="EQ277" s="249"/>
      <c r="ET277" s="249"/>
      <c r="EW277" s="249"/>
      <c r="EZ277" s="249"/>
      <c r="FC277" s="249"/>
      <c r="FF277" s="249"/>
      <c r="FI277" s="249"/>
      <c r="FL277" s="249"/>
      <c r="FO277" s="249"/>
      <c r="FR277" s="249"/>
      <c r="FU277" s="249"/>
      <c r="FX277" s="249"/>
      <c r="GA277" s="249"/>
      <c r="GD277" s="249"/>
      <c r="GG277" s="249"/>
      <c r="GJ277" s="249"/>
      <c r="GM277" s="249"/>
      <c r="GP277" s="249"/>
      <c r="GS277" s="249"/>
      <c r="GV277" s="249"/>
      <c r="GY277" s="249"/>
      <c r="HB277" s="249"/>
      <c r="HE277" s="249"/>
    </row>
    <row r="278" spans="1:213" x14ac:dyDescent="0.2">
      <c r="A278" s="262" t="s">
        <v>103</v>
      </c>
      <c r="B278" s="283">
        <v>0.4</v>
      </c>
      <c r="C278" s="247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W278" s="249"/>
      <c r="Z278" s="249"/>
      <c r="AC278" s="249"/>
      <c r="AD278" s="249"/>
      <c r="AE278" s="249"/>
      <c r="AF278" s="249"/>
      <c r="AG278" s="249"/>
      <c r="AJ278" s="249"/>
      <c r="AM278" s="249"/>
      <c r="AP278" s="249"/>
      <c r="AS278" s="249"/>
      <c r="AV278" s="249"/>
      <c r="AY278" s="249"/>
      <c r="BB278" s="249"/>
      <c r="BE278" s="249"/>
      <c r="BH278" s="249"/>
      <c r="BK278" s="249"/>
      <c r="BN278" s="249"/>
      <c r="BQ278" s="249"/>
      <c r="BT278" s="249"/>
      <c r="BW278" s="249"/>
      <c r="BZ278" s="249"/>
      <c r="CC278" s="249"/>
      <c r="CF278" s="249"/>
      <c r="CI278" s="249"/>
      <c r="CL278" s="249"/>
      <c r="CO278" s="249"/>
      <c r="CR278" s="249"/>
      <c r="CU278" s="249"/>
      <c r="CX278" s="249"/>
      <c r="DA278" s="249"/>
      <c r="DD278" s="249"/>
      <c r="DG278" s="249"/>
      <c r="DJ278" s="249"/>
      <c r="DM278" s="249"/>
      <c r="DP278" s="249"/>
      <c r="DS278" s="249"/>
      <c r="DV278" s="249"/>
      <c r="DY278" s="249"/>
      <c r="EB278" s="249"/>
      <c r="EE278" s="249"/>
      <c r="EH278" s="249"/>
      <c r="EK278" s="249"/>
      <c r="EN278" s="249"/>
      <c r="EQ278" s="249"/>
      <c r="ET278" s="249"/>
      <c r="EW278" s="249"/>
      <c r="EZ278" s="249"/>
      <c r="FC278" s="249"/>
      <c r="FF278" s="249"/>
      <c r="FI278" s="249"/>
      <c r="FL278" s="249"/>
      <c r="FO278" s="249"/>
      <c r="FR278" s="249"/>
      <c r="FU278" s="249"/>
      <c r="FX278" s="249"/>
      <c r="GA278" s="249"/>
      <c r="GD278" s="249"/>
      <c r="GG278" s="249"/>
      <c r="GJ278" s="249"/>
      <c r="GM278" s="249"/>
      <c r="GP278" s="249"/>
      <c r="GS278" s="249"/>
      <c r="GV278" s="249"/>
      <c r="GY278" s="249"/>
      <c r="HB278" s="249"/>
      <c r="HE278" s="249"/>
    </row>
    <row r="279" spans="1:213" x14ac:dyDescent="0.2">
      <c r="A279" s="262" t="s">
        <v>220</v>
      </c>
      <c r="B279" s="283">
        <v>5</v>
      </c>
      <c r="C279" s="249" t="s">
        <v>129</v>
      </c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W279" s="249"/>
      <c r="Z279" s="249"/>
      <c r="AC279" s="249"/>
      <c r="AD279" s="249"/>
      <c r="AE279" s="249"/>
      <c r="AF279" s="249"/>
      <c r="AG279" s="249"/>
      <c r="AJ279" s="249"/>
      <c r="AM279" s="249"/>
      <c r="AP279" s="249"/>
      <c r="AS279" s="249"/>
      <c r="AV279" s="249"/>
      <c r="AY279" s="249"/>
      <c r="BB279" s="249"/>
      <c r="BE279" s="249"/>
      <c r="BH279" s="249"/>
      <c r="BK279" s="249"/>
      <c r="BN279" s="249"/>
      <c r="BQ279" s="249"/>
      <c r="BT279" s="249"/>
      <c r="BW279" s="249"/>
      <c r="BZ279" s="249"/>
      <c r="CC279" s="249"/>
      <c r="CF279" s="249"/>
      <c r="CI279" s="249"/>
      <c r="CL279" s="249"/>
      <c r="CO279" s="249"/>
      <c r="CR279" s="249"/>
      <c r="CU279" s="249"/>
      <c r="CX279" s="249"/>
      <c r="DA279" s="249"/>
      <c r="DD279" s="249"/>
      <c r="DG279" s="249"/>
      <c r="DJ279" s="249"/>
      <c r="DM279" s="249"/>
      <c r="DP279" s="249"/>
      <c r="DS279" s="249"/>
      <c r="DV279" s="249"/>
      <c r="DY279" s="249"/>
      <c r="EB279" s="249"/>
      <c r="EE279" s="249"/>
      <c r="EH279" s="249"/>
      <c r="EK279" s="249"/>
      <c r="EN279" s="249"/>
      <c r="EQ279" s="249"/>
      <c r="ET279" s="249"/>
      <c r="EW279" s="249"/>
      <c r="EZ279" s="249"/>
      <c r="FC279" s="249"/>
      <c r="FF279" s="249"/>
      <c r="FI279" s="249"/>
      <c r="FL279" s="249"/>
      <c r="FO279" s="249"/>
      <c r="FR279" s="249"/>
      <c r="FU279" s="249"/>
      <c r="FX279" s="249"/>
      <c r="GA279" s="249"/>
      <c r="GD279" s="249"/>
      <c r="GG279" s="249"/>
      <c r="GJ279" s="249"/>
      <c r="GM279" s="249"/>
      <c r="GP279" s="249"/>
      <c r="GS279" s="249"/>
      <c r="GV279" s="249"/>
      <c r="GY279" s="249"/>
      <c r="HB279" s="249"/>
      <c r="HE279" s="249"/>
    </row>
    <row r="280" spans="1:213" x14ac:dyDescent="0.2">
      <c r="A280" s="262" t="s">
        <v>219</v>
      </c>
      <c r="B280" s="283">
        <v>26</v>
      </c>
      <c r="C280" s="249" t="s">
        <v>130</v>
      </c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W280" s="249"/>
      <c r="Z280" s="249"/>
      <c r="AC280" s="249"/>
      <c r="AD280" s="249"/>
      <c r="AE280" s="249"/>
      <c r="AF280" s="249"/>
      <c r="AG280" s="249"/>
      <c r="AJ280" s="249"/>
      <c r="AM280" s="249"/>
      <c r="AP280" s="249"/>
      <c r="AS280" s="249"/>
      <c r="AV280" s="249"/>
      <c r="AY280" s="249"/>
      <c r="BB280" s="249"/>
      <c r="BE280" s="249"/>
      <c r="BH280" s="249"/>
      <c r="BK280" s="249"/>
      <c r="BN280" s="249"/>
      <c r="BQ280" s="249"/>
      <c r="BT280" s="249"/>
      <c r="BW280" s="249"/>
      <c r="BZ280" s="249"/>
      <c r="CC280" s="249"/>
      <c r="CF280" s="249"/>
      <c r="CI280" s="249"/>
      <c r="CL280" s="249"/>
      <c r="CO280" s="249"/>
      <c r="CR280" s="249"/>
      <c r="CU280" s="249"/>
      <c r="CX280" s="249"/>
      <c r="DA280" s="249"/>
      <c r="DD280" s="249"/>
      <c r="DG280" s="249"/>
      <c r="DJ280" s="249"/>
      <c r="DM280" s="249"/>
      <c r="DP280" s="249"/>
      <c r="DS280" s="249"/>
      <c r="DV280" s="249"/>
      <c r="DY280" s="249"/>
      <c r="EB280" s="249"/>
      <c r="EE280" s="249"/>
      <c r="EH280" s="249"/>
      <c r="EK280" s="249"/>
      <c r="EN280" s="249"/>
      <c r="EQ280" s="249"/>
      <c r="ET280" s="249"/>
      <c r="EW280" s="249"/>
      <c r="EZ280" s="249"/>
      <c r="FC280" s="249"/>
      <c r="FF280" s="249"/>
      <c r="FI280" s="249"/>
      <c r="FL280" s="249"/>
      <c r="FO280" s="249"/>
      <c r="FR280" s="249"/>
      <c r="FU280" s="249"/>
      <c r="FX280" s="249"/>
      <c r="GA280" s="249"/>
      <c r="GD280" s="249"/>
      <c r="GG280" s="249"/>
      <c r="GJ280" s="249"/>
      <c r="GM280" s="249"/>
      <c r="GP280" s="249"/>
      <c r="GS280" s="249"/>
      <c r="GV280" s="249"/>
      <c r="GY280" s="249"/>
      <c r="HB280" s="249"/>
      <c r="HE280" s="249"/>
    </row>
    <row r="281" spans="1:213" x14ac:dyDescent="0.2">
      <c r="A281" s="663" t="s">
        <v>576</v>
      </c>
      <c r="B281" s="663"/>
      <c r="C281" s="66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W281" s="249"/>
      <c r="Z281" s="249"/>
      <c r="AC281" s="249"/>
      <c r="AD281" s="249"/>
      <c r="AE281" s="249"/>
      <c r="AF281" s="249"/>
      <c r="AG281" s="249"/>
      <c r="AJ281" s="249"/>
      <c r="AM281" s="249"/>
      <c r="AP281" s="249"/>
      <c r="AS281" s="249"/>
      <c r="AV281" s="249"/>
      <c r="AY281" s="249"/>
      <c r="BB281" s="249"/>
      <c r="BE281" s="249"/>
      <c r="BH281" s="249"/>
      <c r="BK281" s="249"/>
      <c r="BN281" s="249"/>
      <c r="BQ281" s="249"/>
      <c r="BT281" s="249"/>
      <c r="BW281" s="249"/>
      <c r="BZ281" s="249"/>
      <c r="CC281" s="249"/>
      <c r="CF281" s="249"/>
      <c r="CI281" s="249"/>
      <c r="CL281" s="249"/>
      <c r="CO281" s="249"/>
      <c r="CR281" s="249"/>
      <c r="CU281" s="249"/>
      <c r="CX281" s="249"/>
      <c r="DA281" s="249"/>
      <c r="DD281" s="249"/>
      <c r="DG281" s="249"/>
      <c r="DJ281" s="249"/>
      <c r="DM281" s="249"/>
      <c r="DP281" s="249"/>
      <c r="DS281" s="249"/>
      <c r="DV281" s="249"/>
      <c r="DY281" s="249"/>
      <c r="EB281" s="249"/>
      <c r="EE281" s="249"/>
      <c r="EH281" s="249"/>
      <c r="EK281" s="249"/>
      <c r="EN281" s="249"/>
      <c r="EQ281" s="249"/>
      <c r="ET281" s="249"/>
      <c r="EW281" s="249"/>
      <c r="EZ281" s="249"/>
      <c r="FC281" s="249"/>
      <c r="FF281" s="249"/>
      <c r="FI281" s="249"/>
      <c r="FL281" s="249"/>
      <c r="FO281" s="249"/>
      <c r="FR281" s="249"/>
      <c r="FU281" s="249"/>
      <c r="FX281" s="249"/>
      <c r="GA281" s="249"/>
      <c r="GD281" s="249"/>
      <c r="GG281" s="249"/>
      <c r="GJ281" s="249"/>
      <c r="GM281" s="249"/>
      <c r="GP281" s="249"/>
      <c r="GS281" s="249"/>
      <c r="GV281" s="249"/>
      <c r="GY281" s="249"/>
      <c r="HB281" s="249"/>
      <c r="HE281" s="249"/>
    </row>
    <row r="282" spans="1:213" x14ac:dyDescent="0.2">
      <c r="A282" s="263" t="s">
        <v>577</v>
      </c>
      <c r="B282" s="283">
        <v>1.5</v>
      </c>
      <c r="C282" s="249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W282" s="249"/>
      <c r="Z282" s="249"/>
      <c r="AC282" s="249"/>
      <c r="AD282" s="249"/>
      <c r="AE282" s="249"/>
      <c r="AF282" s="249"/>
      <c r="AG282" s="249"/>
      <c r="AJ282" s="249"/>
      <c r="AM282" s="249"/>
      <c r="AP282" s="249"/>
      <c r="AS282" s="249"/>
      <c r="AV282" s="249"/>
      <c r="AY282" s="249"/>
      <c r="BB282" s="249"/>
      <c r="BE282" s="249"/>
      <c r="BH282" s="249"/>
      <c r="BK282" s="249"/>
      <c r="BN282" s="249"/>
      <c r="BQ282" s="249"/>
      <c r="BT282" s="249"/>
      <c r="BW282" s="249"/>
      <c r="BZ282" s="249"/>
      <c r="CC282" s="249"/>
      <c r="CF282" s="249"/>
      <c r="CI282" s="249"/>
      <c r="CL282" s="249"/>
      <c r="CO282" s="249"/>
      <c r="CR282" s="249"/>
      <c r="CU282" s="249"/>
      <c r="CX282" s="249"/>
      <c r="DA282" s="249"/>
      <c r="DD282" s="249"/>
      <c r="DG282" s="249"/>
      <c r="DJ282" s="249"/>
      <c r="DM282" s="249"/>
      <c r="DP282" s="249"/>
      <c r="DS282" s="249"/>
      <c r="DV282" s="249"/>
      <c r="DY282" s="249"/>
      <c r="EB282" s="249"/>
      <c r="EE282" s="249"/>
      <c r="EH282" s="249"/>
      <c r="EK282" s="249"/>
      <c r="EN282" s="249"/>
      <c r="EQ282" s="249"/>
      <c r="ET282" s="249"/>
      <c r="EW282" s="249"/>
      <c r="EZ282" s="249"/>
      <c r="FC282" s="249"/>
      <c r="FF282" s="249"/>
      <c r="FI282" s="249"/>
      <c r="FL282" s="249"/>
      <c r="FO282" s="249"/>
      <c r="FR282" s="249"/>
      <c r="FU282" s="249"/>
      <c r="FX282" s="249"/>
      <c r="GA282" s="249"/>
      <c r="GD282" s="249"/>
      <c r="GG282" s="249"/>
      <c r="GJ282" s="249"/>
      <c r="GM282" s="249"/>
      <c r="GP282" s="249"/>
      <c r="GS282" s="249"/>
      <c r="GV282" s="249"/>
      <c r="GY282" s="249"/>
      <c r="HB282" s="249"/>
      <c r="HE282" s="249"/>
    </row>
    <row r="283" spans="1:213" x14ac:dyDescent="0.2">
      <c r="A283" s="249" t="s">
        <v>100</v>
      </c>
      <c r="B283" s="283">
        <v>0.3</v>
      </c>
      <c r="C283" s="249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W283" s="249"/>
      <c r="Z283" s="249"/>
      <c r="AC283" s="249"/>
      <c r="AD283" s="249"/>
      <c r="AE283" s="249"/>
      <c r="AF283" s="249"/>
      <c r="AG283" s="249"/>
      <c r="AJ283" s="249"/>
      <c r="AM283" s="249"/>
      <c r="AP283" s="249"/>
      <c r="AS283" s="249"/>
      <c r="AV283" s="249"/>
      <c r="AY283" s="249"/>
      <c r="BB283" s="249"/>
      <c r="BE283" s="249"/>
      <c r="BH283" s="249"/>
      <c r="BK283" s="249"/>
      <c r="BN283" s="249"/>
      <c r="BQ283" s="249"/>
      <c r="BT283" s="249"/>
      <c r="BW283" s="249"/>
      <c r="BZ283" s="249"/>
      <c r="CC283" s="249"/>
      <c r="CF283" s="249"/>
      <c r="CI283" s="249"/>
      <c r="CL283" s="249"/>
      <c r="CO283" s="249"/>
      <c r="CR283" s="249"/>
      <c r="CU283" s="249"/>
      <c r="CX283" s="249"/>
      <c r="DA283" s="249"/>
      <c r="DD283" s="249"/>
      <c r="DG283" s="249"/>
      <c r="DJ283" s="249"/>
      <c r="DM283" s="249"/>
      <c r="DP283" s="249"/>
      <c r="DS283" s="249"/>
      <c r="DV283" s="249"/>
      <c r="DY283" s="249"/>
      <c r="EB283" s="249"/>
      <c r="EE283" s="249"/>
      <c r="EH283" s="249"/>
      <c r="EK283" s="249"/>
      <c r="EN283" s="249"/>
      <c r="EQ283" s="249"/>
      <c r="ET283" s="249"/>
      <c r="EW283" s="249"/>
      <c r="EZ283" s="249"/>
      <c r="FC283" s="249"/>
      <c r="FF283" s="249"/>
      <c r="FI283" s="249"/>
      <c r="FL283" s="249"/>
      <c r="FO283" s="249"/>
      <c r="FR283" s="249"/>
      <c r="FU283" s="249"/>
      <c r="FX283" s="249"/>
      <c r="GA283" s="249"/>
      <c r="GD283" s="249"/>
      <c r="GG283" s="249"/>
      <c r="GJ283" s="249"/>
      <c r="GM283" s="249"/>
      <c r="GP283" s="249"/>
      <c r="GS283" s="249"/>
      <c r="GV283" s="249"/>
      <c r="GY283" s="249"/>
      <c r="HB283" s="249"/>
      <c r="HE283" s="249"/>
    </row>
    <row r="284" spans="1:213" x14ac:dyDescent="0.2">
      <c r="A284" s="249" t="s">
        <v>107</v>
      </c>
      <c r="B284" s="283">
        <v>26</v>
      </c>
      <c r="C284" s="249" t="s">
        <v>69</v>
      </c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W284" s="249"/>
      <c r="Z284" s="249"/>
      <c r="AC284" s="249"/>
      <c r="AD284" s="249"/>
      <c r="AE284" s="249"/>
      <c r="AF284" s="249"/>
      <c r="AG284" s="249"/>
      <c r="AJ284" s="249"/>
      <c r="AM284" s="249"/>
      <c r="AP284" s="249"/>
      <c r="AS284" s="249"/>
      <c r="AV284" s="249"/>
      <c r="AY284" s="249"/>
      <c r="BB284" s="249"/>
      <c r="BE284" s="249"/>
      <c r="BH284" s="249"/>
      <c r="BK284" s="249"/>
      <c r="BN284" s="249"/>
      <c r="BQ284" s="249"/>
      <c r="BT284" s="249"/>
      <c r="BW284" s="249"/>
      <c r="BZ284" s="249"/>
      <c r="CC284" s="249"/>
      <c r="CF284" s="249"/>
      <c r="CI284" s="249"/>
      <c r="CL284" s="249"/>
      <c r="CO284" s="249"/>
      <c r="CR284" s="249"/>
      <c r="CU284" s="249"/>
      <c r="CX284" s="249"/>
      <c r="DA284" s="249"/>
      <c r="DD284" s="249"/>
      <c r="DG284" s="249"/>
      <c r="DJ284" s="249"/>
      <c r="DM284" s="249"/>
      <c r="DP284" s="249"/>
      <c r="DS284" s="249"/>
      <c r="DV284" s="249"/>
      <c r="DY284" s="249"/>
      <c r="EB284" s="249"/>
      <c r="EE284" s="249"/>
      <c r="EH284" s="249"/>
      <c r="EK284" s="249"/>
      <c r="EN284" s="249"/>
      <c r="EQ284" s="249"/>
      <c r="ET284" s="249"/>
      <c r="EW284" s="249"/>
      <c r="EZ284" s="249"/>
      <c r="FC284" s="249"/>
      <c r="FF284" s="249"/>
      <c r="FI284" s="249"/>
      <c r="FL284" s="249"/>
      <c r="FO284" s="249"/>
      <c r="FR284" s="249"/>
      <c r="FU284" s="249"/>
      <c r="FX284" s="249"/>
      <c r="GA284" s="249"/>
      <c r="GD284" s="249"/>
      <c r="GG284" s="249"/>
      <c r="GJ284" s="249"/>
      <c r="GM284" s="249"/>
      <c r="GP284" s="249"/>
      <c r="GS284" s="249"/>
      <c r="GV284" s="249"/>
      <c r="GY284" s="249"/>
      <c r="HB284" s="249"/>
      <c r="HE284" s="249"/>
    </row>
    <row r="285" spans="1:213" x14ac:dyDescent="0.2">
      <c r="A285" s="263" t="s">
        <v>39</v>
      </c>
      <c r="B285" s="283">
        <v>70</v>
      </c>
      <c r="C285" s="249" t="s">
        <v>69</v>
      </c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W285" s="249"/>
      <c r="Z285" s="249"/>
      <c r="AC285" s="249"/>
      <c r="AD285" s="249"/>
      <c r="AE285" s="249"/>
      <c r="AF285" s="249"/>
      <c r="AG285" s="249"/>
      <c r="AJ285" s="249"/>
      <c r="AM285" s="249"/>
      <c r="AP285" s="249"/>
      <c r="AS285" s="249"/>
      <c r="AV285" s="249"/>
      <c r="AY285" s="249"/>
      <c r="BB285" s="249"/>
      <c r="BE285" s="249"/>
      <c r="BH285" s="249"/>
      <c r="BK285" s="249"/>
      <c r="BN285" s="249"/>
      <c r="BQ285" s="249"/>
      <c r="BT285" s="249"/>
      <c r="BW285" s="249"/>
      <c r="BZ285" s="249"/>
      <c r="CC285" s="249"/>
      <c r="CF285" s="249"/>
      <c r="CI285" s="249"/>
      <c r="CL285" s="249"/>
      <c r="CO285" s="249"/>
      <c r="CR285" s="249"/>
      <c r="CU285" s="249"/>
      <c r="CX285" s="249"/>
      <c r="DA285" s="249"/>
      <c r="DD285" s="249"/>
      <c r="DG285" s="249"/>
      <c r="DJ285" s="249"/>
      <c r="DM285" s="249"/>
      <c r="DP285" s="249"/>
      <c r="DS285" s="249"/>
      <c r="DV285" s="249"/>
      <c r="DY285" s="249"/>
      <c r="EB285" s="249"/>
      <c r="EE285" s="249"/>
      <c r="EH285" s="249"/>
      <c r="EK285" s="249"/>
      <c r="EN285" s="249"/>
      <c r="EQ285" s="249"/>
      <c r="ET285" s="249"/>
      <c r="EW285" s="249"/>
      <c r="EZ285" s="249"/>
      <c r="FC285" s="249"/>
      <c r="FF285" s="249"/>
      <c r="FI285" s="249"/>
      <c r="FL285" s="249"/>
      <c r="FO285" s="249"/>
      <c r="FR285" s="249"/>
      <c r="FU285" s="249"/>
      <c r="FX285" s="249"/>
      <c r="GA285" s="249"/>
      <c r="GD285" s="249"/>
      <c r="GG285" s="249"/>
      <c r="GJ285" s="249"/>
      <c r="GM285" s="249"/>
      <c r="GP285" s="249"/>
      <c r="GS285" s="249"/>
      <c r="GV285" s="249"/>
      <c r="GY285" s="249"/>
      <c r="HB285" s="249"/>
      <c r="HE285" s="249"/>
    </row>
    <row r="286" spans="1:213" x14ac:dyDescent="0.2">
      <c r="A286" s="263" t="s">
        <v>83</v>
      </c>
      <c r="B286" s="283">
        <v>1</v>
      </c>
      <c r="C286" s="249" t="s">
        <v>108</v>
      </c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W286" s="249"/>
      <c r="Z286" s="249"/>
      <c r="AC286" s="249"/>
      <c r="AD286" s="249"/>
      <c r="AE286" s="249"/>
      <c r="AF286" s="249"/>
      <c r="AG286" s="249"/>
      <c r="AJ286" s="249"/>
      <c r="AM286" s="249"/>
      <c r="AP286" s="249"/>
      <c r="AS286" s="249"/>
      <c r="AV286" s="249"/>
      <c r="AY286" s="249"/>
      <c r="BB286" s="249"/>
      <c r="BE286" s="249"/>
      <c r="BH286" s="249"/>
      <c r="BK286" s="249"/>
      <c r="BN286" s="249"/>
      <c r="BQ286" s="249"/>
      <c r="BT286" s="249"/>
      <c r="BW286" s="249"/>
      <c r="BZ286" s="249"/>
      <c r="CC286" s="249"/>
      <c r="CF286" s="249"/>
      <c r="CI286" s="249"/>
      <c r="CL286" s="249"/>
      <c r="CO286" s="249"/>
      <c r="CR286" s="249"/>
      <c r="CU286" s="249"/>
      <c r="CX286" s="249"/>
      <c r="DA286" s="249"/>
      <c r="DD286" s="249"/>
      <c r="DG286" s="249"/>
      <c r="DJ286" s="249"/>
      <c r="DM286" s="249"/>
      <c r="DP286" s="249"/>
      <c r="DS286" s="249"/>
      <c r="DV286" s="249"/>
      <c r="DY286" s="249"/>
      <c r="EB286" s="249"/>
      <c r="EE286" s="249"/>
      <c r="EH286" s="249"/>
      <c r="EK286" s="249"/>
      <c r="EN286" s="249"/>
      <c r="EQ286" s="249"/>
      <c r="ET286" s="249"/>
      <c r="EW286" s="249"/>
      <c r="EZ286" s="249"/>
      <c r="FC286" s="249"/>
      <c r="FF286" s="249"/>
      <c r="FI286" s="249"/>
      <c r="FL286" s="249"/>
      <c r="FO286" s="249"/>
      <c r="FR286" s="249"/>
      <c r="FU286" s="249"/>
      <c r="FX286" s="249"/>
      <c r="GA286" s="249"/>
      <c r="GD286" s="249"/>
      <c r="GG286" s="249"/>
      <c r="GJ286" s="249"/>
      <c r="GM286" s="249"/>
      <c r="GP286" s="249"/>
      <c r="GS286" s="249"/>
      <c r="GV286" s="249"/>
      <c r="GY286" s="249"/>
      <c r="HB286" s="249"/>
      <c r="HE286" s="249"/>
    </row>
    <row r="287" spans="1:213" x14ac:dyDescent="0.2">
      <c r="A287" s="249" t="s">
        <v>109</v>
      </c>
      <c r="B287" s="283">
        <v>1</v>
      </c>
      <c r="C287" s="249" t="s">
        <v>110</v>
      </c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W287" s="249"/>
      <c r="Z287" s="249"/>
      <c r="AC287" s="249"/>
      <c r="AD287" s="249"/>
      <c r="AE287" s="249"/>
      <c r="AF287" s="249"/>
      <c r="AG287" s="249"/>
      <c r="AJ287" s="249"/>
      <c r="AM287" s="249"/>
      <c r="AP287" s="249"/>
      <c r="AS287" s="249"/>
      <c r="AV287" s="249"/>
      <c r="AY287" s="249"/>
      <c r="BB287" s="249"/>
      <c r="BE287" s="249"/>
      <c r="BH287" s="249"/>
      <c r="BK287" s="249"/>
      <c r="BN287" s="249"/>
      <c r="BQ287" s="249"/>
      <c r="BT287" s="249"/>
      <c r="BW287" s="249"/>
      <c r="BZ287" s="249"/>
      <c r="CC287" s="249"/>
      <c r="CF287" s="249"/>
      <c r="CI287" s="249"/>
      <c r="CL287" s="249"/>
      <c r="CO287" s="249"/>
      <c r="CR287" s="249"/>
      <c r="CU287" s="249"/>
      <c r="CX287" s="249"/>
      <c r="DA287" s="249"/>
      <c r="DD287" s="249"/>
      <c r="DG287" s="249"/>
      <c r="DJ287" s="249"/>
      <c r="DM287" s="249"/>
      <c r="DP287" s="249"/>
      <c r="DS287" s="249"/>
      <c r="DV287" s="249"/>
      <c r="DY287" s="249"/>
      <c r="EB287" s="249"/>
      <c r="EE287" s="249"/>
      <c r="EH287" s="249"/>
      <c r="EK287" s="249"/>
      <c r="EN287" s="249"/>
      <c r="EQ287" s="249"/>
      <c r="ET287" s="249"/>
      <c r="EW287" s="249"/>
      <c r="EZ287" s="249"/>
      <c r="FC287" s="249"/>
      <c r="FF287" s="249"/>
      <c r="FI287" s="249"/>
      <c r="FL287" s="249"/>
      <c r="FO287" s="249"/>
      <c r="FR287" s="249"/>
      <c r="FU287" s="249"/>
      <c r="FX287" s="249"/>
      <c r="GA287" s="249"/>
      <c r="GD287" s="249"/>
      <c r="GG287" s="249"/>
      <c r="GJ287" s="249"/>
      <c r="GM287" s="249"/>
      <c r="GP287" s="249"/>
      <c r="GS287" s="249"/>
      <c r="GV287" s="249"/>
      <c r="GY287" s="249"/>
      <c r="HB287" s="249"/>
      <c r="HE287" s="249"/>
    </row>
    <row r="288" spans="1:213" x14ac:dyDescent="0.2">
      <c r="A288" s="249" t="s">
        <v>114</v>
      </c>
      <c r="B288" s="283">
        <v>0.18</v>
      </c>
      <c r="C288" s="249" t="s">
        <v>108</v>
      </c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W288" s="249"/>
      <c r="Z288" s="249"/>
      <c r="AC288" s="249"/>
      <c r="AD288" s="249"/>
      <c r="AE288" s="249"/>
      <c r="AF288" s="249"/>
      <c r="AG288" s="249"/>
      <c r="AJ288" s="249"/>
      <c r="AM288" s="249"/>
      <c r="AP288" s="249"/>
      <c r="AS288" s="249"/>
      <c r="AV288" s="249"/>
      <c r="AY288" s="249"/>
      <c r="BB288" s="249"/>
      <c r="BE288" s="249"/>
      <c r="BH288" s="249"/>
      <c r="BK288" s="249"/>
      <c r="BN288" s="249"/>
      <c r="BQ288" s="249"/>
      <c r="BT288" s="249"/>
      <c r="BW288" s="249"/>
      <c r="BZ288" s="249"/>
      <c r="CC288" s="249"/>
      <c r="CF288" s="249"/>
      <c r="CI288" s="249"/>
      <c r="CL288" s="249"/>
      <c r="CO288" s="249"/>
      <c r="CR288" s="249"/>
      <c r="CU288" s="249"/>
      <c r="CX288" s="249"/>
      <c r="DA288" s="249"/>
      <c r="DD288" s="249"/>
      <c r="DG288" s="249"/>
      <c r="DJ288" s="249"/>
      <c r="DM288" s="249"/>
      <c r="DP288" s="249"/>
      <c r="DS288" s="249"/>
      <c r="DV288" s="249"/>
      <c r="DY288" s="249"/>
      <c r="EB288" s="249"/>
      <c r="EE288" s="249"/>
      <c r="EH288" s="249"/>
      <c r="EK288" s="249"/>
      <c r="EN288" s="249"/>
      <c r="EQ288" s="249"/>
      <c r="ET288" s="249"/>
      <c r="EW288" s="249"/>
      <c r="EZ288" s="249"/>
      <c r="FC288" s="249"/>
      <c r="FF288" s="249"/>
      <c r="FI288" s="249"/>
      <c r="FL288" s="249"/>
      <c r="FO288" s="249"/>
      <c r="FR288" s="249"/>
      <c r="FU288" s="249"/>
      <c r="FX288" s="249"/>
      <c r="GA288" s="249"/>
      <c r="GD288" s="249"/>
      <c r="GG288" s="249"/>
      <c r="GJ288" s="249"/>
      <c r="GM288" s="249"/>
      <c r="GP288" s="249"/>
      <c r="GS288" s="249"/>
      <c r="GV288" s="249"/>
      <c r="GY288" s="249"/>
      <c r="HB288" s="249"/>
      <c r="HE288" s="249"/>
    </row>
    <row r="289" spans="1:213" x14ac:dyDescent="0.2">
      <c r="A289" s="249" t="s">
        <v>116</v>
      </c>
      <c r="B289" s="283">
        <v>1</v>
      </c>
      <c r="C289" s="249" t="s">
        <v>113</v>
      </c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W289" s="249"/>
      <c r="Z289" s="249"/>
      <c r="AC289" s="249"/>
      <c r="AD289" s="249"/>
      <c r="AE289" s="249"/>
      <c r="AF289" s="249"/>
      <c r="AG289" s="249"/>
      <c r="AJ289" s="249"/>
      <c r="AM289" s="249"/>
      <c r="AP289" s="249"/>
      <c r="AS289" s="249"/>
      <c r="AV289" s="249"/>
      <c r="AY289" s="249"/>
      <c r="BB289" s="249"/>
      <c r="BE289" s="249"/>
      <c r="BH289" s="249"/>
      <c r="BK289" s="249"/>
      <c r="BN289" s="249"/>
      <c r="BQ289" s="249"/>
      <c r="BT289" s="249"/>
      <c r="BW289" s="249"/>
      <c r="BZ289" s="249"/>
      <c r="CC289" s="249"/>
      <c r="CF289" s="249"/>
      <c r="CI289" s="249"/>
      <c r="CL289" s="249"/>
      <c r="CO289" s="249"/>
      <c r="CR289" s="249"/>
      <c r="CU289" s="249"/>
      <c r="CX289" s="249"/>
      <c r="DA289" s="249"/>
      <c r="DD289" s="249"/>
      <c r="DG289" s="249"/>
      <c r="DJ289" s="249"/>
      <c r="DM289" s="249"/>
      <c r="DP289" s="249"/>
      <c r="DS289" s="249"/>
      <c r="DV289" s="249"/>
      <c r="DY289" s="249"/>
      <c r="EB289" s="249"/>
      <c r="EE289" s="249"/>
      <c r="EH289" s="249"/>
      <c r="EK289" s="249"/>
      <c r="EN289" s="249"/>
      <c r="EQ289" s="249"/>
      <c r="ET289" s="249"/>
      <c r="EW289" s="249"/>
      <c r="EZ289" s="249"/>
      <c r="FC289" s="249"/>
      <c r="FF289" s="249"/>
      <c r="FI289" s="249"/>
      <c r="FL289" s="249"/>
      <c r="FO289" s="249"/>
      <c r="FR289" s="249"/>
      <c r="FU289" s="249"/>
      <c r="FX289" s="249"/>
      <c r="GA289" s="249"/>
      <c r="GD289" s="249"/>
      <c r="GG289" s="249"/>
      <c r="GJ289" s="249"/>
      <c r="GM289" s="249"/>
      <c r="GP289" s="249"/>
      <c r="GS289" s="249"/>
      <c r="GV289" s="249"/>
      <c r="GY289" s="249"/>
      <c r="HB289" s="249"/>
      <c r="HE289" s="249"/>
    </row>
    <row r="290" spans="1:213" x14ac:dyDescent="0.2">
      <c r="A290" s="249" t="s">
        <v>118</v>
      </c>
      <c r="B290" s="283">
        <v>1</v>
      </c>
      <c r="C290" s="249" t="s">
        <v>113</v>
      </c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W290" s="249"/>
      <c r="Z290" s="249"/>
      <c r="AC290" s="249"/>
      <c r="AD290" s="249"/>
      <c r="AE290" s="249"/>
      <c r="AF290" s="249"/>
      <c r="AG290" s="249"/>
      <c r="AJ290" s="249"/>
      <c r="AM290" s="249"/>
      <c r="AP290" s="249"/>
      <c r="AS290" s="249"/>
      <c r="AV290" s="249"/>
      <c r="AY290" s="249"/>
      <c r="BB290" s="249"/>
      <c r="BE290" s="249"/>
      <c r="BH290" s="249"/>
      <c r="BK290" s="249"/>
      <c r="BN290" s="249"/>
      <c r="BQ290" s="249"/>
      <c r="BT290" s="249"/>
      <c r="BW290" s="249"/>
      <c r="BZ290" s="249"/>
      <c r="CC290" s="249"/>
      <c r="CF290" s="249"/>
      <c r="CI290" s="249"/>
      <c r="CL290" s="249"/>
      <c r="CO290" s="249"/>
      <c r="CR290" s="249"/>
      <c r="CU290" s="249"/>
      <c r="CX290" s="249"/>
      <c r="DA290" s="249"/>
      <c r="DD290" s="249"/>
      <c r="DG290" s="249"/>
      <c r="DJ290" s="249"/>
      <c r="DM290" s="249"/>
      <c r="DP290" s="249"/>
      <c r="DS290" s="249"/>
      <c r="DV290" s="249"/>
      <c r="DY290" s="249"/>
      <c r="EB290" s="249"/>
      <c r="EE290" s="249"/>
      <c r="EH290" s="249"/>
      <c r="EK290" s="249"/>
      <c r="EN290" s="249"/>
      <c r="EQ290" s="249"/>
      <c r="ET290" s="249"/>
      <c r="EW290" s="249"/>
      <c r="EZ290" s="249"/>
      <c r="FC290" s="249"/>
      <c r="FF290" s="249"/>
      <c r="FI290" s="249"/>
      <c r="FL290" s="249"/>
      <c r="FO290" s="249"/>
      <c r="FR290" s="249"/>
      <c r="FU290" s="249"/>
      <c r="FX290" s="249"/>
      <c r="GA290" s="249"/>
      <c r="GD290" s="249"/>
      <c r="GG290" s="249"/>
      <c r="GJ290" s="249"/>
      <c r="GM290" s="249"/>
      <c r="GP290" s="249"/>
      <c r="GS290" s="249"/>
      <c r="GV290" s="249"/>
      <c r="GY290" s="249"/>
      <c r="HB290" s="249"/>
      <c r="HE290" s="249"/>
    </row>
    <row r="291" spans="1:213" x14ac:dyDescent="0.2">
      <c r="A291" s="249" t="s">
        <v>119</v>
      </c>
      <c r="B291" s="283">
        <v>1</v>
      </c>
      <c r="C291" s="249" t="s">
        <v>113</v>
      </c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W291" s="249"/>
      <c r="Z291" s="249"/>
      <c r="AC291" s="249"/>
      <c r="AD291" s="249"/>
      <c r="AE291" s="249"/>
      <c r="AF291" s="249"/>
      <c r="AG291" s="249"/>
      <c r="AJ291" s="249"/>
      <c r="AM291" s="249"/>
      <c r="AP291" s="249"/>
      <c r="AS291" s="249"/>
      <c r="AV291" s="249"/>
      <c r="AY291" s="249"/>
      <c r="BB291" s="249"/>
      <c r="BE291" s="249"/>
      <c r="BH291" s="249"/>
      <c r="BK291" s="249"/>
      <c r="BN291" s="249"/>
      <c r="BQ291" s="249"/>
      <c r="BT291" s="249"/>
      <c r="BW291" s="249"/>
      <c r="BZ291" s="249"/>
      <c r="CC291" s="249"/>
      <c r="CF291" s="249"/>
      <c r="CI291" s="249"/>
      <c r="CL291" s="249"/>
      <c r="CO291" s="249"/>
      <c r="CR291" s="249"/>
      <c r="CU291" s="249"/>
      <c r="CX291" s="249"/>
      <c r="DA291" s="249"/>
      <c r="DD291" s="249"/>
      <c r="DG291" s="249"/>
      <c r="DJ291" s="249"/>
      <c r="DM291" s="249"/>
      <c r="DP291" s="249"/>
      <c r="DS291" s="249"/>
      <c r="DV291" s="249"/>
      <c r="DY291" s="249"/>
      <c r="EB291" s="249"/>
      <c r="EE291" s="249"/>
      <c r="EH291" s="249"/>
      <c r="EK291" s="249"/>
      <c r="EN291" s="249"/>
      <c r="EQ291" s="249"/>
      <c r="ET291" s="249"/>
      <c r="EW291" s="249"/>
      <c r="EZ291" s="249"/>
      <c r="FC291" s="249"/>
      <c r="FF291" s="249"/>
      <c r="FI291" s="249"/>
      <c r="FL291" s="249"/>
      <c r="FO291" s="249"/>
      <c r="FR291" s="249"/>
      <c r="FU291" s="249"/>
      <c r="FX291" s="249"/>
      <c r="GA291" s="249"/>
      <c r="GD291" s="249"/>
      <c r="GG291" s="249"/>
      <c r="GJ291" s="249"/>
      <c r="GM291" s="249"/>
      <c r="GP291" s="249"/>
      <c r="GS291" s="249"/>
      <c r="GV291" s="249"/>
      <c r="GY291" s="249"/>
      <c r="HB291" s="249"/>
      <c r="HE291" s="249"/>
    </row>
  </sheetData>
  <mergeCells count="335">
    <mergeCell ref="CC35:CG38"/>
    <mergeCell ref="BK40:BO43"/>
    <mergeCell ref="AF42:AH44"/>
    <mergeCell ref="A281:C281"/>
    <mergeCell ref="FW1:FY1"/>
    <mergeCell ref="D41:F41"/>
    <mergeCell ref="BA21:BA23"/>
    <mergeCell ref="BB21:BB23"/>
    <mergeCell ref="BC21:BC23"/>
    <mergeCell ref="BD21:BD23"/>
    <mergeCell ref="BE21:BE23"/>
    <mergeCell ref="BF21:BF23"/>
    <mergeCell ref="BJ21:BJ23"/>
    <mergeCell ref="BK21:BK23"/>
    <mergeCell ref="BL21:BL23"/>
    <mergeCell ref="AL21:AL23"/>
    <mergeCell ref="AM21:AM23"/>
    <mergeCell ref="AN21:AN23"/>
    <mergeCell ref="AR21:AR23"/>
    <mergeCell ref="AS21:AS23"/>
    <mergeCell ref="AT21:AT23"/>
    <mergeCell ref="AU21:AU23"/>
    <mergeCell ref="AV21:AV23"/>
    <mergeCell ref="BD20:BF20"/>
    <mergeCell ref="BJ20:BL20"/>
    <mergeCell ref="AW21:AW23"/>
    <mergeCell ref="M21:M23"/>
    <mergeCell ref="N21:N23"/>
    <mergeCell ref="O21:O23"/>
    <mergeCell ref="P21:P23"/>
    <mergeCell ref="Q21:Q23"/>
    <mergeCell ref="R21:R23"/>
    <mergeCell ref="AI21:AI23"/>
    <mergeCell ref="AJ21:AJ23"/>
    <mergeCell ref="AK21:AK23"/>
    <mergeCell ref="V23:X23"/>
    <mergeCell ref="Y23:AA23"/>
    <mergeCell ref="A230:C230"/>
    <mergeCell ref="AR2:AR4"/>
    <mergeCell ref="Q2:Q4"/>
    <mergeCell ref="R2:R4"/>
    <mergeCell ref="S2:S4"/>
    <mergeCell ref="T2:T4"/>
    <mergeCell ref="U2:U4"/>
    <mergeCell ref="V1:X1"/>
    <mergeCell ref="Y1:AA1"/>
    <mergeCell ref="AB1:AB4"/>
    <mergeCell ref="AI1:AK1"/>
    <mergeCell ref="AL1:AN1"/>
    <mergeCell ref="AO1:AQ1"/>
    <mergeCell ref="AR1:AT1"/>
    <mergeCell ref="M20:O20"/>
    <mergeCell ref="P20:R20"/>
    <mergeCell ref="AI20:AK20"/>
    <mergeCell ref="AL20:AN20"/>
    <mergeCell ref="AR20:AT20"/>
    <mergeCell ref="D29:F29"/>
    <mergeCell ref="AN2:AN4"/>
    <mergeCell ref="AO2:AO4"/>
    <mergeCell ref="AP2:AP4"/>
    <mergeCell ref="AQ2:AQ4"/>
    <mergeCell ref="A132:C132"/>
    <mergeCell ref="A218:C218"/>
    <mergeCell ref="AU20:AW20"/>
    <mergeCell ref="BA20:BC20"/>
    <mergeCell ref="BB2:BB4"/>
    <mergeCell ref="BC2:BC4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242:C242"/>
    <mergeCell ref="A254:C254"/>
    <mergeCell ref="A268:C268"/>
    <mergeCell ref="D1:F1"/>
    <mergeCell ref="G1:I1"/>
    <mergeCell ref="J1:L1"/>
    <mergeCell ref="M1:O1"/>
    <mergeCell ref="P1:R1"/>
    <mergeCell ref="S1:U1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A1:C1"/>
    <mergeCell ref="A50:C50"/>
    <mergeCell ref="A98:C98"/>
    <mergeCell ref="A14:C17"/>
    <mergeCell ref="A2:C2"/>
    <mergeCell ref="AS2:AS4"/>
    <mergeCell ref="AT2:AT4"/>
    <mergeCell ref="AU2:AU4"/>
    <mergeCell ref="AV2:AV4"/>
    <mergeCell ref="AW2:AW4"/>
    <mergeCell ref="AX2:AX4"/>
    <mergeCell ref="AY2:AY4"/>
    <mergeCell ref="BA1:BC1"/>
    <mergeCell ref="BD1:BF1"/>
    <mergeCell ref="BD2:BD4"/>
    <mergeCell ref="BE2:BE4"/>
    <mergeCell ref="BF2:BF4"/>
    <mergeCell ref="AU1:AW1"/>
    <mergeCell ref="AX1:AZ1"/>
    <mergeCell ref="AZ2:AZ4"/>
    <mergeCell ref="BA2:BA4"/>
    <mergeCell ref="BG1:BI1"/>
    <mergeCell ref="BJ1:BL1"/>
    <mergeCell ref="BM1:BO1"/>
    <mergeCell ref="BP1:BR1"/>
    <mergeCell ref="BS1:BU1"/>
    <mergeCell ref="BV1:BX1"/>
    <mergeCell ref="BY1:CA1"/>
    <mergeCell ref="CB1:CD1"/>
    <mergeCell ref="CE1:CG1"/>
    <mergeCell ref="CH1:CJ1"/>
    <mergeCell ref="CK1:CM1"/>
    <mergeCell ref="CN1:CP1"/>
    <mergeCell ref="CQ1:CS1"/>
    <mergeCell ref="CT1:CV1"/>
    <mergeCell ref="CW1:CY1"/>
    <mergeCell ref="CZ1:DB1"/>
    <mergeCell ref="DC1:DE1"/>
    <mergeCell ref="DF1:DH1"/>
    <mergeCell ref="DI1:DK1"/>
    <mergeCell ref="DL1:DN1"/>
    <mergeCell ref="DO1:DQ1"/>
    <mergeCell ref="DR1:DT1"/>
    <mergeCell ref="DU1:DW1"/>
    <mergeCell ref="DX1:DZ1"/>
    <mergeCell ref="EA1:EC1"/>
    <mergeCell ref="ED1:EF1"/>
    <mergeCell ref="EG1:EI1"/>
    <mergeCell ref="EJ1:EL1"/>
    <mergeCell ref="EM1:EO1"/>
    <mergeCell ref="EP1:ER1"/>
    <mergeCell ref="ES1:EU1"/>
    <mergeCell ref="EV1:EX1"/>
    <mergeCell ref="EY1:FA1"/>
    <mergeCell ref="FB1:FD1"/>
    <mergeCell ref="FE1:FG1"/>
    <mergeCell ref="FH1:FJ1"/>
    <mergeCell ref="FK1:FM1"/>
    <mergeCell ref="FN1:FP1"/>
    <mergeCell ref="FQ1:FS1"/>
    <mergeCell ref="FT1:FV1"/>
    <mergeCell ref="FZ1:GB1"/>
    <mergeCell ref="GC1:GE1"/>
    <mergeCell ref="GF1:GH1"/>
    <mergeCell ref="GI1:GK1"/>
    <mergeCell ref="GL1:GN1"/>
    <mergeCell ref="GO1:GQ1"/>
    <mergeCell ref="GR1:GT1"/>
    <mergeCell ref="GU1:GW1"/>
    <mergeCell ref="GX1:GZ1"/>
    <mergeCell ref="HA1:HC1"/>
    <mergeCell ref="HD1:HF1"/>
    <mergeCell ref="BG2:BG4"/>
    <mergeCell ref="BH2:BH4"/>
    <mergeCell ref="BI2:BI4"/>
    <mergeCell ref="BJ2:BJ4"/>
    <mergeCell ref="BK2:BK4"/>
    <mergeCell ref="BL2:BL4"/>
    <mergeCell ref="BM2:BM4"/>
    <mergeCell ref="BN2:BN4"/>
    <mergeCell ref="BO2:BO4"/>
    <mergeCell ref="BP2:BP4"/>
    <mergeCell ref="BQ2:BQ4"/>
    <mergeCell ref="BR2:BR4"/>
    <mergeCell ref="BV2:BV4"/>
    <mergeCell ref="BW2:BW4"/>
    <mergeCell ref="BX2:BX4"/>
    <mergeCell ref="BY2:BY4"/>
    <mergeCell ref="BZ2:BZ4"/>
    <mergeCell ref="CA2:CA4"/>
    <mergeCell ref="CB2:CB4"/>
    <mergeCell ref="CC2:CC4"/>
    <mergeCell ref="CD2:CD4"/>
    <mergeCell ref="CE2:CE4"/>
    <mergeCell ref="CF2:CF4"/>
    <mergeCell ref="CG2:CG4"/>
    <mergeCell ref="CH2:CH4"/>
    <mergeCell ref="CI2:CI4"/>
    <mergeCell ref="CJ2:CJ4"/>
    <mergeCell ref="CK2:CK4"/>
    <mergeCell ref="CL2:CL4"/>
    <mergeCell ref="CM2:CM4"/>
    <mergeCell ref="CN2:CN4"/>
    <mergeCell ref="CO2:CO4"/>
    <mergeCell ref="CP2:CP4"/>
    <mergeCell ref="CQ2:CQ4"/>
    <mergeCell ref="CR2:CR4"/>
    <mergeCell ref="CS2:CS4"/>
    <mergeCell ref="DC2:DC4"/>
    <mergeCell ref="DD2:DD4"/>
    <mergeCell ref="DE2:DE4"/>
    <mergeCell ref="DF2:DF4"/>
    <mergeCell ref="DG2:DG4"/>
    <mergeCell ref="DH2:DH4"/>
    <mergeCell ref="DI2:DI4"/>
    <mergeCell ref="DJ2:DJ4"/>
    <mergeCell ref="DK2:DK4"/>
    <mergeCell ref="DL2:DL4"/>
    <mergeCell ref="DM2:DM4"/>
    <mergeCell ref="DN2:DN4"/>
    <mergeCell ref="DO2:DO4"/>
    <mergeCell ref="DP2:DP4"/>
    <mergeCell ref="DQ2:DQ4"/>
    <mergeCell ref="DR2:DR4"/>
    <mergeCell ref="DS2:DS4"/>
    <mergeCell ref="DT2:DT4"/>
    <mergeCell ref="DU2:DU4"/>
    <mergeCell ref="DV2:DV4"/>
    <mergeCell ref="DW2:DW4"/>
    <mergeCell ref="DX2:DX4"/>
    <mergeCell ref="DY2:DY4"/>
    <mergeCell ref="DZ2:DZ4"/>
    <mergeCell ref="EA2:EA4"/>
    <mergeCell ref="EB2:EB4"/>
    <mergeCell ref="EC2:EC4"/>
    <mergeCell ref="ED2:ED4"/>
    <mergeCell ref="EE2:EE4"/>
    <mergeCell ref="EF2:EF4"/>
    <mergeCell ref="EG2:EG4"/>
    <mergeCell ref="EH2:EH4"/>
    <mergeCell ref="EI2:EI4"/>
    <mergeCell ref="EJ2:EJ4"/>
    <mergeCell ref="EK2:EK4"/>
    <mergeCell ref="EL2:EL4"/>
    <mergeCell ref="EM2:EM4"/>
    <mergeCell ref="EN2:EN4"/>
    <mergeCell ref="EO2:EO4"/>
    <mergeCell ref="EP2:EP4"/>
    <mergeCell ref="EQ2:EQ4"/>
    <mergeCell ref="ER2:ER4"/>
    <mergeCell ref="ES2:ES4"/>
    <mergeCell ref="ET2:ET4"/>
    <mergeCell ref="EU2:EU4"/>
    <mergeCell ref="EV2:EV4"/>
    <mergeCell ref="EW2:EW4"/>
    <mergeCell ref="EX2:EX4"/>
    <mergeCell ref="EY2:EY4"/>
    <mergeCell ref="EZ2:EZ4"/>
    <mergeCell ref="FA2:FA4"/>
    <mergeCell ref="FB2:FB4"/>
    <mergeCell ref="FC2:FC4"/>
    <mergeCell ref="FD2:FD4"/>
    <mergeCell ref="FE2:FE4"/>
    <mergeCell ref="FF2:FF4"/>
    <mergeCell ref="FG2:FG4"/>
    <mergeCell ref="FH2:FH4"/>
    <mergeCell ref="FI2:FI4"/>
    <mergeCell ref="FJ2:FJ4"/>
    <mergeCell ref="FK2:FK4"/>
    <mergeCell ref="FL2:FL4"/>
    <mergeCell ref="FM2:FM4"/>
    <mergeCell ref="FN2:FN4"/>
    <mergeCell ref="FO2:FO4"/>
    <mergeCell ref="FP2:FP4"/>
    <mergeCell ref="FQ2:FQ4"/>
    <mergeCell ref="FR2:FR4"/>
    <mergeCell ref="FS2:FS4"/>
    <mergeCell ref="FT2:FT4"/>
    <mergeCell ref="FU2:FU4"/>
    <mergeCell ref="FV2:FV4"/>
    <mergeCell ref="GZ2:GZ4"/>
    <mergeCell ref="HA2:HA4"/>
    <mergeCell ref="HB2:HB4"/>
    <mergeCell ref="HC2:HC4"/>
    <mergeCell ref="CS19:CS21"/>
    <mergeCell ref="GO2:GO4"/>
    <mergeCell ref="GP2:GP4"/>
    <mergeCell ref="GQ2:GQ4"/>
    <mergeCell ref="GR2:GR4"/>
    <mergeCell ref="GS2:GS4"/>
    <mergeCell ref="GT2:GT4"/>
    <mergeCell ref="GU2:GU4"/>
    <mergeCell ref="GV2:GV4"/>
    <mergeCell ref="GW2:GW4"/>
    <mergeCell ref="GF2:GF4"/>
    <mergeCell ref="GG2:GG4"/>
    <mergeCell ref="GX2:GX4"/>
    <mergeCell ref="GY2:GY4"/>
    <mergeCell ref="GH2:GH4"/>
    <mergeCell ref="GI2:GI4"/>
    <mergeCell ref="GJ2:GJ4"/>
    <mergeCell ref="GK2:GK4"/>
    <mergeCell ref="GL2:GL4"/>
    <mergeCell ref="GM2:GM4"/>
    <mergeCell ref="GN2:GN4"/>
    <mergeCell ref="FW2:FW4"/>
    <mergeCell ref="FX2:FX4"/>
    <mergeCell ref="FY2:FY4"/>
    <mergeCell ref="FZ2:FZ4"/>
    <mergeCell ref="GA2:GA4"/>
    <mergeCell ref="GB2:GB4"/>
    <mergeCell ref="GC2:GC4"/>
    <mergeCell ref="GD2:GD4"/>
    <mergeCell ref="GE2:GE4"/>
    <mergeCell ref="CN18:CP18"/>
    <mergeCell ref="CQ18:CS18"/>
    <mergeCell ref="CK18:CM18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BM20:BO20"/>
    <mergeCell ref="BM21:BM23"/>
    <mergeCell ref="BN21:BN23"/>
    <mergeCell ref="BO21:BO23"/>
    <mergeCell ref="HD21:HF21"/>
    <mergeCell ref="CK19:CK21"/>
    <mergeCell ref="CL19:CL21"/>
    <mergeCell ref="CM19:CM21"/>
    <mergeCell ref="CN19:CN21"/>
    <mergeCell ref="CO19:CO21"/>
    <mergeCell ref="CP19:CP21"/>
    <mergeCell ref="CQ19:CQ21"/>
    <mergeCell ref="CR19:CR2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3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13" style="249" bestFit="1" customWidth="1"/>
    <col min="3" max="3" width="20.140625" style="249" bestFit="1" customWidth="1"/>
    <col min="4" max="4" width="10" style="249" bestFit="1" customWidth="1"/>
    <col min="5" max="5" width="13" style="289" bestFit="1" customWidth="1"/>
    <col min="6" max="6" width="20.140625" style="249" bestFit="1" customWidth="1"/>
    <col min="7" max="7" width="15" style="249" bestFit="1" customWidth="1"/>
    <col min="8" max="8" width="12" style="289" bestFit="1" customWidth="1"/>
    <col min="9" max="9" width="14.42578125" style="249" bestFit="1" customWidth="1"/>
    <col min="10" max="10" width="15" style="249" bestFit="1" customWidth="1"/>
    <col min="11" max="11" width="13" style="289" bestFit="1" customWidth="1"/>
    <col min="12" max="12" width="17.140625" style="249" bestFit="1" customWidth="1"/>
    <col min="13" max="13" width="11" style="249" bestFit="1" customWidth="1"/>
    <col min="14" max="14" width="13" style="289" bestFit="1" customWidth="1"/>
    <col min="15" max="15" width="21.28515625" style="249" bestFit="1" customWidth="1"/>
    <col min="16" max="16" width="12.42578125" style="249" bestFit="1" customWidth="1"/>
    <col min="17" max="17" width="13" style="289" bestFit="1" customWidth="1"/>
    <col min="18" max="18" width="18.7109375" style="249" bestFit="1" customWidth="1"/>
    <col min="19" max="19" width="13.5703125" style="249" bestFit="1" customWidth="1"/>
    <col min="20" max="20" width="13" style="289" bestFit="1" customWidth="1"/>
    <col min="21" max="21" width="18.7109375" style="249" bestFit="1" customWidth="1"/>
    <col min="22" max="22" width="10" style="249" bestFit="1" customWidth="1"/>
    <col min="23" max="23" width="13" style="289" bestFit="1" customWidth="1"/>
    <col min="24" max="24" width="17.42578125" style="249" bestFit="1" customWidth="1"/>
    <col min="25" max="25" width="10" style="249" bestFit="1" customWidth="1"/>
    <col min="26" max="26" width="13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13" style="289" bestFit="1" customWidth="1"/>
    <col min="37" max="37" width="17.42578125" style="249" bestFit="1" customWidth="1"/>
    <col min="38" max="38" width="11" style="249" bestFit="1" customWidth="1"/>
    <col min="39" max="39" width="13" style="289" bestFit="1" customWidth="1"/>
    <col min="40" max="40" width="16.42578125" style="249" bestFit="1" customWidth="1"/>
    <col min="41" max="41" width="12.7109375" style="249" bestFit="1" customWidth="1"/>
    <col min="42" max="42" width="13" style="289" bestFit="1" customWidth="1"/>
    <col min="43" max="43" width="16.42578125" style="249" bestFit="1" customWidth="1"/>
    <col min="44" max="44" width="9.5703125" style="249" bestFit="1" customWidth="1"/>
    <col min="45" max="45" width="13" style="289" bestFit="1" customWidth="1"/>
    <col min="46" max="46" width="17.42578125" style="249" bestFit="1" customWidth="1"/>
    <col min="47" max="47" width="11" style="249" bestFit="1" customWidth="1"/>
    <col min="48" max="48" width="13" style="289" bestFit="1" customWidth="1"/>
    <col min="49" max="49" width="16.42578125" style="249" bestFit="1" customWidth="1"/>
    <col min="50" max="50" width="12.7109375" style="249" bestFit="1" customWidth="1"/>
    <col min="51" max="51" width="13" style="289" bestFit="1" customWidth="1"/>
    <col min="52" max="52" width="16.42578125" style="249" bestFit="1" customWidth="1"/>
    <col min="53" max="53" width="9.5703125" style="249" bestFit="1" customWidth="1"/>
    <col min="54" max="54" width="13" style="289" bestFit="1" customWidth="1"/>
    <col min="55" max="55" width="17.42578125" style="249" bestFit="1" customWidth="1"/>
    <col min="56" max="56" width="11" style="249" bestFit="1" customWidth="1"/>
    <col min="57" max="57" width="13" style="289" bestFit="1" customWidth="1"/>
    <col min="58" max="58" width="16.42578125" style="249" bestFit="1" customWidth="1"/>
    <col min="59" max="59" width="12.7109375" style="249" bestFit="1" customWidth="1"/>
    <col min="60" max="60" width="13" style="289" bestFit="1" customWidth="1"/>
    <col min="61" max="61" width="16.42578125" style="249" bestFit="1" customWidth="1"/>
    <col min="62" max="62" width="11" style="249" bestFit="1" customWidth="1"/>
    <col min="63" max="63" width="13" style="289" bestFit="1" customWidth="1"/>
    <col min="64" max="64" width="17.42578125" style="249" bestFit="1" customWidth="1"/>
    <col min="65" max="65" width="12.42578125" style="249" bestFit="1" customWidth="1"/>
    <col min="66" max="66" width="13" style="289" bestFit="1" customWidth="1"/>
    <col min="67" max="67" width="16.42578125" style="249" bestFit="1" customWidth="1"/>
    <col min="68" max="68" width="13.5703125" style="249" bestFit="1" customWidth="1"/>
    <col min="69" max="69" width="13" style="289" bestFit="1" customWidth="1"/>
    <col min="70" max="70" width="16.42578125" style="249" bestFit="1" customWidth="1"/>
    <col min="71" max="71" width="10" style="249" bestFit="1" customWidth="1"/>
    <col min="72" max="72" width="13" style="289" bestFit="1" customWidth="1"/>
    <col min="73" max="73" width="17.42578125" style="249" bestFit="1" customWidth="1"/>
    <col min="74" max="74" width="11.5703125" style="249" bestFit="1" customWidth="1"/>
    <col min="75" max="75" width="13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13" style="289" bestFit="1" customWidth="1"/>
    <col min="82" max="82" width="17.42578125" style="249" bestFit="1" customWidth="1"/>
    <col min="83" max="83" width="12.42578125" style="249" bestFit="1" customWidth="1"/>
    <col min="84" max="84" width="13" style="289" bestFit="1" customWidth="1"/>
    <col min="85" max="85" width="16.42578125" style="249" bestFit="1" customWidth="1"/>
    <col min="86" max="86" width="13.5703125" style="249" bestFit="1" customWidth="1"/>
    <col min="87" max="87" width="13" style="289" bestFit="1" customWidth="1"/>
    <col min="88" max="88" width="16.42578125" style="249" bestFit="1" customWidth="1"/>
    <col min="89" max="89" width="8.7109375" style="249" bestFit="1" customWidth="1"/>
    <col min="90" max="90" width="13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" style="249" bestFit="1" customWidth="1"/>
    <col min="98" max="98" width="14.5703125" style="249" bestFit="1" customWidth="1"/>
    <col min="99" max="99" width="13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13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5.57031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13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" style="249" bestFit="1" customWidth="1"/>
    <col min="128" max="128" width="12" style="249" bestFit="1" customWidth="1"/>
    <col min="129" max="129" width="9.28515625" style="289" bestFit="1" customWidth="1"/>
    <col min="130" max="130" width="5.57031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" style="249" bestFit="1" customWidth="1"/>
    <col min="143" max="143" width="12" style="249" bestFit="1" customWidth="1"/>
    <col min="144" max="144" width="8.85546875" style="289" bestFit="1" customWidth="1"/>
    <col min="145" max="145" width="5.5703125" style="249" bestFit="1" customWidth="1"/>
    <col min="146" max="146" width="12" style="249" bestFit="1" customWidth="1"/>
    <col min="147" max="147" width="8.85546875" style="289" bestFit="1" customWidth="1"/>
    <col min="148" max="148" width="5.57031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" style="249" bestFit="1" customWidth="1"/>
    <col min="158" max="158" width="8.5703125" style="249" bestFit="1" customWidth="1"/>
    <col min="159" max="159" width="9.28515625" style="289" bestFit="1" customWidth="1"/>
    <col min="160" max="160" width="5.5703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5.5703125" style="249" bestFit="1" customWidth="1"/>
    <col min="173" max="173" width="4.85546875" style="249" bestFit="1" customWidth="1"/>
    <col min="174" max="174" width="9.28515625" style="289" bestFit="1" customWidth="1"/>
    <col min="175" max="175" width="5.5703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" style="249" bestFit="1" customWidth="1"/>
    <col min="188" max="188" width="12" style="249" bestFit="1" customWidth="1"/>
    <col min="189" max="189" width="8.85546875" style="289" bestFit="1" customWidth="1"/>
    <col min="190" max="190" width="5.5703125" style="249" bestFit="1" customWidth="1"/>
    <col min="191" max="191" width="12" style="249" bestFit="1" customWidth="1"/>
    <col min="192" max="192" width="8.8554687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" style="249" bestFit="1" customWidth="1"/>
    <col min="203" max="203" width="12" style="249" bestFit="1" customWidth="1"/>
    <col min="204" max="204" width="8.85546875" style="289" bestFit="1" customWidth="1"/>
    <col min="205" max="205" width="5.5703125" style="249" bestFit="1" customWidth="1"/>
    <col min="206" max="206" width="12" style="249" bestFit="1" customWidth="1"/>
    <col min="207" max="207" width="8.8554687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thickTop="1" thickBot="1" x14ac:dyDescent="0.25">
      <c r="A1" s="603" t="s">
        <v>0</v>
      </c>
      <c r="B1" s="604"/>
      <c r="C1" s="605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1/((1/H10)+(1/H12)+(1/H13))</f>
        <v>1.223153107447226E-2</v>
      </c>
      <c r="I2" s="625" t="s">
        <v>304</v>
      </c>
      <c r="J2" s="619" t="s">
        <v>507</v>
      </c>
      <c r="K2" s="623">
        <f>1/((1/K14)+(1/K15)+(1/K16)+(1/K17))</f>
        <v>1.7373968109887113E-3</v>
      </c>
      <c r="L2" s="621" t="s">
        <v>303</v>
      </c>
      <c r="M2" s="617" t="s">
        <v>516</v>
      </c>
      <c r="N2" s="647">
        <f>((N5*N6*N7)/((1-EXP(-N7*N6))*N10*N15*(N9/365)*N13*(((N14/24)*N12)+((N16/24)*N11))))/N17</f>
        <v>0.15797625342843885</v>
      </c>
      <c r="O2" s="615" t="s">
        <v>303</v>
      </c>
      <c r="P2" s="639" t="s">
        <v>516</v>
      </c>
      <c r="Q2" s="647">
        <f>((Q5*Q6*Q7)/((1-EXP(-Q7*Q6))*Q10*Q15*(Q9/365)*Q13*(((Q14/24)*Q12)+((Q16/24)*Q11))))/Q17</f>
        <v>0.31782998355297126</v>
      </c>
      <c r="R2" s="637" t="s">
        <v>303</v>
      </c>
      <c r="S2" s="641" t="s">
        <v>516</v>
      </c>
      <c r="T2" s="647">
        <f>((T5*T6*T7)/((1-EXP(-T7*T6))*T10*T15*(T9/365)*T13*(((T14/24)*T12)+((T16/24)*T11))))/T17</f>
        <v>0.15797625342843885</v>
      </c>
      <c r="U2" s="643" t="s">
        <v>303</v>
      </c>
      <c r="V2" s="55"/>
      <c r="W2" s="357"/>
      <c r="X2" s="56"/>
      <c r="Y2" s="57"/>
      <c r="Z2" s="357"/>
      <c r="AA2" s="58"/>
      <c r="AB2" s="650"/>
      <c r="AC2" s="660">
        <f>1/((1/AC32)+(1/AC33)+(1/AC34))</f>
        <v>0.17290494286671035</v>
      </c>
      <c r="AD2" s="657">
        <f>1/((1/AD32)+(1/AD33)+(1/AD34))</f>
        <v>0.39693831266829244</v>
      </c>
      <c r="AE2" s="657">
        <f>1/((1/AE32)+(1/AE33)+(1/AE34))</f>
        <v>0.19211660318523371</v>
      </c>
      <c r="AF2" s="657">
        <f>1/((1/AF32)+(1/AF33)+(1/AF34))</f>
        <v>0.28324716918713094</v>
      </c>
      <c r="AG2" s="654">
        <f>1/((1/AG32)+(1/AG33)+(1/AG34))</f>
        <v>5.5878677963972025</v>
      </c>
      <c r="AH2" s="652" t="s">
        <v>303</v>
      </c>
      <c r="AI2" s="381" t="s">
        <v>516</v>
      </c>
      <c r="AJ2" s="387">
        <f>((AJ5*AJ6*AJ7)/((1-EXP(-AJ7*AJ6))*AJ15*(AJ9/365)*AJ10*(AJ16/24)*AJ11*AJ13))/AJ17</f>
        <v>0.59744399463191522</v>
      </c>
      <c r="AK2" s="629" t="s">
        <v>303</v>
      </c>
      <c r="AL2" s="383" t="s">
        <v>516</v>
      </c>
      <c r="AM2" s="387">
        <f>((AM5*AM6*AM7)/((1-EXP(-AM7*AM6))*AM15*(AM9/365)*AM10*(AM16/24)*AM11*AM13))/AM17</f>
        <v>1.2019883423409503</v>
      </c>
      <c r="AN2" s="629" t="s">
        <v>303</v>
      </c>
      <c r="AO2" s="383" t="s">
        <v>516</v>
      </c>
      <c r="AP2" s="387">
        <f>((AP5*AP6*AP7)/((1-EXP(-AP7*AP6))*AP15*(AP9/365)*AP10*(AP16/24)*AP11*AP13))/AP17</f>
        <v>0.59744399463191522</v>
      </c>
      <c r="AQ2" s="635" t="s">
        <v>303</v>
      </c>
      <c r="AR2" s="381" t="s">
        <v>516</v>
      </c>
      <c r="AS2" s="387">
        <f>((AS5*AS6*AS7)/((1-EXP(-AS7*AS6))*AS15*(AS9/365)*AS10*(AS14/24)*AS12*AS13))/AS17</f>
        <v>0.2655306642808512</v>
      </c>
      <c r="AT2" s="391" t="s">
        <v>303</v>
      </c>
      <c r="AU2" s="383" t="s">
        <v>516</v>
      </c>
      <c r="AV2" s="387">
        <f>((AV5*AV6*AV7)/((1-EXP(-AV7*AV6))*AV15*(AV9/365)*AV10*(AV14/24)*AV12*AV13))/AV17</f>
        <v>0.53421704104042234</v>
      </c>
      <c r="AW2" s="391" t="s">
        <v>303</v>
      </c>
      <c r="AX2" s="383" t="s">
        <v>516</v>
      </c>
      <c r="AY2" s="387">
        <f>((AY5*AY6*AY7)/((1-EXP(-AY7*AY6))*AY15*(AY9/365)*AY10*(AY14/24)*AY12*AY13))/AY17</f>
        <v>0.2655306642808512</v>
      </c>
      <c r="AZ2" s="385" t="s">
        <v>303</v>
      </c>
      <c r="BA2" s="381" t="s">
        <v>516</v>
      </c>
      <c r="BB2" s="387">
        <f>((BB5*BB6*BB7)/((1-EXP(-BB7*BB6))*BB15*(BB9/365)*BB10*((BB14+BB16)/24)*BB12*BB13))/BB17</f>
        <v>0.23897759785276612</v>
      </c>
      <c r="BC2" s="391" t="s">
        <v>303</v>
      </c>
      <c r="BD2" s="383" t="s">
        <v>516</v>
      </c>
      <c r="BE2" s="387">
        <f>((BE5*BE6*BE7)/((1-EXP(-BE7*BE6))*BE15*(BE9/365)*BE10*((BE14+BE16)/24)*BE12*BE13))/BE17</f>
        <v>0.48079533693638016</v>
      </c>
      <c r="BF2" s="391" t="s">
        <v>303</v>
      </c>
      <c r="BG2" s="383" t="s">
        <v>516</v>
      </c>
      <c r="BH2" s="387">
        <f>((BH5*BH6*BH7)/((1-EXP(-BH7*BH6))*BH15*(BH9/365)*BH10*((BH14+BH16)/24)*BH12*BH13))/BH17</f>
        <v>0.23897759785276612</v>
      </c>
      <c r="BI2" s="385" t="s">
        <v>303</v>
      </c>
      <c r="BJ2" s="381" t="s">
        <v>558</v>
      </c>
      <c r="BK2" s="389">
        <f>((BK5*BK6*BK7)/((1-EXP(-BK7*BK6))*BK12*BK16*(BK9/365)*BK14*(BK15/24)*BK13))/BK17</f>
        <v>62109.004404956919</v>
      </c>
      <c r="BL2" s="391" t="s">
        <v>303</v>
      </c>
      <c r="BM2" s="383" t="s">
        <v>559</v>
      </c>
      <c r="BN2" s="389">
        <f>((BN5*BN6*BN7)/((1-EXP(-BN7*BN6))*BN12*BN16*(BN9/365)*BN14*(BN15/24)*BN13))/BN17</f>
        <v>260852.47785773271</v>
      </c>
      <c r="BO2" s="391" t="s">
        <v>303</v>
      </c>
      <c r="BP2" s="383" t="s">
        <v>560</v>
      </c>
      <c r="BQ2" s="389">
        <f>((BQ5*BQ6*BQ7)/((1-EXP(-BQ7*BQ6))*BQ12*BQ16*(BQ9/365)*BQ14*(BQ15/24)*BQ13))/BQ17</f>
        <v>75335.583752511462</v>
      </c>
      <c r="BR2" s="385" t="s">
        <v>303</v>
      </c>
      <c r="BS2" s="59"/>
      <c r="BT2" s="110"/>
      <c r="BU2" s="250"/>
      <c r="BV2" s="402" t="s">
        <v>563</v>
      </c>
      <c r="BW2" s="400">
        <f>1/((1/BW10)+(1/BW11))</f>
        <v>3.6629930121023984</v>
      </c>
      <c r="BX2" s="404" t="s">
        <v>304</v>
      </c>
      <c r="BY2" s="402" t="s">
        <v>563</v>
      </c>
      <c r="BZ2" s="400">
        <f>1/((1/BZ13)+(1/BZ14)+(1/BZ15))</f>
        <v>0.85344962273738578</v>
      </c>
      <c r="CA2" s="398" t="s">
        <v>303</v>
      </c>
      <c r="CB2" s="410" t="s">
        <v>558</v>
      </c>
      <c r="CC2" s="400">
        <f>((CC5*CC6*CC7)/((1-EXP(-CC7*CC6))*CC10*CC14*(CC9/365)*CC12*(CC13/24)*CC11))/CC15</f>
        <v>33792.970728919747</v>
      </c>
      <c r="CD2" s="404" t="s">
        <v>303</v>
      </c>
      <c r="CE2" s="402" t="s">
        <v>559</v>
      </c>
      <c r="CF2" s="400">
        <f>((CF5*CF6*CF7)/((1-EXP(-CF7*CF6))*CF10*CF14*(CF9/365)*CF12*(CF13/24)*CF11))/CF15</f>
        <v>141927.57126387022</v>
      </c>
      <c r="CG2" s="404" t="s">
        <v>303</v>
      </c>
      <c r="CH2" s="402" t="s">
        <v>560</v>
      </c>
      <c r="CI2" s="400">
        <f>((CI5*CI6*CI7)/((1-EXP(-CI7*CI6))*CI10*CI14*(CI9/365)*CI12*(CI13/24)*CI11))/CI15</f>
        <v>40989.437859859194</v>
      </c>
      <c r="CJ2" s="398" t="s">
        <v>303</v>
      </c>
      <c r="CK2" s="410" t="s">
        <v>510</v>
      </c>
      <c r="CL2" s="400">
        <f>(CL5/(CL6*CL7*CL8*CL9))/CL10</f>
        <v>0.14205554371759371</v>
      </c>
      <c r="CM2" s="404" t="s">
        <v>303</v>
      </c>
      <c r="CN2" s="402" t="s">
        <v>7</v>
      </c>
      <c r="CO2" s="400">
        <f>(CL2/(CO5*((CO10*CO12*CO13*(CO6+CO7))+(CO11*CO12))))*CL13</f>
        <v>789.60720015332163</v>
      </c>
      <c r="CP2" s="412" t="s">
        <v>303</v>
      </c>
      <c r="CQ2" s="402" t="s">
        <v>6</v>
      </c>
      <c r="CR2" s="400">
        <f>CL2/(CR5*CR6*(1/CR7))</f>
        <v>23675.923952932284</v>
      </c>
      <c r="CS2" s="415" t="s">
        <v>304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((DD5)/(DD6*(DD7+DD10)*DD20))/DD23</f>
        <v>7.2319698367844982E-5</v>
      </c>
      <c r="DE2" s="672" t="s">
        <v>303</v>
      </c>
      <c r="DF2" s="670" t="s">
        <v>510</v>
      </c>
      <c r="DG2" s="668">
        <f>(DD2/((1/DG24)*(DG5+DG6+DG7)))</f>
        <v>5.682144444613387E-3</v>
      </c>
      <c r="DH2" s="666" t="s">
        <v>304</v>
      </c>
      <c r="DI2" s="680" t="s">
        <v>510</v>
      </c>
      <c r="DJ2" s="668">
        <f>(DD2/(DJ5+DJ6))*CU11</f>
        <v>2.8714682642715718E-4</v>
      </c>
      <c r="DK2" s="666" t="s">
        <v>304</v>
      </c>
      <c r="DL2" s="680" t="s">
        <v>554</v>
      </c>
      <c r="DM2" s="668">
        <f>(DD2/(DM5+DM6))*((DM9*DD21)/(1-EXP(-DD21*DM9)))</f>
        <v>2.8714682642715718E-4</v>
      </c>
      <c r="DN2" s="666" t="s">
        <v>304</v>
      </c>
      <c r="DO2" s="680" t="s">
        <v>553</v>
      </c>
      <c r="DP2" s="668">
        <f>-(DP5+DP6+DP7)/(DP23+DP24)</f>
        <v>-48.948458444089098</v>
      </c>
      <c r="DQ2" s="678" t="s">
        <v>19</v>
      </c>
      <c r="DR2" s="556" t="s">
        <v>510</v>
      </c>
      <c r="DS2" s="460">
        <f>(DS5/(DS6*DS7*DS16))/DS20</f>
        <v>4.588821010691594E-5</v>
      </c>
      <c r="DT2" s="466" t="s">
        <v>303</v>
      </c>
      <c r="DU2" s="464" t="s">
        <v>510</v>
      </c>
      <c r="DV2" s="462">
        <f>DS2/(DV5*(1/DV8)*DV6*(1/DV7))</f>
        <v>1223.2105696201713</v>
      </c>
      <c r="DW2" s="480" t="s">
        <v>304</v>
      </c>
      <c r="DX2" s="478" t="s">
        <v>510</v>
      </c>
      <c r="DY2" s="462">
        <f>(DS2/(DY9*(1/DY14)*((DY10*DY12*DY13*(DY5+DY6))+(DY11*DY12))))*CU11</f>
        <v>21.218869258281728</v>
      </c>
      <c r="DZ2" s="480" t="s">
        <v>304</v>
      </c>
      <c r="EA2" s="478" t="s">
        <v>554</v>
      </c>
      <c r="EB2" s="462">
        <f>(DS2/(EB9*(1/EB14)*((EB10*EB12*EB13*(EB5+EB6))+(EB11*EB12))))*((EB15*DS18)/(1-EXP(-DS18*EB15)))</f>
        <v>21.218869258281728</v>
      </c>
      <c r="EC2" s="480" t="s">
        <v>304</v>
      </c>
      <c r="ED2" s="478" t="s">
        <v>553</v>
      </c>
      <c r="EE2" s="462">
        <f>-EE15/((EE10*EE12*EE13*(EE5+EE6))+(EE11*EE12))</f>
        <v>-16.802282392818878</v>
      </c>
      <c r="EF2" s="476" t="s">
        <v>19</v>
      </c>
      <c r="EG2" s="474" t="s">
        <v>510</v>
      </c>
      <c r="EH2" s="472">
        <f>(EH5/(EH6*EH7*EH16))/EH20</f>
        <v>1.2577508740393829E-4</v>
      </c>
      <c r="EI2" s="470" t="s">
        <v>303</v>
      </c>
      <c r="EJ2" s="468" t="s">
        <v>510</v>
      </c>
      <c r="EK2" s="502">
        <f>EH2/(EK5*EK6*(1/EK7))</f>
        <v>4.7462297133561622</v>
      </c>
      <c r="EL2" s="500" t="s">
        <v>304</v>
      </c>
      <c r="EM2" s="504" t="s">
        <v>510</v>
      </c>
      <c r="EN2" s="502">
        <f>(EH2/(EN9*((EN10*EN12*EN13*(EN5+EN6))+(EN11*EN12))))*CU11</f>
        <v>7.5434625911017503E-2</v>
      </c>
      <c r="EO2" s="500" t="s">
        <v>303</v>
      </c>
      <c r="EP2" s="504" t="s">
        <v>554</v>
      </c>
      <c r="EQ2" s="502">
        <f>(EH2/(EQ9*((EQ10*EQ12*EQ13*(EQ5+EQ6))+(EQ11*EQ12))))*((EQ14*EH18)/(1-EXP(-EH18*EQ14)))</f>
        <v>7.5434625911017503E-2</v>
      </c>
      <c r="ER2" s="500" t="s">
        <v>304</v>
      </c>
      <c r="ES2" s="504" t="s">
        <v>553</v>
      </c>
      <c r="ET2" s="502">
        <f>-ET15/((ET10*ET12*ET13*(ET5+ET6))+(ET11*ET12))</f>
        <v>-15.39462998242915</v>
      </c>
      <c r="EU2" s="514" t="s">
        <v>19</v>
      </c>
      <c r="EV2" s="512" t="s">
        <v>510</v>
      </c>
      <c r="EW2" s="510">
        <f>(EW5/(EW6*EW7*EW16))/EW20</f>
        <v>4.2069436825494178E-4</v>
      </c>
      <c r="EX2" s="508" t="s">
        <v>303</v>
      </c>
      <c r="EY2" s="506" t="s">
        <v>510</v>
      </c>
      <c r="EZ2" s="494">
        <f>EW2/(EZ5*EZ6*(1/EZ7))</f>
        <v>350.57864021245143</v>
      </c>
      <c r="FA2" s="498" t="s">
        <v>304</v>
      </c>
      <c r="FB2" s="496" t="s">
        <v>510</v>
      </c>
      <c r="FC2" s="494">
        <f>(EW2/(FC9*((FC10*FC12*FC13*(FC5+FC6))+(FC11*FC12))))*CU11</f>
        <v>2.0106623229231961</v>
      </c>
      <c r="FD2" s="498" t="s">
        <v>303</v>
      </c>
      <c r="FE2" s="496" t="s">
        <v>554</v>
      </c>
      <c r="FF2" s="494">
        <f>(EW2/(FF9*((FF10*FF12*FF13*(FF5+FF6))+(FF11*FF12))))*((FF14*EW18)/(1-EXP(-EW18*FF14)))</f>
        <v>2.0106623229231961</v>
      </c>
      <c r="FG2" s="498" t="s">
        <v>304</v>
      </c>
      <c r="FH2" s="496" t="s">
        <v>553</v>
      </c>
      <c r="FI2" s="494">
        <f>-FI15/((FI10*FI12*FI13*(FI5+FI6))+(FI11*FI12))</f>
        <v>-5.5552160701290481</v>
      </c>
      <c r="FJ2" s="492" t="s">
        <v>19</v>
      </c>
      <c r="FK2" s="490" t="s">
        <v>510</v>
      </c>
      <c r="FL2" s="488">
        <f>(FL5/(FL6*FL7*FL16))/FL20</f>
        <v>1.4441506368112215E-4</v>
      </c>
      <c r="FM2" s="486" t="s">
        <v>303</v>
      </c>
      <c r="FN2" s="484" t="s">
        <v>510</v>
      </c>
      <c r="FO2" s="430">
        <f>FL2/(FO5*(1/FO6))</f>
        <v>6.0172943200467559E-4</v>
      </c>
      <c r="FP2" s="428" t="s">
        <v>304</v>
      </c>
      <c r="FQ2" s="482" t="s">
        <v>510</v>
      </c>
      <c r="FR2" s="430">
        <f>((FL2*FR6)/FR5)*CU11</f>
        <v>2.484928962521286E-6</v>
      </c>
      <c r="FS2" s="428" t="s">
        <v>303</v>
      </c>
      <c r="FT2" s="426" t="s">
        <v>554</v>
      </c>
      <c r="FU2" s="430">
        <f>((FL2*FU6)/FU5)*((FU7*FL18)/(1-EXP(-FL18*FU7)))</f>
        <v>2.484928962521286E-6</v>
      </c>
      <c r="FV2" s="428" t="s">
        <v>304</v>
      </c>
      <c r="FW2" s="426" t="s">
        <v>553</v>
      </c>
      <c r="FX2" s="430">
        <f>-FX5/FX6</f>
        <v>-4.0000000000000001E-3</v>
      </c>
      <c r="FY2" s="438" t="s">
        <v>19</v>
      </c>
      <c r="FZ2" s="436" t="s">
        <v>510</v>
      </c>
      <c r="GA2" s="434">
        <f>(GA5/(GA6*GA7*GA16))/GA20</f>
        <v>2.101572796064849E-4</v>
      </c>
      <c r="GB2" s="432" t="s">
        <v>303</v>
      </c>
      <c r="GC2" s="458" t="s">
        <v>510</v>
      </c>
      <c r="GD2" s="417">
        <f>(GA2/(GD5*GD6*(1/GD7)))</f>
        <v>87.565533169368692</v>
      </c>
      <c r="GE2" s="421" t="s">
        <v>304</v>
      </c>
      <c r="GF2" s="419" t="s">
        <v>510</v>
      </c>
      <c r="GG2" s="417">
        <f>(GA2/((GG9)*((GG10*GG12*GG13*(GG5+GG6))+(GG11*GG12))))*CU11</f>
        <v>0.50221176687671398</v>
      </c>
      <c r="GH2" s="421" t="s">
        <v>303</v>
      </c>
      <c r="GI2" s="419" t="s">
        <v>554</v>
      </c>
      <c r="GJ2" s="417">
        <f>(GA2/((GJ9)*((GJ10*GJ12*GJ13*(GJ5+GJ6))+(GJ11*GJ12))))*((GJ14*GA18)/(1-EXP(-GA18*GJ14)))</f>
        <v>0.50221176687671398</v>
      </c>
      <c r="GK2" s="421" t="s">
        <v>304</v>
      </c>
      <c r="GL2" s="419" t="s">
        <v>553</v>
      </c>
      <c r="GM2" s="417">
        <f>-GM15/((GM10*GM12*GM13*(GM5+GM6))+(GM11*GM12))</f>
        <v>-5.5552160701290481</v>
      </c>
      <c r="GN2" s="456" t="s">
        <v>19</v>
      </c>
      <c r="GO2" s="454" t="s">
        <v>510</v>
      </c>
      <c r="GP2" s="452">
        <f>(GP5/(GP6*GP7*GP15))/GP19</f>
        <v>2.3010010320910046E-4</v>
      </c>
      <c r="GQ2" s="450" t="s">
        <v>303</v>
      </c>
      <c r="GR2" s="448" t="s">
        <v>510</v>
      </c>
      <c r="GS2" s="442">
        <f>GP2/(GS5*GS6*(1/GS7))</f>
        <v>118.73070341026853</v>
      </c>
      <c r="GT2" s="446" t="s">
        <v>304</v>
      </c>
      <c r="GU2" s="444" t="s">
        <v>510</v>
      </c>
      <c r="GV2" s="442">
        <f>(GP2/((GV9)*((GV10*GV12*GV13*(GV5+GV6))+(GV11*GV12))))*CU11</f>
        <v>0.90440525290175389</v>
      </c>
      <c r="GW2" s="446" t="s">
        <v>303</v>
      </c>
      <c r="GX2" s="444" t="s">
        <v>554</v>
      </c>
      <c r="GY2" s="442">
        <f>(GP2/((GY9)*((GY10*GY12*GY13*(GY5+GY6))+(GY11*GY12))))*((GY14*GP17)/(1-EXP(-GP17*GY14)))</f>
        <v>0.90440525290175389</v>
      </c>
      <c r="GZ2" s="446" t="s">
        <v>304</v>
      </c>
      <c r="HA2" s="444" t="s">
        <v>553</v>
      </c>
      <c r="HB2" s="442">
        <f>-HB15/((HB10*HB12*HB13*(HB5+HB6))+(HB11*HB12))</f>
        <v>-7.3781469900331578</v>
      </c>
      <c r="HC2" s="440" t="s">
        <v>19</v>
      </c>
      <c r="HD2" s="251"/>
      <c r="HE2" s="350"/>
      <c r="HF2" s="252"/>
    </row>
    <row r="3" spans="1:214" ht="13.5" thickTop="1" x14ac:dyDescent="0.2">
      <c r="A3" s="278" t="s">
        <v>456</v>
      </c>
      <c r="B3" s="54">
        <v>2.41E-4</v>
      </c>
      <c r="C3" s="240"/>
      <c r="D3" s="317" t="s">
        <v>15</v>
      </c>
      <c r="E3" s="285">
        <f>1/((1/E20)+(1/E21))</f>
        <v>6.0893908286883818E-6</v>
      </c>
      <c r="F3" s="253" t="s">
        <v>302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8.8904281804741663E-6</v>
      </c>
      <c r="X3" s="254" t="s">
        <v>302</v>
      </c>
      <c r="Y3" s="321" t="s">
        <v>16</v>
      </c>
      <c r="Z3" s="358">
        <f>1/((1/Z18)+(1/Z19))</f>
        <v>8.0013853624267498E-6</v>
      </c>
      <c r="AA3" s="255" t="s">
        <v>302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6.8201177281309894E-4</v>
      </c>
      <c r="BU3" s="250" t="s">
        <v>302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2.4633447854520855E-6</v>
      </c>
      <c r="CV3" s="71" t="s">
        <v>303</v>
      </c>
      <c r="CW3" s="326" t="s">
        <v>15</v>
      </c>
      <c r="CX3" s="117">
        <f>1/((1/CX20)+(1/CX21))</f>
        <v>3.7852970409682064E-6</v>
      </c>
      <c r="CY3" s="256" t="s">
        <v>302</v>
      </c>
      <c r="CZ3" s="338" t="s">
        <v>285</v>
      </c>
      <c r="DA3" s="336">
        <f>1/((1/DA13)+(1/DA15)+(1/DA16)+(1/DA17)+(1/DA18)+(1/DA19)+(1/DA20)+(1/DA21)+(1/DA22))</f>
        <v>5.1921430411806563E-4</v>
      </c>
      <c r="DB3" s="72" t="s">
        <v>303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2.3799285396757567E-3</v>
      </c>
      <c r="HF3" s="252" t="s">
        <v>303</v>
      </c>
    </row>
    <row r="4" spans="1:214" ht="13.5" thickBot="1" x14ac:dyDescent="0.25">
      <c r="A4" s="279" t="s">
        <v>457</v>
      </c>
      <c r="B4" s="70">
        <v>0.753</v>
      </c>
      <c r="C4" s="241"/>
      <c r="D4" s="318" t="s">
        <v>16</v>
      </c>
      <c r="E4" s="286">
        <f>1/((1/E22)+(1/E23))</f>
        <v>6.2172031446247375E-6</v>
      </c>
      <c r="F4" s="257" t="s">
        <v>302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8.7145963380151827E-6</v>
      </c>
      <c r="X4" s="258" t="s">
        <v>302</v>
      </c>
      <c r="Y4" s="322" t="s">
        <v>15</v>
      </c>
      <c r="Z4" s="359">
        <f>1/((1/Z16)+(1/Z17))</f>
        <v>7.8431367042136629E-6</v>
      </c>
      <c r="AA4" s="259" t="s">
        <v>302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6.9632675219797073E-4</v>
      </c>
      <c r="BU4" s="260" t="s">
        <v>302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2.8496394790219982E-4</v>
      </c>
      <c r="CV4" s="73" t="s">
        <v>303</v>
      </c>
      <c r="CW4" s="327" t="s">
        <v>16</v>
      </c>
      <c r="CX4" s="106">
        <f>1/((1/CX22)+(1/CX23))</f>
        <v>3.9079832847427221E-6</v>
      </c>
      <c r="CY4" s="261" t="s">
        <v>302</v>
      </c>
      <c r="CZ4" s="339" t="s">
        <v>11</v>
      </c>
      <c r="DA4" s="337">
        <f>1/((1/DA15)+(1/DA16)+(1/DA13))</f>
        <v>3.7896544970278706E-3</v>
      </c>
      <c r="DB4" s="74" t="s">
        <v>303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5.245070410431986E-5</v>
      </c>
      <c r="HF4" s="75" t="s">
        <v>303</v>
      </c>
    </row>
    <row r="5" spans="1:214" ht="14.25" thickTop="1" thickBot="1" x14ac:dyDescent="0.25">
      <c r="A5" s="589" t="s">
        <v>281</v>
      </c>
      <c r="B5" s="590"/>
      <c r="C5" s="591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6.0000000000000001E-3</v>
      </c>
      <c r="CQ5" s="262" t="s">
        <v>264</v>
      </c>
      <c r="CR5" s="287">
        <f>CO5</f>
        <v>6.0000000000000001E-3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6.6877504027585484E-4</v>
      </c>
      <c r="DH5" s="249" t="s">
        <v>19</v>
      </c>
      <c r="DI5" s="262" t="s">
        <v>20</v>
      </c>
      <c r="DJ5" s="305">
        <f>DJ7</f>
        <v>1.914E-5</v>
      </c>
      <c r="DK5" s="262"/>
      <c r="DL5" s="262" t="s">
        <v>20</v>
      </c>
      <c r="DM5" s="305">
        <f>DM7</f>
        <v>1.914E-5</v>
      </c>
      <c r="DO5" s="249" t="s">
        <v>18</v>
      </c>
      <c r="DP5" s="118">
        <f>(DP8*DP9*DP10*((1-EXP(-DP11*DP12))))/(DP13*DP11)</f>
        <v>6.6877504027585484E-4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4.2E-7</v>
      </c>
      <c r="DW5" s="262"/>
      <c r="DX5" s="262" t="s">
        <v>21</v>
      </c>
      <c r="DY5" s="305">
        <f>DY7</f>
        <v>2.1999999999999999E-5</v>
      </c>
      <c r="DZ5" s="262"/>
      <c r="EA5" s="262" t="s">
        <v>21</v>
      </c>
      <c r="EB5" s="305">
        <f>EB7</f>
        <v>2.1999999999999999E-5</v>
      </c>
      <c r="EC5" s="263"/>
      <c r="ED5" s="262" t="s">
        <v>21</v>
      </c>
      <c r="EE5" s="305">
        <f>EE7</f>
        <v>2.1999999999999999E-5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5.0000000000000001E-4</v>
      </c>
      <c r="EL5" s="262"/>
      <c r="EM5" s="262" t="s">
        <v>21</v>
      </c>
      <c r="EN5" s="305">
        <f>EN7</f>
        <v>2.1999999999999999E-5</v>
      </c>
      <c r="EO5" s="262"/>
      <c r="EP5" s="262" t="s">
        <v>21</v>
      </c>
      <c r="EQ5" s="305">
        <f>EQ7</f>
        <v>2.1999999999999999E-5</v>
      </c>
      <c r="ER5" s="263"/>
      <c r="ES5" s="262" t="s">
        <v>21</v>
      </c>
      <c r="ET5" s="305">
        <f>ET7</f>
        <v>2.1999999999999999E-5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3.0000000000000001E-3</v>
      </c>
      <c r="FA5" s="262"/>
      <c r="FB5" s="262" t="s">
        <v>21</v>
      </c>
      <c r="FC5" s="305">
        <f>FC7</f>
        <v>2.1999999999999999E-5</v>
      </c>
      <c r="FD5" s="262"/>
      <c r="FE5" s="262" t="s">
        <v>21</v>
      </c>
      <c r="FF5" s="305">
        <f>FF7</f>
        <v>2.1999999999999999E-5</v>
      </c>
      <c r="FG5" s="263"/>
      <c r="FH5" s="263" t="s">
        <v>21</v>
      </c>
      <c r="FI5" s="290">
        <f>FI7</f>
        <v>2.1999999999999999E-5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240</v>
      </c>
      <c r="FP5" s="263"/>
      <c r="FQ5" s="263" t="s">
        <v>122</v>
      </c>
      <c r="FR5" s="298">
        <f>B36</f>
        <v>240</v>
      </c>
      <c r="FS5" s="263"/>
      <c r="FT5" s="263" t="s">
        <v>122</v>
      </c>
      <c r="FU5" s="298">
        <f>B36</f>
        <v>240</v>
      </c>
      <c r="FV5" s="263"/>
      <c r="FW5" s="262" t="s">
        <v>181</v>
      </c>
      <c r="FX5" s="305">
        <f>B46</f>
        <v>4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6.0000000000000001E-3</v>
      </c>
      <c r="GE5" s="262"/>
      <c r="GF5" s="262" t="s">
        <v>21</v>
      </c>
      <c r="GG5" s="305">
        <f>GG7</f>
        <v>2.1999999999999999E-5</v>
      </c>
      <c r="GH5" s="262"/>
      <c r="GI5" s="262" t="s">
        <v>21</v>
      </c>
      <c r="GJ5" s="305">
        <f>GJ7</f>
        <v>2.1999999999999999E-5</v>
      </c>
      <c r="GK5" s="262"/>
      <c r="GL5" s="262" t="s">
        <v>21</v>
      </c>
      <c r="GM5" s="305">
        <f>GM7</f>
        <v>2.1999999999999999E-5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1.7000000000000001E-4</v>
      </c>
      <c r="GT5" s="262"/>
      <c r="GU5" s="262" t="s">
        <v>21</v>
      </c>
      <c r="GV5" s="305">
        <f>GV7</f>
        <v>2.1999999999999999E-5</v>
      </c>
      <c r="GW5" s="262"/>
      <c r="GX5" s="262" t="s">
        <v>21</v>
      </c>
      <c r="GY5" s="305">
        <f>GY7</f>
        <v>2.1999999999999999E-5</v>
      </c>
      <c r="GZ5" s="262"/>
      <c r="HA5" s="262" t="s">
        <v>21</v>
      </c>
      <c r="HB5" s="305">
        <f>HB7</f>
        <v>2.1999999999999999E-5</v>
      </c>
      <c r="HC5" s="263"/>
      <c r="HD5" s="265" t="s">
        <v>22</v>
      </c>
      <c r="HE5" s="305">
        <f>B47</f>
        <v>0.55500055500055501</v>
      </c>
      <c r="HF5" s="262" t="s">
        <v>304</v>
      </c>
    </row>
    <row r="6" spans="1:214" ht="13.5" thickTop="1" x14ac:dyDescent="0.2">
      <c r="A6" s="278" t="s">
        <v>454</v>
      </c>
      <c r="B6" s="54">
        <v>1.17E-4</v>
      </c>
      <c r="C6" s="240"/>
      <c r="D6" s="262" t="s">
        <v>23</v>
      </c>
      <c r="E6" s="288">
        <f>0.693/E7</f>
        <v>1.6034243405830633E-3</v>
      </c>
      <c r="G6" s="262" t="s">
        <v>439</v>
      </c>
      <c r="H6" s="287">
        <f>B20</f>
        <v>1.036E-10</v>
      </c>
      <c r="I6" s="262" t="s">
        <v>35</v>
      </c>
      <c r="J6" s="262" t="s">
        <v>316</v>
      </c>
      <c r="K6" s="287">
        <f>B21</f>
        <v>1.8425999999999999E-10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1.6034243405830633E-3</v>
      </c>
      <c r="Y6" s="262" t="s">
        <v>23</v>
      </c>
      <c r="Z6" s="288">
        <f>0.693/Z7</f>
        <v>1.6034243405830633E-3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BK12</f>
        <v>1</v>
      </c>
      <c r="BR6" s="249" t="s">
        <v>69</v>
      </c>
      <c r="BS6" s="262" t="s">
        <v>23</v>
      </c>
      <c r="BT6" s="288">
        <f>0.693/BT7</f>
        <v>1.6034243405830633E-3</v>
      </c>
      <c r="BV6" s="262" t="s">
        <v>163</v>
      </c>
      <c r="BW6" s="287">
        <f>B20</f>
        <v>1.036E-10</v>
      </c>
      <c r="BX6" s="262" t="s">
        <v>35</v>
      </c>
      <c r="BY6" s="262" t="s">
        <v>45</v>
      </c>
      <c r="BZ6" s="287">
        <f>B21</f>
        <v>1.8425999999999999E-10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1.3357000000000001E-10</v>
      </c>
      <c r="CM6" s="266" t="s">
        <v>13</v>
      </c>
      <c r="CN6" s="263" t="s">
        <v>21</v>
      </c>
      <c r="CO6" s="290">
        <f>CO8</f>
        <v>2.1999999999999999E-5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1.8425999999999999E-10</v>
      </c>
      <c r="CV6" s="262" t="s">
        <v>35</v>
      </c>
      <c r="CW6" s="262" t="s">
        <v>23</v>
      </c>
      <c r="CX6" s="288">
        <f>0.693/CX7</f>
        <v>1.6034243405830633E-3</v>
      </c>
      <c r="CZ6" s="262" t="s">
        <v>163</v>
      </c>
      <c r="DA6" s="287">
        <f>B20</f>
        <v>1.036E-10</v>
      </c>
      <c r="DB6" s="262" t="s">
        <v>35</v>
      </c>
      <c r="DC6" s="262" t="s">
        <v>438</v>
      </c>
      <c r="DD6" s="287">
        <f>B30</f>
        <v>1.3357000000000001E-10</v>
      </c>
      <c r="DE6" s="267" t="s">
        <v>35</v>
      </c>
      <c r="DF6" s="249" t="s">
        <v>27</v>
      </c>
      <c r="DG6" s="118">
        <f>(DG8*DG9*DG14*((1-EXP(-DG11*DG12))))/(DG13*DG11)</f>
        <v>9.0847184154504852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9.0847184154504852</v>
      </c>
      <c r="DQ6" s="249" t="s">
        <v>19</v>
      </c>
      <c r="DR6" s="262" t="s">
        <v>438</v>
      </c>
      <c r="DS6" s="287">
        <f>B30</f>
        <v>1.3357000000000001E-10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1.3357000000000001E-10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1.3357000000000001E-10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1.3357000000000001E-10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4</v>
      </c>
      <c r="FS6" s="249" t="s">
        <v>19</v>
      </c>
      <c r="FT6" s="262" t="s">
        <v>181</v>
      </c>
      <c r="FU6" s="305">
        <f>B46</f>
        <v>4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1.3357000000000001E-10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1.3357000000000001E-10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1.223153107447226E-2</v>
      </c>
      <c r="HF6" s="262" t="s">
        <v>304</v>
      </c>
    </row>
    <row r="7" spans="1:214" x14ac:dyDescent="0.2">
      <c r="A7" s="279" t="s">
        <v>455</v>
      </c>
      <c r="B7" s="70">
        <v>0.74299999999999999</v>
      </c>
      <c r="C7" s="241"/>
      <c r="D7" s="266" t="s">
        <v>270</v>
      </c>
      <c r="E7" s="287">
        <f>B31</f>
        <v>432.2</v>
      </c>
      <c r="F7" s="249" t="s">
        <v>69</v>
      </c>
      <c r="G7" s="262" t="s">
        <v>43</v>
      </c>
      <c r="H7" s="290">
        <f>B19</f>
        <v>3.7739999999999999E-8</v>
      </c>
      <c r="I7" s="263" t="s">
        <v>35</v>
      </c>
      <c r="J7" s="262" t="s">
        <v>43</v>
      </c>
      <c r="K7" s="290">
        <f>B19</f>
        <v>3.7739999999999999E-8</v>
      </c>
      <c r="L7" s="263" t="s">
        <v>35</v>
      </c>
      <c r="M7" s="262" t="s">
        <v>23</v>
      </c>
      <c r="N7" s="288">
        <f>0.693/N8</f>
        <v>1.6034243405830633E-3</v>
      </c>
      <c r="P7" s="262" t="s">
        <v>23</v>
      </c>
      <c r="Q7" s="288">
        <f>0.693/Q8</f>
        <v>1.6034243405830633E-3</v>
      </c>
      <c r="S7" s="262" t="s">
        <v>23</v>
      </c>
      <c r="T7" s="288">
        <f>0.693/T8</f>
        <v>1.6034243405830633E-3</v>
      </c>
      <c r="V7" s="266" t="s">
        <v>270</v>
      </c>
      <c r="W7" s="287">
        <f>B31</f>
        <v>432.2</v>
      </c>
      <c r="X7" s="249" t="s">
        <v>69</v>
      </c>
      <c r="Y7" s="266" t="s">
        <v>270</v>
      </c>
      <c r="Z7" s="287">
        <f>B31</f>
        <v>432.2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1.6034243405830633E-3</v>
      </c>
      <c r="AL7" s="262" t="s">
        <v>23</v>
      </c>
      <c r="AM7" s="288">
        <f>0.693/AM8</f>
        <v>1.6034243405830633E-3</v>
      </c>
      <c r="AO7" s="262" t="s">
        <v>23</v>
      </c>
      <c r="AP7" s="288">
        <f>0.693/AP8</f>
        <v>1.6034243405830633E-3</v>
      </c>
      <c r="AR7" s="262" t="s">
        <v>23</v>
      </c>
      <c r="AS7" s="288">
        <f>0.693/AS8</f>
        <v>1.6034243405830633E-3</v>
      </c>
      <c r="AU7" s="262" t="s">
        <v>23</v>
      </c>
      <c r="AV7" s="288">
        <f>0.693/AV8</f>
        <v>1.6034243405830633E-3</v>
      </c>
      <c r="AX7" s="262" t="s">
        <v>23</v>
      </c>
      <c r="AY7" s="288">
        <f>0.693/AY8</f>
        <v>1.6034243405830633E-3</v>
      </c>
      <c r="BA7" s="262" t="s">
        <v>23</v>
      </c>
      <c r="BB7" s="288">
        <f>0.693/BB8</f>
        <v>1.6034243405830633E-3</v>
      </c>
      <c r="BD7" s="262" t="s">
        <v>23</v>
      </c>
      <c r="BE7" s="288">
        <f>0.693/BE8</f>
        <v>1.6034243405830633E-3</v>
      </c>
      <c r="BG7" s="262" t="s">
        <v>23</v>
      </c>
      <c r="BH7" s="288">
        <f>0.693/BH8</f>
        <v>1.6034243405830633E-3</v>
      </c>
      <c r="BJ7" s="262" t="s">
        <v>23</v>
      </c>
      <c r="BK7" s="288">
        <f>0.693/BK8</f>
        <v>1.6034243405830633E-3</v>
      </c>
      <c r="BM7" s="262" t="s">
        <v>23</v>
      </c>
      <c r="BN7" s="288">
        <f>0.693/BN8</f>
        <v>1.6034243405830633E-3</v>
      </c>
      <c r="BP7" s="262" t="s">
        <v>23</v>
      </c>
      <c r="BQ7" s="288">
        <f>0.693/BQ8</f>
        <v>1.6034243405830633E-3</v>
      </c>
      <c r="BS7" s="266" t="s">
        <v>270</v>
      </c>
      <c r="BT7" s="287">
        <f>B31</f>
        <v>432.2</v>
      </c>
      <c r="BU7" s="249" t="s">
        <v>69</v>
      </c>
      <c r="BV7" s="262" t="s">
        <v>43</v>
      </c>
      <c r="BW7" s="290">
        <f>E10</f>
        <v>3.7739999999999999E-8</v>
      </c>
      <c r="BX7" s="263" t="s">
        <v>35</v>
      </c>
      <c r="BY7" s="262" t="s">
        <v>43</v>
      </c>
      <c r="BZ7" s="290">
        <f>B19</f>
        <v>3.7739999999999999E-8</v>
      </c>
      <c r="CA7" s="263" t="s">
        <v>35</v>
      </c>
      <c r="CB7" s="262" t="s">
        <v>23</v>
      </c>
      <c r="CC7" s="288">
        <f>0.693/CC8</f>
        <v>1.6034243405830633E-3</v>
      </c>
      <c r="CE7" s="262" t="s">
        <v>23</v>
      </c>
      <c r="CF7" s="288">
        <f>0.693/CF8</f>
        <v>1.6034243405830633E-3</v>
      </c>
      <c r="CH7" s="262" t="s">
        <v>23</v>
      </c>
      <c r="CI7" s="288">
        <f>0.693/CI8</f>
        <v>1.6034243405830633E-3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3.7739999999999999E-8</v>
      </c>
      <c r="CV7" s="263" t="s">
        <v>35</v>
      </c>
      <c r="CW7" s="266" t="s">
        <v>270</v>
      </c>
      <c r="CX7" s="287">
        <f>B31</f>
        <v>432.2</v>
      </c>
      <c r="CY7" s="249" t="s">
        <v>69</v>
      </c>
      <c r="CZ7" s="263" t="s">
        <v>43</v>
      </c>
      <c r="DA7" s="290">
        <f>B19</f>
        <v>3.7739999999999999E-8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3.6421488784670224</v>
      </c>
      <c r="DH7" s="249" t="s">
        <v>19</v>
      </c>
      <c r="DI7" s="262" t="s">
        <v>37</v>
      </c>
      <c r="DJ7" s="287">
        <f>B44</f>
        <v>1.914E-5</v>
      </c>
      <c r="DL7" s="262" t="s">
        <v>37</v>
      </c>
      <c r="DM7" s="287">
        <f>B44</f>
        <v>1.914E-5</v>
      </c>
      <c r="DO7" s="249" t="s">
        <v>36</v>
      </c>
      <c r="DP7" s="118">
        <f>(DP8*DP9*DP15*DP21*((1-EXP(-DP16*DP17))))/(DP18*DP16)</f>
        <v>3.6421488784670224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2.1999999999999999E-5</v>
      </c>
      <c r="EA7" s="262" t="s">
        <v>38</v>
      </c>
      <c r="EB7" s="287">
        <f>B45</f>
        <v>2.1999999999999999E-5</v>
      </c>
      <c r="EC7" s="263"/>
      <c r="ED7" s="262" t="s">
        <v>38</v>
      </c>
      <c r="EE7" s="287">
        <f>B45</f>
        <v>2.1999999999999999E-5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2.1999999999999999E-5</v>
      </c>
      <c r="EP7" s="262" t="s">
        <v>38</v>
      </c>
      <c r="EQ7" s="287">
        <f>B45</f>
        <v>2.1999999999999999E-5</v>
      </c>
      <c r="ER7" s="263"/>
      <c r="ES7" s="262" t="s">
        <v>38</v>
      </c>
      <c r="ET7" s="287">
        <f>B45</f>
        <v>2.1999999999999999E-5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2.1999999999999999E-5</v>
      </c>
      <c r="FD7" s="262"/>
      <c r="FE7" s="262" t="s">
        <v>38</v>
      </c>
      <c r="FF7" s="305">
        <f>B45</f>
        <v>2.1999999999999999E-5</v>
      </c>
      <c r="FG7" s="263"/>
      <c r="FH7" s="263" t="s">
        <v>38</v>
      </c>
      <c r="FI7" s="290">
        <f>B45</f>
        <v>2.1999999999999999E-5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2.1999999999999999E-5</v>
      </c>
      <c r="GH7" s="262"/>
      <c r="GI7" s="262" t="s">
        <v>38</v>
      </c>
      <c r="GJ7" s="305">
        <f>B45</f>
        <v>2.1999999999999999E-5</v>
      </c>
      <c r="GK7" s="262"/>
      <c r="GL7" s="262" t="s">
        <v>38</v>
      </c>
      <c r="GM7" s="305">
        <f>B45</f>
        <v>2.1999999999999999E-5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2.1999999999999999E-5</v>
      </c>
      <c r="GW7" s="262"/>
      <c r="GX7" s="262" t="s">
        <v>38</v>
      </c>
      <c r="GY7" s="305">
        <f>B45</f>
        <v>2.1999999999999999E-5</v>
      </c>
      <c r="GZ7" s="262"/>
      <c r="HA7" s="262" t="s">
        <v>38</v>
      </c>
      <c r="HB7" s="305">
        <f>B45</f>
        <v>2.1999999999999999E-5</v>
      </c>
      <c r="HC7" s="263"/>
      <c r="HD7" s="262" t="s">
        <v>23</v>
      </c>
      <c r="HE7" s="288">
        <f>0.693/HE8</f>
        <v>1.6034243405830633E-3</v>
      </c>
    </row>
    <row r="8" spans="1:214" x14ac:dyDescent="0.2">
      <c r="A8" s="279" t="s">
        <v>458</v>
      </c>
      <c r="B8" s="70">
        <v>1.35E-4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1.319423256E-13</v>
      </c>
      <c r="I8" s="263" t="s">
        <v>35</v>
      </c>
      <c r="J8" s="262" t="s">
        <v>71</v>
      </c>
      <c r="K8" s="287">
        <f>B23</f>
        <v>2.767285944E-8</v>
      </c>
      <c r="L8" s="262" t="s">
        <v>445</v>
      </c>
      <c r="M8" s="266" t="s">
        <v>270</v>
      </c>
      <c r="N8" s="287">
        <f>B31</f>
        <v>432.2</v>
      </c>
      <c r="O8" s="249" t="s">
        <v>69</v>
      </c>
      <c r="P8" s="266" t="s">
        <v>270</v>
      </c>
      <c r="Q8" s="287">
        <f>B31</f>
        <v>432.2</v>
      </c>
      <c r="R8" s="249" t="s">
        <v>69</v>
      </c>
      <c r="S8" s="266" t="s">
        <v>270</v>
      </c>
      <c r="T8" s="287">
        <f>B31</f>
        <v>432.2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432.2</v>
      </c>
      <c r="AK8" s="249" t="s">
        <v>69</v>
      </c>
      <c r="AL8" s="266" t="s">
        <v>270</v>
      </c>
      <c r="AM8" s="287">
        <f>B31</f>
        <v>432.2</v>
      </c>
      <c r="AN8" s="249" t="s">
        <v>69</v>
      </c>
      <c r="AO8" s="266" t="s">
        <v>270</v>
      </c>
      <c r="AP8" s="287">
        <f>B31</f>
        <v>432.2</v>
      </c>
      <c r="AQ8" s="249" t="s">
        <v>69</v>
      </c>
      <c r="AR8" s="266" t="s">
        <v>270</v>
      </c>
      <c r="AS8" s="287">
        <f>B31</f>
        <v>432.2</v>
      </c>
      <c r="AT8" s="249" t="s">
        <v>69</v>
      </c>
      <c r="AU8" s="266" t="s">
        <v>270</v>
      </c>
      <c r="AV8" s="287">
        <f>B31</f>
        <v>432.2</v>
      </c>
      <c r="AW8" s="249" t="s">
        <v>69</v>
      </c>
      <c r="AX8" s="266" t="s">
        <v>270</v>
      </c>
      <c r="AY8" s="287">
        <f>B31</f>
        <v>432.2</v>
      </c>
      <c r="AZ8" s="249" t="s">
        <v>69</v>
      </c>
      <c r="BA8" s="266" t="s">
        <v>270</v>
      </c>
      <c r="BB8" s="287">
        <f>B31</f>
        <v>432.2</v>
      </c>
      <c r="BC8" s="249" t="s">
        <v>69</v>
      </c>
      <c r="BD8" s="266" t="s">
        <v>270</v>
      </c>
      <c r="BE8" s="287">
        <f>B31</f>
        <v>432.2</v>
      </c>
      <c r="BF8" s="249" t="s">
        <v>69</v>
      </c>
      <c r="BG8" s="266" t="s">
        <v>270</v>
      </c>
      <c r="BH8" s="287">
        <f>B31</f>
        <v>432.2</v>
      </c>
      <c r="BI8" s="249" t="s">
        <v>69</v>
      </c>
      <c r="BJ8" s="266" t="s">
        <v>270</v>
      </c>
      <c r="BK8" s="287">
        <f>B31</f>
        <v>432.2</v>
      </c>
      <c r="BL8" s="249" t="s">
        <v>69</v>
      </c>
      <c r="BM8" s="266" t="s">
        <v>270</v>
      </c>
      <c r="BN8" s="287">
        <f>B31</f>
        <v>432.2</v>
      </c>
      <c r="BO8" s="249" t="s">
        <v>69</v>
      </c>
      <c r="BP8" s="266" t="s">
        <v>270</v>
      </c>
      <c r="BQ8" s="287">
        <f>B31</f>
        <v>432.2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1.319423256E-13</v>
      </c>
      <c r="BX8" s="263" t="s">
        <v>35</v>
      </c>
      <c r="BY8" s="262" t="s">
        <v>71</v>
      </c>
      <c r="BZ8" s="287">
        <f>B23</f>
        <v>2.767285944E-8</v>
      </c>
      <c r="CA8" s="262" t="s">
        <v>95</v>
      </c>
      <c r="CB8" s="266" t="s">
        <v>270</v>
      </c>
      <c r="CC8" s="287">
        <f>B31</f>
        <v>432.2</v>
      </c>
      <c r="CD8" s="249" t="s">
        <v>69</v>
      </c>
      <c r="CE8" s="266" t="s">
        <v>270</v>
      </c>
      <c r="CF8" s="287">
        <f>B31</f>
        <v>432.2</v>
      </c>
      <c r="CG8" s="249" t="s">
        <v>69</v>
      </c>
      <c r="CH8" s="266" t="s">
        <v>270</v>
      </c>
      <c r="CI8" s="287">
        <f>B31</f>
        <v>432.2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2.1999999999999999E-5</v>
      </c>
      <c r="CT8" s="262" t="s">
        <v>71</v>
      </c>
      <c r="CU8" s="287">
        <f>B23</f>
        <v>2.767285944E-8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1.319423256E-13</v>
      </c>
      <c r="DB8" s="262" t="s">
        <v>35</v>
      </c>
      <c r="DC8" s="262" t="s">
        <v>380</v>
      </c>
      <c r="DD8" s="311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432.2</v>
      </c>
      <c r="HF8" s="249" t="s">
        <v>69</v>
      </c>
    </row>
    <row r="9" spans="1:214" x14ac:dyDescent="0.2">
      <c r="A9" s="279" t="s">
        <v>459</v>
      </c>
      <c r="B9" s="70">
        <v>0.71099999999999997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1.3357000000000001E-10</v>
      </c>
      <c r="I9" s="267" t="s">
        <v>35</v>
      </c>
      <c r="J9" s="262" t="s">
        <v>438</v>
      </c>
      <c r="K9" s="287">
        <f>B30</f>
        <v>1.3357000000000001E-10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9.1019999999999999E-11</v>
      </c>
      <c r="AD9" s="287">
        <f>B22</f>
        <v>9.1019999999999999E-11</v>
      </c>
      <c r="AE9" s="287">
        <f>B22</f>
        <v>9.1019999999999999E-11</v>
      </c>
      <c r="AF9" s="287">
        <f>B22</f>
        <v>9.1019999999999999E-11</v>
      </c>
      <c r="AG9" s="287">
        <f>B22</f>
        <v>9.1019999999999999E-11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1.3357000000000001E-10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1.3357000000000001E-10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1.3357000000000001E-10</v>
      </c>
      <c r="DB9" s="263" t="s">
        <v>35</v>
      </c>
      <c r="DC9" s="262" t="s">
        <v>381</v>
      </c>
      <c r="DD9" s="311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4.2E-7</v>
      </c>
      <c r="EA9" s="262" t="s">
        <v>278</v>
      </c>
      <c r="EB9" s="287">
        <f>B37</f>
        <v>4.2E-7</v>
      </c>
      <c r="EC9" s="263"/>
      <c r="ED9" s="262" t="s">
        <v>278</v>
      </c>
      <c r="EE9" s="287">
        <f>B37</f>
        <v>4.2E-7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5.0000000000000001E-4</v>
      </c>
      <c r="EP9" s="262" t="s">
        <v>275</v>
      </c>
      <c r="EQ9" s="310">
        <f>B38</f>
        <v>5.0000000000000001E-4</v>
      </c>
      <c r="ER9" s="263"/>
      <c r="ES9" s="262" t="s">
        <v>275</v>
      </c>
      <c r="ET9" s="310">
        <f>B38</f>
        <v>5.0000000000000001E-4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3.0000000000000001E-3</v>
      </c>
      <c r="FD9" s="262"/>
      <c r="FE9" s="262" t="s">
        <v>201</v>
      </c>
      <c r="FF9" s="310">
        <f>B40</f>
        <v>3.0000000000000001E-3</v>
      </c>
      <c r="FG9" s="263"/>
      <c r="FH9" s="262" t="s">
        <v>201</v>
      </c>
      <c r="FI9" s="310">
        <f>B40</f>
        <v>3.0000000000000001E-3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6.0000000000000001E-3</v>
      </c>
      <c r="GH9" s="262"/>
      <c r="GI9" s="262" t="s">
        <v>276</v>
      </c>
      <c r="GJ9" s="310">
        <f>B39</f>
        <v>6.0000000000000001E-3</v>
      </c>
      <c r="GK9" s="262"/>
      <c r="GL9" s="262" t="s">
        <v>276</v>
      </c>
      <c r="GM9" s="310">
        <f>B39</f>
        <v>6.0000000000000001E-3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1.7000000000000001E-4</v>
      </c>
      <c r="GW9" s="262"/>
      <c r="GX9" s="262" t="s">
        <v>277</v>
      </c>
      <c r="GY9" s="310">
        <f>B41</f>
        <v>1.7000000000000001E-4</v>
      </c>
      <c r="GZ9" s="262"/>
      <c r="HA9" s="262" t="s">
        <v>277</v>
      </c>
      <c r="HB9" s="310">
        <f>B41</f>
        <v>1.7000000000000001E-4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2.2599999999999999E-4</v>
      </c>
      <c r="C10" s="185"/>
      <c r="D10" s="88" t="s">
        <v>43</v>
      </c>
      <c r="E10" s="187">
        <f>B19</f>
        <v>3.7739999999999999E-8</v>
      </c>
      <c r="F10" s="188" t="s">
        <v>35</v>
      </c>
      <c r="G10" s="266" t="s">
        <v>80</v>
      </c>
      <c r="H10" s="294">
        <f>(H5/(H6*H15))/H68</f>
        <v>1.8661451413045121E-2</v>
      </c>
      <c r="I10" s="271" t="s">
        <v>304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3.7739999999999999E-8</v>
      </c>
      <c r="X10" s="263" t="s">
        <v>44</v>
      </c>
      <c r="Y10" s="249" t="s">
        <v>43</v>
      </c>
      <c r="Z10" s="290">
        <f>B19</f>
        <v>3.7739999999999999E-8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3.7739999999999999E-8</v>
      </c>
      <c r="BU10" s="263" t="s">
        <v>35</v>
      </c>
      <c r="BV10" s="266" t="s">
        <v>80</v>
      </c>
      <c r="BW10" s="294">
        <f>(BW5/(BW6*BW12))/BW32</f>
        <v>3.6630036630036673</v>
      </c>
      <c r="BX10" s="271" t="s">
        <v>304</v>
      </c>
      <c r="BY10" s="188" t="s">
        <v>16</v>
      </c>
      <c r="BZ10" s="191">
        <f>(BZ33*BZ11)/(1-EXP(-BZ11*BZ33))</f>
        <v>1.0209893435208997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299</v>
      </c>
      <c r="CL10" s="289">
        <f>B293</f>
        <v>27.027027027027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3.7739999999999999E-8</v>
      </c>
      <c r="CY10" s="263" t="s">
        <v>35</v>
      </c>
      <c r="CZ10" s="263" t="s">
        <v>16</v>
      </c>
      <c r="DA10" s="288">
        <f>(DA38*DA11)/(1-EXP(-DA11*DA38))</f>
        <v>1.0324112592609469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1.914E-5</v>
      </c>
      <c r="DL10" s="267"/>
      <c r="DO10" s="267" t="s">
        <v>37</v>
      </c>
      <c r="DP10" s="287">
        <f>B44</f>
        <v>1.914E-5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0.66200000000000003</v>
      </c>
      <c r="C11" s="185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(H5/(H7*H16*H28))/H68</f>
        <v>1.2178784557301193E-5</v>
      </c>
      <c r="I11" s="271" t="s">
        <v>304</v>
      </c>
      <c r="J11" s="188" t="s">
        <v>16</v>
      </c>
      <c r="K11" s="109">
        <f>(K46*K12)/(1-EXP(-K12*K46))</f>
        <v>1.0209893435208997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(BW5/(BW8*(1/BW31)*BW15))/BW32</f>
        <v>1259757.8817830444</v>
      </c>
      <c r="BX11" s="271" t="s">
        <v>304</v>
      </c>
      <c r="BY11" s="266" t="s">
        <v>23</v>
      </c>
      <c r="BZ11" s="109">
        <f>0.693/BZ12</f>
        <v>1.6034243405830633E-3</v>
      </c>
      <c r="CA11" s="88"/>
      <c r="CB11" s="249" t="s">
        <v>456</v>
      </c>
      <c r="CC11" s="287">
        <f>B3</f>
        <v>2.41E-4</v>
      </c>
      <c r="CE11" s="249" t="s">
        <v>454</v>
      </c>
      <c r="CF11" s="287">
        <f>B6</f>
        <v>1.17E-4</v>
      </c>
      <c r="CH11" s="249" t="s">
        <v>460</v>
      </c>
      <c r="CI11" s="287">
        <f>B10</f>
        <v>2.2599999999999999E-4</v>
      </c>
      <c r="CK11" s="266" t="s">
        <v>270</v>
      </c>
      <c r="CL11" s="287">
        <f>B31</f>
        <v>432.2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1.0324112592609469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1.6034243405830633E-3</v>
      </c>
      <c r="DC11" s="262" t="s">
        <v>382</v>
      </c>
      <c r="DD11" s="311">
        <f>B141</f>
        <v>41.7</v>
      </c>
      <c r="DE11" s="267" t="s">
        <v>254</v>
      </c>
      <c r="DF11" s="267" t="s">
        <v>55</v>
      </c>
      <c r="DG11" s="288">
        <f>DG19+DG20</f>
        <v>3.1394977168949772E-5</v>
      </c>
      <c r="DL11" s="267"/>
      <c r="DO11" s="267" t="s">
        <v>55</v>
      </c>
      <c r="DP11" s="288">
        <f>DP19+DP20</f>
        <v>3.1394977168949772E-5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1.5699999999999999E-5</v>
      </c>
      <c r="C12" s="185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(H5/(H8*(1/H45)*H21))/H68</f>
        <v>402445.5880532334</v>
      </c>
      <c r="I12" s="271" t="s">
        <v>304</v>
      </c>
      <c r="J12" s="266" t="s">
        <v>23</v>
      </c>
      <c r="K12" s="109">
        <f>0.693/K13</f>
        <v>1.6034243405830633E-3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432.2</v>
      </c>
      <c r="CA12" s="88" t="s">
        <v>69</v>
      </c>
      <c r="CB12" s="249" t="s">
        <v>457</v>
      </c>
      <c r="CC12" s="287">
        <f>B4</f>
        <v>0.753</v>
      </c>
      <c r="CE12" s="249" t="s">
        <v>455</v>
      </c>
      <c r="CF12" s="287">
        <f>B7</f>
        <v>0.74299999999999999</v>
      </c>
      <c r="CH12" s="249" t="s">
        <v>461</v>
      </c>
      <c r="CI12" s="287">
        <f>B11</f>
        <v>0.66200000000000003</v>
      </c>
      <c r="CK12" s="249" t="s">
        <v>23</v>
      </c>
      <c r="CL12" s="288">
        <f>693/CL11</f>
        <v>1.6034243405830635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1.6034243405830633E-3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432.2</v>
      </c>
      <c r="DB12" s="249" t="s">
        <v>69</v>
      </c>
      <c r="DC12" s="262" t="s">
        <v>383</v>
      </c>
      <c r="DD12" s="311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0.80900000000000005</v>
      </c>
      <c r="C13" s="186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>
        <f>(H14/((1/H42)*(H50+H51+H52)))</f>
        <v>3.5499373393252265E-2</v>
      </c>
      <c r="I13" s="271" t="s">
        <v>304</v>
      </c>
      <c r="J13" s="266" t="s">
        <v>270</v>
      </c>
      <c r="K13" s="189">
        <f>B31</f>
        <v>432.2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2.41E-4</v>
      </c>
      <c r="BM13" s="249" t="s">
        <v>454</v>
      </c>
      <c r="BN13" s="287">
        <f>B6</f>
        <v>1.17E-4</v>
      </c>
      <c r="BP13" s="249" t="s">
        <v>460</v>
      </c>
      <c r="BQ13" s="287">
        <f>B10</f>
        <v>2.2599999999999999E-4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>
        <f>((BZ5/(BZ6*BZ16*(1/BZ36)))*BZ10)/BZ37</f>
        <v>0.85424141860851799</v>
      </c>
      <c r="CA13" s="271" t="s">
        <v>303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41.689032855159653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432.2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>
        <f>(DA5/(DA6*DA23))/DA50</f>
        <v>1.1378324746490937E-2</v>
      </c>
      <c r="DB13" s="266" t="s">
        <v>304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584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>
        <f>(H5/(H9*(H22+H25)*H43))/H68</f>
        <v>4.5181955528801848E-4</v>
      </c>
      <c r="I14" s="271" t="s">
        <v>303</v>
      </c>
      <c r="J14" s="266" t="s">
        <v>80</v>
      </c>
      <c r="K14" s="294">
        <f>((K5/(K6*K19*(1/K49)))*K11)/K54</f>
        <v>0.18305173255896814</v>
      </c>
      <c r="L14" s="271" t="s">
        <v>303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5.8031270640000001E-11</v>
      </c>
      <c r="X14" s="262" t="s">
        <v>64</v>
      </c>
      <c r="Y14" s="262" t="s">
        <v>63</v>
      </c>
      <c r="Z14" s="287">
        <f>B28</f>
        <v>5.8031270640000001E-11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0.753</v>
      </c>
      <c r="BM14" s="249" t="s">
        <v>455</v>
      </c>
      <c r="BN14" s="287">
        <f>B7</f>
        <v>0.74299999999999999</v>
      </c>
      <c r="BP14" s="249" t="s">
        <v>461</v>
      </c>
      <c r="BQ14" s="287">
        <f>B11</f>
        <v>0.66200000000000003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((BZ5/(BZ7*BZ17*(1/BZ9)*BZ35))*BZ10)/BZ37</f>
        <v>946.54814779244509</v>
      </c>
      <c r="CA14" s="271" t="s">
        <v>303</v>
      </c>
      <c r="CB14" s="249" t="s">
        <v>71</v>
      </c>
      <c r="CC14" s="290">
        <f>B23</f>
        <v>2.767285944E-8</v>
      </c>
      <c r="CD14" s="263" t="s">
        <v>72</v>
      </c>
      <c r="CE14" s="249" t="s">
        <v>71</v>
      </c>
      <c r="CF14" s="290">
        <f>B25</f>
        <v>1.3754695536000001E-8</v>
      </c>
      <c r="CG14" s="263" t="s">
        <v>72</v>
      </c>
      <c r="CH14" s="249" t="s">
        <v>71</v>
      </c>
      <c r="CI14" s="290">
        <f>B27</f>
        <v>2.767285944E-8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((CU5/(CU6*CU24*(1/CU47)))*CU11)/CU48</f>
        <v>0.12876490549289679</v>
      </c>
      <c r="CV14" s="271" t="s">
        <v>303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(DA5/(DA7*DA24*DA46))/DA50</f>
        <v>7.5705958058899308E-6</v>
      </c>
      <c r="DB14" s="266" t="s">
        <v>304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4</v>
      </c>
      <c r="HF14" s="249" t="s">
        <v>19</v>
      </c>
    </row>
    <row r="15" spans="1:214" x14ac:dyDescent="0.2">
      <c r="A15" s="585"/>
      <c r="B15" s="586"/>
      <c r="C15" s="5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((K5/(K7*K20*(1/K10)*K48))*K11)/K54</f>
        <v>8.4513227481468309</v>
      </c>
      <c r="L15" s="271" t="s">
        <v>303</v>
      </c>
      <c r="M15" s="249" t="s">
        <v>448</v>
      </c>
      <c r="N15" s="290">
        <f>B23</f>
        <v>2.767285944E-8</v>
      </c>
      <c r="O15" s="263" t="s">
        <v>446</v>
      </c>
      <c r="P15" s="249" t="s">
        <v>449</v>
      </c>
      <c r="Q15" s="290">
        <f>B25</f>
        <v>1.3754695536000001E-8</v>
      </c>
      <c r="R15" s="263" t="s">
        <v>446</v>
      </c>
      <c r="S15" s="249" t="s">
        <v>453</v>
      </c>
      <c r="T15" s="290">
        <f>B27</f>
        <v>2.767285944E-8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2.767285944E-8</v>
      </c>
      <c r="AK15" s="263" t="s">
        <v>72</v>
      </c>
      <c r="AL15" s="262" t="s">
        <v>449</v>
      </c>
      <c r="AM15" s="290">
        <f>B25</f>
        <v>1.3754695536000001E-8</v>
      </c>
      <c r="AN15" s="263" t="s">
        <v>72</v>
      </c>
      <c r="AO15" s="262" t="s">
        <v>452</v>
      </c>
      <c r="AP15" s="290">
        <f>B27</f>
        <v>2.767285944E-8</v>
      </c>
      <c r="AQ15" s="263" t="s">
        <v>72</v>
      </c>
      <c r="AR15" s="249" t="s">
        <v>448</v>
      </c>
      <c r="AS15" s="290">
        <f>B23</f>
        <v>2.767285944E-8</v>
      </c>
      <c r="AT15" s="263" t="s">
        <v>72</v>
      </c>
      <c r="AU15" s="262" t="s">
        <v>449</v>
      </c>
      <c r="AV15" s="290">
        <f>B25</f>
        <v>1.3754695536000001E-8</v>
      </c>
      <c r="AW15" s="263" t="s">
        <v>72</v>
      </c>
      <c r="AX15" s="262" t="s">
        <v>452</v>
      </c>
      <c r="AY15" s="290">
        <f>B27</f>
        <v>2.767285944E-8</v>
      </c>
      <c r="AZ15" s="263" t="s">
        <v>72</v>
      </c>
      <c r="BA15" s="249" t="s">
        <v>448</v>
      </c>
      <c r="BB15" s="290">
        <f>B23</f>
        <v>2.767285944E-8</v>
      </c>
      <c r="BC15" s="263" t="s">
        <v>72</v>
      </c>
      <c r="BD15" s="262" t="s">
        <v>449</v>
      </c>
      <c r="BE15" s="290">
        <f>B25</f>
        <v>1.3754695536000001E-8</v>
      </c>
      <c r="BF15" s="263" t="s">
        <v>72</v>
      </c>
      <c r="BG15" s="262" t="s">
        <v>452</v>
      </c>
      <c r="BH15" s="290">
        <f>B27</f>
        <v>2.767285944E-8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(((BZ5)/(BZ8*BZ22*(1/BZ34)*BZ25*BZ28*(1/24)*BZ31*BZ32))*BZ10)/BZ37</f>
        <v>33792.970728919761</v>
      </c>
      <c r="CA15" s="271" t="s">
        <v>303</v>
      </c>
      <c r="CB15" s="95" t="s">
        <v>299</v>
      </c>
      <c r="CC15" s="289">
        <f>B293</f>
        <v>27.027027027027</v>
      </c>
      <c r="CE15" s="95" t="s">
        <v>299</v>
      </c>
      <c r="CF15" s="289">
        <f>B293</f>
        <v>27.027027027027</v>
      </c>
      <c r="CH15" s="95" t="s">
        <v>299</v>
      </c>
      <c r="CI15" s="289">
        <f>B293</f>
        <v>27.027027027027</v>
      </c>
      <c r="CT15" s="266" t="s">
        <v>74</v>
      </c>
      <c r="CU15" s="295">
        <f>((CU5/(CU7*CU25*(1/CU10)*CU46))*CU11)/CU48</f>
        <v>5.3122966906640103</v>
      </c>
      <c r="CV15" s="271" t="s">
        <v>303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(DA5/(DA8*DA25*(DA47/DA48)))/DA50</f>
        <v>256342.25915443356</v>
      </c>
      <c r="DB15" s="266" t="s">
        <v>304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  <c r="HE15" s="289">
        <v>241</v>
      </c>
    </row>
    <row r="16" spans="1:214" s="51" customFormat="1" x14ac:dyDescent="0.2">
      <c r="A16" s="585"/>
      <c r="B16" s="586"/>
      <c r="C16" s="5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((K5/(K8*K45*((K40*K44*(1/24))+(K41*K43*(1/24)))*K32*(1/K47)*K34))*K11)/K54</f>
        <v>0.15797625342843885</v>
      </c>
      <c r="L16" s="271" t="s">
        <v>303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((W5)/((W11/W12)*W8*W9*W10*W13))/W20</f>
        <v>8.7145969498910772E-6</v>
      </c>
      <c r="X16" s="88" t="s">
        <v>15</v>
      </c>
      <c r="Y16" s="88" t="s">
        <v>74</v>
      </c>
      <c r="Z16" s="294">
        <f>((Z5)/((Z11/Z12)*Z8*Z9*Z10*Z13))/Z20</f>
        <v>7.8431372549019691E-6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2.41E-4</v>
      </c>
      <c r="AG16" s="305">
        <f>B3</f>
        <v>2.41E-4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2.767285944E-8</v>
      </c>
      <c r="BL16" s="263" t="s">
        <v>72</v>
      </c>
      <c r="BM16" s="262" t="s">
        <v>449</v>
      </c>
      <c r="BN16" s="290">
        <f>B25</f>
        <v>1.3754695536000001E-8</v>
      </c>
      <c r="BO16" s="263" t="s">
        <v>72</v>
      </c>
      <c r="BP16" s="262" t="s">
        <v>452</v>
      </c>
      <c r="BQ16" s="290">
        <f>B27</f>
        <v>2.767285944E-8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2"/>
      <c r="CC16" s="293"/>
      <c r="CD16" s="262"/>
      <c r="CE16" s="262"/>
      <c r="CF16" s="293"/>
      <c r="CG16" s="262"/>
      <c r="CH16" s="249"/>
      <c r="CI16" s="289"/>
      <c r="CJ16" s="249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((CU5*CU44*CU12)/((1-EXP(-CU12*CU44))*CU8*CU31*(1/365)*CU32*((CU38*(1/24)*CU42)+(CU39*(1/24)*CU41))*CU43))/CU48</f>
        <v>5.34114343832627E-2</v>
      </c>
      <c r="CV16" s="271" t="s">
        <v>303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>
        <f>DG2</f>
        <v>5.682144444613387E-3</v>
      </c>
      <c r="DB16" s="266" t="s">
        <v>304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4.9504394977168943E-2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4.9504394977168943E-2</v>
      </c>
      <c r="DQ16" s="262" t="s">
        <v>82</v>
      </c>
      <c r="DR16" s="267" t="s">
        <v>400</v>
      </c>
      <c r="DS16" s="297">
        <f>B175</f>
        <v>1</v>
      </c>
      <c r="DT16" s="249"/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4.9504394977168943E-2</v>
      </c>
      <c r="EF16" s="262" t="s">
        <v>82</v>
      </c>
      <c r="EG16" s="267" t="s">
        <v>401</v>
      </c>
      <c r="EH16" s="297">
        <f>B176</f>
        <v>1</v>
      </c>
      <c r="EI16" s="249"/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4.9504394977168943E-2</v>
      </c>
      <c r="EU16" s="262" t="s">
        <v>82</v>
      </c>
      <c r="EV16" s="267" t="s">
        <v>402</v>
      </c>
      <c r="EW16" s="297">
        <f>B177</f>
        <v>1</v>
      </c>
      <c r="EX16" s="249"/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4.9504394977168943E-2</v>
      </c>
      <c r="FJ16" s="262" t="s">
        <v>82</v>
      </c>
      <c r="FK16" s="267" t="s">
        <v>403</v>
      </c>
      <c r="FL16" s="297">
        <f>B178</f>
        <v>1</v>
      </c>
      <c r="FM16" s="249"/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B16" s="249"/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4.9504394977168943E-2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4.9504394977168943E-2</v>
      </c>
      <c r="HC16" s="262" t="s">
        <v>82</v>
      </c>
      <c r="HD16" s="262"/>
      <c r="HE16" s="305">
        <v>2.8000000000000001E-15</v>
      </c>
      <c r="HF16" s="262"/>
    </row>
    <row r="17" spans="1:214" ht="13.5" thickBot="1" x14ac:dyDescent="0.25">
      <c r="A17" s="587"/>
      <c r="B17" s="588"/>
      <c r="C17" s="588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>
        <f>(K18/(K50+K51))*K11</f>
        <v>1.7741115178806408E-3</v>
      </c>
      <c r="L17" s="271" t="s">
        <v>303</v>
      </c>
      <c r="M17" s="95" t="s">
        <v>299</v>
      </c>
      <c r="N17" s="293">
        <f>B293</f>
        <v>27.027027027027</v>
      </c>
      <c r="O17" s="262"/>
      <c r="P17" s="95" t="s">
        <v>299</v>
      </c>
      <c r="Q17" s="293">
        <f>B293</f>
        <v>27.027027027027</v>
      </c>
      <c r="R17" s="262"/>
      <c r="S17" s="95" t="s">
        <v>299</v>
      </c>
      <c r="T17" s="293">
        <f>B293</f>
        <v>27.027027027027</v>
      </c>
      <c r="U17" s="262"/>
      <c r="V17" s="88" t="s">
        <v>78</v>
      </c>
      <c r="W17" s="296">
        <f>((W5)/((W11/W12)*W8*W9*W14*(1/365)))/W20</f>
        <v>124.11699049894652</v>
      </c>
      <c r="X17" s="88" t="s">
        <v>15</v>
      </c>
      <c r="Y17" s="88" t="s">
        <v>78</v>
      </c>
      <c r="Z17" s="296">
        <f>((Z5)/((Z11/Z12)*Z8*Z9*Z14*(1/365)))/Z20</f>
        <v>111.70529144905188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95" t="s">
        <v>299</v>
      </c>
      <c r="AJ17" s="293">
        <f>B293</f>
        <v>27.027027027027</v>
      </c>
      <c r="AK17" s="262"/>
      <c r="AL17" s="95" t="s">
        <v>299</v>
      </c>
      <c r="AM17" s="293">
        <f>B293</f>
        <v>27.027027027027</v>
      </c>
      <c r="AN17" s="262"/>
      <c r="AO17" s="95" t="s">
        <v>299</v>
      </c>
      <c r="AP17" s="293">
        <f>B293</f>
        <v>27.027027027027</v>
      </c>
      <c r="AQ17" s="262"/>
      <c r="AR17" s="95" t="s">
        <v>299</v>
      </c>
      <c r="AS17" s="293">
        <f>B293</f>
        <v>27.027027027027</v>
      </c>
      <c r="AT17" s="262"/>
      <c r="AU17" s="95" t="s">
        <v>299</v>
      </c>
      <c r="AV17" s="293">
        <f>B293</f>
        <v>27.027027027027</v>
      </c>
      <c r="AW17" s="262"/>
      <c r="AX17" s="95" t="s">
        <v>299</v>
      </c>
      <c r="AY17" s="293">
        <f>B293</f>
        <v>27.027027027027</v>
      </c>
      <c r="AZ17" s="262"/>
      <c r="BA17" s="95" t="s">
        <v>299</v>
      </c>
      <c r="BB17" s="293">
        <f>B293</f>
        <v>27.027027027027</v>
      </c>
      <c r="BC17" s="262"/>
      <c r="BD17" s="95" t="s">
        <v>299</v>
      </c>
      <c r="BE17" s="293">
        <f>B293</f>
        <v>27.027027027027</v>
      </c>
      <c r="BF17" s="262"/>
      <c r="BG17" s="95" t="s">
        <v>299</v>
      </c>
      <c r="BH17" s="293">
        <f>B293</f>
        <v>27.027027027027</v>
      </c>
      <c r="BI17" s="262"/>
      <c r="BJ17" s="95" t="s">
        <v>299</v>
      </c>
      <c r="BK17" s="293">
        <f>B293</f>
        <v>27.027027027027</v>
      </c>
      <c r="BL17" s="262"/>
      <c r="BM17" s="95" t="s">
        <v>299</v>
      </c>
      <c r="BN17" s="293">
        <f>B293</f>
        <v>27.027027027027</v>
      </c>
      <c r="BO17" s="262"/>
      <c r="BP17" s="95" t="s">
        <v>299</v>
      </c>
      <c r="BQ17" s="293">
        <f>B293</f>
        <v>27.027027027027</v>
      </c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2.8714682642715718E-4</v>
      </c>
      <c r="CV17" s="271" t="s">
        <v>303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>
        <f>EZ2</f>
        <v>350.57864021245143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1.6034243405830633E-3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5.8031270640000001E-11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>
        <f>(K5/(K9*(K25+K28)*K39))/K54</f>
        <v>4.5181955528801848E-4</v>
      </c>
      <c r="L18" s="271" t="s">
        <v>303</v>
      </c>
      <c r="V18" s="88" t="s">
        <v>74</v>
      </c>
      <c r="W18" s="294">
        <f>((W5*W6*W9)/((W11/W12)*(1-EXP(-W6*W9))*W10*W13*W8*W9))/W20</f>
        <v>8.8904288046957015E-6</v>
      </c>
      <c r="X18" s="88" t="s">
        <v>16</v>
      </c>
      <c r="Y18" s="88" t="s">
        <v>74</v>
      </c>
      <c r="Z18" s="294">
        <f>((Z5*Z6*Z9)/((Z11/Z12)*(1-EXP(-Z6*Z9))*Z10*Z13*Z8*Z9))/Z20</f>
        <v>8.001385924226131E-6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2.0106623229231961</v>
      </c>
      <c r="CV18" s="271" t="s">
        <v>303</v>
      </c>
      <c r="CW18" s="266" t="s">
        <v>63</v>
      </c>
      <c r="CX18" s="189">
        <f>B28</f>
        <v>5.8031270640000001E-11</v>
      </c>
      <c r="CY18" s="266" t="s">
        <v>64</v>
      </c>
      <c r="CZ18" s="266" t="s">
        <v>258</v>
      </c>
      <c r="DA18" s="295">
        <f>GS2</f>
        <v>118.73070341026853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1.6034243405830633E-3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1.6034243405830633E-3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1.6034243405830633E-3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1.6034243405830633E-3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1.6034243405830633E-3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432.2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3.7739999999999999E-8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((W5*W6*W9)/((W11/W12)*(1-EXP(-W6*W9))*W14*W8*W9*(1/365)))/W20</f>
        <v>126.62126244378621</v>
      </c>
      <c r="X19" s="88" t="s">
        <v>16</v>
      </c>
      <c r="Y19" s="88" t="s">
        <v>78</v>
      </c>
      <c r="Z19" s="296">
        <f>((Z5*Z6*Z9)/((Z11/Z12)*(1-EXP(-Z6*Z9))*Z14*Z8*Z9*(1/365)))/Z20</f>
        <v>113.95913619940758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0.753</v>
      </c>
      <c r="AG19" s="305">
        <f>B4</f>
        <v>0.753</v>
      </c>
      <c r="AH19" s="267"/>
      <c r="BS19" s="262" t="s">
        <v>63</v>
      </c>
      <c r="BT19" s="287">
        <f>E18</f>
        <v>5.8031270640000001E-11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((CC22*CC23*CC24)/((1-EXP(-CC24*CC23))*CC27*CC31*(CC26/365)*CC29*(CC30/24)*CC28))/CC32</f>
        <v>715185.30148988345</v>
      </c>
      <c r="CD19" s="404" t="s">
        <v>307</v>
      </c>
      <c r="CE19" s="402" t="s">
        <v>562</v>
      </c>
      <c r="CF19" s="400">
        <f>((CF22*CF23*CF24)/((1-EXP(-CF24*CF23))*CF27*CF31*(CF26/365)*CF29*(CF30/24)*CF28))/CF32</f>
        <v>68577.918423345574</v>
      </c>
      <c r="CG19" s="398" t="s">
        <v>303</v>
      </c>
      <c r="CK19" s="410" t="s">
        <v>510</v>
      </c>
      <c r="CL19" s="400">
        <f>(CL22/(CL23*CL24*CL25*CL26))/CL27</f>
        <v>0.14205554371759371</v>
      </c>
      <c r="CM19" s="404" t="s">
        <v>303</v>
      </c>
      <c r="CN19" s="402" t="s">
        <v>7</v>
      </c>
      <c r="CO19" s="400">
        <f>(CL19/(CO22*((CO27*CO29*CO30*(CO23+CO24))+(CO28*CO29))))*CL30</f>
        <v>9475.2864018398595</v>
      </c>
      <c r="CP19" s="412" t="s">
        <v>303</v>
      </c>
      <c r="CQ19" s="402" t="s">
        <v>6</v>
      </c>
      <c r="CR19" s="400">
        <f>CL19/(CR22*CR23*(1/CR24))</f>
        <v>284111.08743518742</v>
      </c>
      <c r="CS19" s="415" t="s">
        <v>304</v>
      </c>
      <c r="CT19" s="266" t="s">
        <v>258</v>
      </c>
      <c r="CU19" s="295">
        <f>GV2</f>
        <v>0.90440525290175389</v>
      </c>
      <c r="CV19" s="271" t="s">
        <v>303</v>
      </c>
      <c r="CW19" s="266" t="s">
        <v>255</v>
      </c>
      <c r="CX19" s="304">
        <f>B173</f>
        <v>1</v>
      </c>
      <c r="CY19" s="88"/>
      <c r="CZ19" s="266" t="s">
        <v>184</v>
      </c>
      <c r="DA19" s="295">
        <f>EK2</f>
        <v>4.7462297133561622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432.2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432.2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432.2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432.2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432.2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299</v>
      </c>
      <c r="GP19" s="344">
        <f>B293</f>
        <v>27.027027027027</v>
      </c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1.036E-10</v>
      </c>
      <c r="C20" s="263" t="s">
        <v>35</v>
      </c>
      <c r="D20" s="88" t="s">
        <v>74</v>
      </c>
      <c r="E20" s="294">
        <f>((E5)/(E10*E11))/E26</f>
        <v>6.0893922786505965E-6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299</v>
      </c>
      <c r="W20" s="289">
        <f>B293</f>
        <v>27.027027027027</v>
      </c>
      <c r="Y20" s="95" t="s">
        <v>299</v>
      </c>
      <c r="Z20" s="289">
        <f>B293</f>
        <v>27.027027027027</v>
      </c>
      <c r="AB20" s="262" t="s">
        <v>71</v>
      </c>
      <c r="AC20" s="287">
        <f>B23</f>
        <v>2.767285944E-8</v>
      </c>
      <c r="AD20" s="287">
        <f>B23</f>
        <v>2.767285944E-8</v>
      </c>
      <c r="AE20" s="287">
        <f>B23</f>
        <v>2.767285944E-8</v>
      </c>
      <c r="AF20" s="287">
        <f>B23</f>
        <v>2.767285944E-8</v>
      </c>
      <c r="AG20" s="287">
        <f>B23</f>
        <v>2.767285944E-8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7.5434625911017503E-2</v>
      </c>
      <c r="CV20" s="271" t="s">
        <v>303</v>
      </c>
      <c r="CW20" s="88" t="s">
        <v>74</v>
      </c>
      <c r="CX20" s="294">
        <f>((CX5)/((CX14/CX15)*CX10*CX11))/CX26</f>
        <v>3.7852979029449654E-6</v>
      </c>
      <c r="CY20" s="88" t="s">
        <v>15</v>
      </c>
      <c r="CZ20" s="266" t="s">
        <v>493</v>
      </c>
      <c r="DA20" s="295">
        <f>DV2</f>
        <v>1223.2105696201713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4.3949771689497717E-6</v>
      </c>
      <c r="DH20" s="249" t="s">
        <v>82</v>
      </c>
      <c r="DL20" s="267"/>
      <c r="DO20" s="267" t="s">
        <v>90</v>
      </c>
      <c r="DP20" s="288">
        <f>0.693/B35</f>
        <v>4.3949771689497717E-6</v>
      </c>
      <c r="DQ20" s="249" t="s">
        <v>82</v>
      </c>
      <c r="DR20" s="95" t="s">
        <v>299</v>
      </c>
      <c r="DS20" s="289">
        <f>B293</f>
        <v>27.027027027027</v>
      </c>
      <c r="DU20" s="267"/>
      <c r="EA20" s="267"/>
      <c r="EB20" s="307"/>
      <c r="EC20" s="263"/>
      <c r="ED20" s="267" t="s">
        <v>90</v>
      </c>
      <c r="EE20" s="299">
        <f>0.693/B35</f>
        <v>4.3949771689497717E-6</v>
      </c>
      <c r="EF20" s="263" t="s">
        <v>82</v>
      </c>
      <c r="EG20" s="95" t="s">
        <v>299</v>
      </c>
      <c r="EH20" s="345">
        <f>B293</f>
        <v>27.027027027027</v>
      </c>
      <c r="EJ20" s="267"/>
      <c r="EP20" s="267"/>
      <c r="EQ20" s="307"/>
      <c r="ER20" s="263"/>
      <c r="ES20" s="267" t="s">
        <v>90</v>
      </c>
      <c r="ET20" s="299">
        <f>0.693/B35</f>
        <v>4.3949771689497717E-6</v>
      </c>
      <c r="EU20" s="263" t="s">
        <v>82</v>
      </c>
      <c r="EV20" s="95" t="s">
        <v>299</v>
      </c>
      <c r="EW20" s="345">
        <f>B293</f>
        <v>27.027027027027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4.3949771689497717E-6</v>
      </c>
      <c r="FJ20" s="263" t="s">
        <v>82</v>
      </c>
      <c r="FK20" s="95" t="s">
        <v>299</v>
      </c>
      <c r="FL20" s="345">
        <f>B293</f>
        <v>27.027027027027</v>
      </c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299</v>
      </c>
      <c r="GA20" s="344">
        <f>B293</f>
        <v>27.027027027027</v>
      </c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4.3949771689497717E-6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4.3949771689497717E-6</v>
      </c>
      <c r="HC20" s="263" t="s">
        <v>82</v>
      </c>
    </row>
    <row r="21" spans="1:214" ht="15" thickTop="1" thickBot="1" x14ac:dyDescent="0.25">
      <c r="A21" s="262" t="s">
        <v>316</v>
      </c>
      <c r="B21" s="315">
        <v>1.8425999999999999E-10</v>
      </c>
      <c r="C21" s="262" t="s">
        <v>35</v>
      </c>
      <c r="D21" s="88" t="s">
        <v>78</v>
      </c>
      <c r="E21" s="295">
        <f>((E5)/((E14/E15)*E8*E9*E18*(1/365)*E19))/E26</f>
        <v>25.573555734673043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((N24*N25*N26)/((1-EXP(-N26*N25))*N29*N34*(N28/365)*N32*(((N33/24)*N31)+((N35/24)*N30))))/N36</f>
        <v>0.23400232539087507</v>
      </c>
      <c r="O21" s="637" t="s">
        <v>307</v>
      </c>
      <c r="P21" s="639" t="s">
        <v>516</v>
      </c>
      <c r="Q21" s="647">
        <f>((Q24*Q25*Q26)/((1-EXP(-Q26*Q25))*Q29*Q34*(Q28/365)*Q32*(((Q33/24)*Q31)+((Q35/24)*Q30))))/Q36</f>
        <v>0.16956690245715586</v>
      </c>
      <c r="R21" s="643" t="s">
        <v>303</v>
      </c>
      <c r="AB21" s="262" t="s">
        <v>43</v>
      </c>
      <c r="AC21" s="290">
        <f>B19</f>
        <v>3.7739999999999999E-8</v>
      </c>
      <c r="AD21" s="290">
        <f>B19</f>
        <v>3.7739999999999999E-8</v>
      </c>
      <c r="AE21" s="290">
        <f>B19</f>
        <v>3.7739999999999999E-8</v>
      </c>
      <c r="AF21" s="290">
        <f>B19</f>
        <v>3.7739999999999999E-8</v>
      </c>
      <c r="AG21" s="290">
        <f>B19</f>
        <v>3.7739999999999999E-8</v>
      </c>
      <c r="AH21" s="263" t="s">
        <v>35</v>
      </c>
      <c r="AI21" s="381" t="s">
        <v>516</v>
      </c>
      <c r="AJ21" s="387">
        <f>((AJ24*AJ25*AJ26)/((1-EXP(-AJ26*AJ25))*AJ34*(AJ28/365)*AJ29*(AJ35/24)*AJ30*AJ32))/AJ36</f>
        <v>0.88496391704852473</v>
      </c>
      <c r="AK21" s="629" t="s">
        <v>307</v>
      </c>
      <c r="AL21" s="383" t="s">
        <v>516</v>
      </c>
      <c r="AM21" s="387">
        <f>((AM24*AM25*AM26)/((1-EXP(-AM26*AM25))*AM34*(AM28/365)*AM29*(AM35/24)*AM30*AM32))/AM36</f>
        <v>0.64127820075980024</v>
      </c>
      <c r="AN21" s="635" t="s">
        <v>303</v>
      </c>
      <c r="AR21" s="381" t="s">
        <v>516</v>
      </c>
      <c r="AS21" s="387">
        <f>((AS24*AS25*AS26)/((1-EXP(-AS26*AS25))*AS34*(AS28/365)*AS29*(AS33/24)*AS31*AS32))/AS36</f>
        <v>0.39331729646601088</v>
      </c>
      <c r="AT21" s="391" t="s">
        <v>307</v>
      </c>
      <c r="AU21" s="383" t="s">
        <v>516</v>
      </c>
      <c r="AV21" s="387">
        <f>((AV24*AV25*AV26)/((1-EXP(-AV26*AV25))*AV34*(AV28/365)*AV29*(AV33/24)*AV31*AV32))/AV36</f>
        <v>0.28501253367102236</v>
      </c>
      <c r="AW21" s="385" t="s">
        <v>303</v>
      </c>
      <c r="BA21" s="381" t="s">
        <v>516</v>
      </c>
      <c r="BB21" s="387">
        <f>((BB24*BB25*BB26)/((1-EXP(-BB26*BB25))*BB34*(BB28/365)*BB29*((BB33+BB35)/24)*BB31*BB32))/BB36</f>
        <v>0.3539855668194099</v>
      </c>
      <c r="BC21" s="391" t="s">
        <v>307</v>
      </c>
      <c r="BD21" s="383" t="s">
        <v>516</v>
      </c>
      <c r="BE21" s="387">
        <f>((BE24*BE25*BE26)/((1-EXP(-BE26*BE25))*BE34*(BE28/365)*BE29*((BE33+BE35)/24)*BE31*BE32))/BE36</f>
        <v>0.25651128030392012</v>
      </c>
      <c r="BF21" s="385" t="s">
        <v>303</v>
      </c>
      <c r="BJ21" s="381" t="s">
        <v>561</v>
      </c>
      <c r="BK21" s="389">
        <f>((BK24*BK25*BK26)/((1-EXP(-BK26*BK25))*BK31*BK35*(BK28/365)*BK33*(BK34/24)*BK32))/BK36</f>
        <v>1314458.1870862804</v>
      </c>
      <c r="BL21" s="391" t="s">
        <v>307</v>
      </c>
      <c r="BM21" s="383" t="s">
        <v>562</v>
      </c>
      <c r="BN21" s="389">
        <f>((BN24*BN25*BN26)/((1-EXP(-BN26*BN25))*BN31*BN35*(BN28/365)*BN33*(BN34/24)*BN32))/BN36</f>
        <v>126041.1897967072</v>
      </c>
      <c r="BO21" s="385" t="s">
        <v>303</v>
      </c>
      <c r="BS21" s="88" t="s">
        <v>74</v>
      </c>
      <c r="BT21" s="294">
        <f>((BT5)/(BT10*BT11))/BT29</f>
        <v>6.8201193520886689E-4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21.218869258281728</v>
      </c>
      <c r="CV21" s="271" t="s">
        <v>303</v>
      </c>
      <c r="CW21" s="88" t="s">
        <v>78</v>
      </c>
      <c r="CX21" s="296">
        <f>((CX5)/((CX14/CX15)*CX8*CX9*CX18*(1/365)*CX19))/CX26</f>
        <v>16.622811227537476</v>
      </c>
      <c r="CY21" s="88" t="s">
        <v>15</v>
      </c>
      <c r="CZ21" s="266" t="s">
        <v>492</v>
      </c>
      <c r="DA21" s="295">
        <f>GD2</f>
        <v>87.565533169368692</v>
      </c>
      <c r="DB21" s="88"/>
      <c r="DC21" s="249" t="s">
        <v>23</v>
      </c>
      <c r="DD21" s="287">
        <f>0.693/DD22</f>
        <v>1.6034243405830633E-3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9.1019999999999999E-11</v>
      </c>
      <c r="C22" s="262" t="s">
        <v>35</v>
      </c>
      <c r="D22" s="88" t="s">
        <v>74</v>
      </c>
      <c r="E22" s="295">
        <f>((E5*E9*E6)/((1-EXP(-E6*E9))*E10*E11))/E26</f>
        <v>6.2172046250207071E-6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((BT5)/((BT14/24)*(BT8/365)*BT9*BT19*BT20))/BT29</f>
        <v>2864.2382422833812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5.0000000000000001E-4</v>
      </c>
      <c r="CQ22" s="262" t="s">
        <v>265</v>
      </c>
      <c r="CR22" s="287">
        <f>CO22</f>
        <v>5.0000000000000001E-4</v>
      </c>
      <c r="CT22" s="266" t="s">
        <v>492</v>
      </c>
      <c r="CU22" s="295">
        <f>GG2</f>
        <v>0.50221176687671398</v>
      </c>
      <c r="CV22" s="271" t="s">
        <v>303</v>
      </c>
      <c r="CW22" s="88" t="s">
        <v>74</v>
      </c>
      <c r="CX22" s="294">
        <f>((CX5*CX9*CX6)/((CX14/CX15)*(1-EXP(-CX6*CX9))*CX10*CX11))/CX26</f>
        <v>3.9079841746572333E-6</v>
      </c>
      <c r="CY22" s="88" t="s">
        <v>16</v>
      </c>
      <c r="CZ22" s="266" t="s">
        <v>183</v>
      </c>
      <c r="DA22" s="296">
        <f>FO2</f>
        <v>6.0172943200467559E-4</v>
      </c>
      <c r="DB22" s="88"/>
      <c r="DC22" s="266" t="s">
        <v>270</v>
      </c>
      <c r="DD22" s="287">
        <f>B31</f>
        <v>432.2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2.767285944E-8</v>
      </c>
      <c r="C23" s="262" t="s">
        <v>95</v>
      </c>
      <c r="D23" s="88" t="s">
        <v>78</v>
      </c>
      <c r="E23" s="296">
        <f>((E5*E9*E6)/((E14/E15)*E8*E9*(1-EXP(-E6*E9))*E18*(1/365)*E19))/E26</f>
        <v>26.11032788103897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((BT5*BT28*BT6)/((1-EXP(-BT6*BT28))*BT10*BT11))/BT29</f>
        <v>6.9632691800231917E-4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1.3357000000000001E-10</v>
      </c>
      <c r="CM23" s="266" t="s">
        <v>13</v>
      </c>
      <c r="CN23" s="249" t="s">
        <v>21</v>
      </c>
      <c r="CO23" s="290">
        <f>CO25</f>
        <v>2.1999999999999999E-5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2.484928962521286E-6</v>
      </c>
      <c r="CV23" s="271" t="s">
        <v>303</v>
      </c>
      <c r="CW23" s="88" t="s">
        <v>78</v>
      </c>
      <c r="CX23" s="296">
        <f>((CX5*CX9*CX6)/((CX14/CX15)*CX8*CX9*(1-EXP(-CX6*CX9))*CX18*(1/365)*CX19))/CX26</f>
        <v>17.161577471878974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C23" s="95" t="s">
        <v>299</v>
      </c>
      <c r="DD23" s="345">
        <f>B293</f>
        <v>27.027027027027</v>
      </c>
      <c r="DF23" s="262" t="s">
        <v>17</v>
      </c>
      <c r="DG23" s="287">
        <f>B35</f>
        <v>157680</v>
      </c>
      <c r="DH23" s="249" t="s">
        <v>257</v>
      </c>
      <c r="DO23" s="262" t="s">
        <v>20</v>
      </c>
      <c r="DP23" s="305">
        <f>DP25</f>
        <v>1.914E-5</v>
      </c>
      <c r="EA23" s="262"/>
      <c r="EB23" s="293"/>
      <c r="EC23" s="263"/>
      <c r="ED23" s="262" t="s">
        <v>20</v>
      </c>
      <c r="EE23" s="305">
        <f>EE25</f>
        <v>2.1999999999999999E-5</v>
      </c>
      <c r="EF23" s="263"/>
      <c r="EP23" s="262"/>
      <c r="EQ23" s="293"/>
      <c r="ER23" s="263"/>
      <c r="ES23" s="262" t="s">
        <v>20</v>
      </c>
      <c r="ET23" s="305">
        <f>ET25</f>
        <v>2.1999999999999999E-5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1.914E-5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1.914E-5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1.914E-5</v>
      </c>
      <c r="HC23" s="263"/>
      <c r="HD23" s="219" t="s">
        <v>574</v>
      </c>
      <c r="HE23" s="348">
        <f>(HE25*HE33*HE38*HE32*10^-3*HE31*HE27)/(HE30*HE41*(1-EXP(-HE27*HE31)))</f>
        <v>1.1914446938913225E-2</v>
      </c>
      <c r="HF23" s="252" t="s">
        <v>303</v>
      </c>
    </row>
    <row r="24" spans="1:214" ht="14.25" thickTop="1" thickBot="1" x14ac:dyDescent="0.25">
      <c r="A24" s="262" t="s">
        <v>450</v>
      </c>
      <c r="B24" s="315">
        <v>1.86820992E-8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((BT5*BT28*BT6)/((BT14/24)*(BT8/365)*BT9*(1-EXP(-BT6*BT28))*BT19*BT20))/BT29</f>
        <v>2924.3567226763648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1.6034243405830633E-3</v>
      </c>
      <c r="CE24" s="262" t="s">
        <v>23</v>
      </c>
      <c r="CF24" s="288">
        <f>0.693/CF25</f>
        <v>1.6034243405830633E-3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2.6257978781358567E-4</v>
      </c>
      <c r="HF24" s="75" t="s">
        <v>303</v>
      </c>
    </row>
    <row r="25" spans="1:214" ht="13.5" thickTop="1" x14ac:dyDescent="0.2">
      <c r="A25" s="262" t="s">
        <v>449</v>
      </c>
      <c r="B25" s="315">
        <v>1.3754695536000001E-8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8.0013853624267498E-6</v>
      </c>
      <c r="X25" s="254" t="s">
        <v>302</v>
      </c>
      <c r="Y25" s="321" t="s">
        <v>16</v>
      </c>
      <c r="Z25" s="358">
        <f>1/((1/Z38)+(1/Z39))</f>
        <v>3.7737626551610049E-4</v>
      </c>
      <c r="AA25" s="255" t="s">
        <v>302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432.2</v>
      </c>
      <c r="CD25" s="249" t="s">
        <v>69</v>
      </c>
      <c r="CE25" s="266" t="s">
        <v>270</v>
      </c>
      <c r="CF25" s="287">
        <f>B31</f>
        <v>432.2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2.1999999999999999E-5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1.914E-5</v>
      </c>
      <c r="EA25" s="262"/>
      <c r="EC25" s="263"/>
      <c r="ED25" s="262" t="s">
        <v>38</v>
      </c>
      <c r="EE25" s="287">
        <f>B45</f>
        <v>2.1999999999999999E-5</v>
      </c>
      <c r="EF25" s="263"/>
      <c r="EP25" s="262"/>
      <c r="ER25" s="263"/>
      <c r="ES25" s="263" t="s">
        <v>37</v>
      </c>
      <c r="ET25" s="287">
        <f>B45</f>
        <v>2.1999999999999999E-5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1.914E-5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1.914E-5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1.914E-5</v>
      </c>
      <c r="HC25" s="263"/>
      <c r="HD25" s="265" t="s">
        <v>22</v>
      </c>
      <c r="HE25" s="305">
        <f>B47</f>
        <v>0.55500055500055501</v>
      </c>
      <c r="HF25" s="262" t="s">
        <v>304</v>
      </c>
    </row>
    <row r="26" spans="1:214" ht="13.5" thickBot="1" x14ac:dyDescent="0.25">
      <c r="A26" s="262" t="s">
        <v>451</v>
      </c>
      <c r="B26" s="315">
        <v>2.5781296896000001E-8</v>
      </c>
      <c r="C26" s="262" t="s">
        <v>95</v>
      </c>
      <c r="D26" s="95" t="s">
        <v>299</v>
      </c>
      <c r="E26" s="289">
        <f>B293</f>
        <v>27.027027027027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1.6034243405830633E-3</v>
      </c>
      <c r="P26" s="262" t="s">
        <v>23</v>
      </c>
      <c r="Q26" s="288">
        <f>0.693/Q27</f>
        <v>1.6034243405830633E-3</v>
      </c>
      <c r="V26" s="320" t="s">
        <v>15</v>
      </c>
      <c r="W26" s="359">
        <f>1/((1/W38)+(1/W39))</f>
        <v>7.8431367042136629E-6</v>
      </c>
      <c r="X26" s="258" t="s">
        <v>302</v>
      </c>
      <c r="Y26" s="322" t="s">
        <v>15</v>
      </c>
      <c r="Z26" s="360">
        <f>1/((1/Z40)+(1/Z41))</f>
        <v>3.7707388001027229E-4</v>
      </c>
      <c r="AA26" s="259" t="s">
        <v>302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1.6034243405830633E-3</v>
      </c>
      <c r="AL26" s="262" t="s">
        <v>23</v>
      </c>
      <c r="AM26" s="288">
        <f>0.693/AM27</f>
        <v>1.6034243405830633E-3</v>
      </c>
      <c r="AR26" s="262" t="s">
        <v>23</v>
      </c>
      <c r="AS26" s="288">
        <f>0.693/AS27</f>
        <v>1.6034243405830633E-3</v>
      </c>
      <c r="AU26" s="262" t="s">
        <v>23</v>
      </c>
      <c r="AV26" s="288">
        <f>0.693/AV27</f>
        <v>1.6034243405830633E-3</v>
      </c>
      <c r="BA26" s="262" t="s">
        <v>23</v>
      </c>
      <c r="BB26" s="288">
        <f>0.693/BB27</f>
        <v>1.6034243405830633E-3</v>
      </c>
      <c r="BD26" s="262" t="s">
        <v>23</v>
      </c>
      <c r="BE26" s="288">
        <f>0.693/BE27</f>
        <v>1.6034243405830633E-3</v>
      </c>
      <c r="BJ26" s="262" t="s">
        <v>23</v>
      </c>
      <c r="BK26" s="288">
        <f>0.693/BK27</f>
        <v>1.6034243405830633E-3</v>
      </c>
      <c r="BM26" s="262" t="s">
        <v>23</v>
      </c>
      <c r="BN26" s="288">
        <f>0.693/BN27</f>
        <v>1.6034243405830633E-3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95" t="s">
        <v>299</v>
      </c>
      <c r="CX26" s="346">
        <f>B293</f>
        <v>27.027027027027</v>
      </c>
      <c r="CY26" s="88"/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2.1999999999999999E-5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1.223153107447226E-2</v>
      </c>
      <c r="HF26" s="262" t="s">
        <v>304</v>
      </c>
    </row>
    <row r="27" spans="1:214" ht="12.75" customHeight="1" thickTop="1" x14ac:dyDescent="0.2">
      <c r="A27" s="262" t="s">
        <v>452</v>
      </c>
      <c r="B27" s="315">
        <v>2.767285944E-8</v>
      </c>
      <c r="C27" s="262" t="s">
        <v>95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432.2</v>
      </c>
      <c r="O27" s="249" t="s">
        <v>69</v>
      </c>
      <c r="P27" s="266" t="s">
        <v>270</v>
      </c>
      <c r="Q27" s="287">
        <f>B31</f>
        <v>432.2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1.6034243405830633E-3</v>
      </c>
      <c r="AD27" s="288">
        <f>0.693/AD28</f>
        <v>1.6034243405830633E-3</v>
      </c>
      <c r="AE27" s="288">
        <f>0.693/AE28</f>
        <v>1.6034243405830633E-3</v>
      </c>
      <c r="AF27" s="288">
        <f>0.693/AF28</f>
        <v>1.6034243405830633E-3</v>
      </c>
      <c r="AG27" s="288">
        <f>0.693/AG28</f>
        <v>1.6034243405830633E-3</v>
      </c>
      <c r="AI27" s="266" t="s">
        <v>270</v>
      </c>
      <c r="AJ27" s="287">
        <f>B31</f>
        <v>432.2</v>
      </c>
      <c r="AK27" s="249" t="s">
        <v>69</v>
      </c>
      <c r="AL27" s="266" t="s">
        <v>270</v>
      </c>
      <c r="AM27" s="287">
        <f>B31</f>
        <v>432.2</v>
      </c>
      <c r="AN27" s="249" t="s">
        <v>69</v>
      </c>
      <c r="AR27" s="266" t="s">
        <v>270</v>
      </c>
      <c r="AS27" s="287">
        <f>B31</f>
        <v>432.2</v>
      </c>
      <c r="AT27" s="249" t="s">
        <v>69</v>
      </c>
      <c r="AU27" s="266" t="s">
        <v>270</v>
      </c>
      <c r="AV27" s="287">
        <f>B31</f>
        <v>432.2</v>
      </c>
      <c r="AW27" s="249" t="s">
        <v>69</v>
      </c>
      <c r="BA27" s="266" t="s">
        <v>270</v>
      </c>
      <c r="BB27" s="287">
        <f>B31</f>
        <v>432.2</v>
      </c>
      <c r="BC27" s="249" t="s">
        <v>69</v>
      </c>
      <c r="BD27" s="266" t="s">
        <v>270</v>
      </c>
      <c r="BE27" s="287">
        <f>B31</f>
        <v>432.2</v>
      </c>
      <c r="BF27" s="249" t="s">
        <v>69</v>
      </c>
      <c r="BJ27" s="266" t="s">
        <v>270</v>
      </c>
      <c r="BK27" s="287">
        <f>B31</f>
        <v>432.2</v>
      </c>
      <c r="BL27" s="249" t="s">
        <v>69</v>
      </c>
      <c r="BM27" s="266" t="s">
        <v>270</v>
      </c>
      <c r="BN27" s="287">
        <f>B31</f>
        <v>432.2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299</v>
      </c>
      <c r="CL27" s="289">
        <f>B293</f>
        <v>27.027027027027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4.2E-7</v>
      </c>
      <c r="EP27" s="262"/>
      <c r="EQ27" s="310"/>
      <c r="ES27" s="262" t="s">
        <v>275</v>
      </c>
      <c r="ET27" s="310">
        <f>B38</f>
        <v>5.0000000000000001E-4</v>
      </c>
      <c r="FH27" s="262" t="s">
        <v>201</v>
      </c>
      <c r="FI27" s="310">
        <f>B40</f>
        <v>3.0000000000000001E-3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6.0000000000000001E-3</v>
      </c>
      <c r="GS27" s="328"/>
      <c r="GT27" s="264"/>
      <c r="GU27" s="264"/>
      <c r="GV27" s="328"/>
      <c r="GW27" s="264"/>
      <c r="HA27" s="262" t="s">
        <v>277</v>
      </c>
      <c r="HB27" s="310">
        <f>B41</f>
        <v>1.7000000000000001E-4</v>
      </c>
      <c r="HD27" s="262" t="s">
        <v>23</v>
      </c>
      <c r="HE27" s="288">
        <f>0.693/HE28</f>
        <v>1.6034243405830633E-3</v>
      </c>
    </row>
    <row r="28" spans="1:214" ht="15.75" thickBot="1" x14ac:dyDescent="0.25">
      <c r="A28" s="262" t="s">
        <v>63</v>
      </c>
      <c r="B28" s="315">
        <v>5.8031270640000001E-11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1.6034243405830633E-3</v>
      </c>
      <c r="Y28" s="262" t="s">
        <v>23</v>
      </c>
      <c r="Z28" s="288">
        <f>0.693/Z29</f>
        <v>1.6034243405830633E-3</v>
      </c>
      <c r="AB28" s="266" t="s">
        <v>270</v>
      </c>
      <c r="AC28" s="287">
        <f>B31</f>
        <v>432.2</v>
      </c>
      <c r="AD28" s="287">
        <f>B31</f>
        <v>432.2</v>
      </c>
      <c r="AE28" s="287">
        <f>B31</f>
        <v>432.2</v>
      </c>
      <c r="AF28" s="287">
        <f>B31</f>
        <v>432.2</v>
      </c>
      <c r="AG28" s="287">
        <f>B31</f>
        <v>432.2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1.5699999999999999E-5</v>
      </c>
      <c r="CE28" s="249" t="s">
        <v>458</v>
      </c>
      <c r="CF28" s="287">
        <f>B8</f>
        <v>1.35E-4</v>
      </c>
      <c r="CK28" s="266" t="s">
        <v>270</v>
      </c>
      <c r="CL28" s="287">
        <f>B31</f>
        <v>432.2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432.2</v>
      </c>
      <c r="HF28" s="249" t="s">
        <v>69</v>
      </c>
    </row>
    <row r="29" spans="1:214" ht="18.75" thickTop="1" x14ac:dyDescent="0.2">
      <c r="A29" s="266" t="s">
        <v>161</v>
      </c>
      <c r="B29" s="315">
        <v>1.319423256E-13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432.2</v>
      </c>
      <c r="X29" s="249" t="s">
        <v>69</v>
      </c>
      <c r="Y29" s="266" t="s">
        <v>270</v>
      </c>
      <c r="Z29" s="287">
        <f>B31</f>
        <v>432.2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95" t="s">
        <v>299</v>
      </c>
      <c r="BT29" s="313">
        <f>B293</f>
        <v>27.027027027027</v>
      </c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0.80900000000000005</v>
      </c>
      <c r="CE29" s="249" t="s">
        <v>459</v>
      </c>
      <c r="CF29" s="287">
        <f>B9</f>
        <v>0.71099999999999997</v>
      </c>
      <c r="CK29" s="249" t="s">
        <v>23</v>
      </c>
      <c r="CL29" s="288">
        <f>693/CL28</f>
        <v>1.6034243405830635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1.3357000000000001E-10</v>
      </c>
      <c r="C30" s="267" t="s">
        <v>35</v>
      </c>
      <c r="D30" s="203" t="s">
        <v>510</v>
      </c>
      <c r="E30" s="204">
        <f>E37</f>
        <v>5.6371247506981624E-4</v>
      </c>
      <c r="F30" s="184" t="s">
        <v>303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354">
        <f>(AC26*AC27)/(1-EXP(-AC27*AC26))</f>
        <v>1.0201767053388309</v>
      </c>
      <c r="AD30" s="354">
        <f>(AD26*AD27)/(1-EXP(-AD27*AD26))</f>
        <v>1.0201767053388309</v>
      </c>
      <c r="AE30" s="354">
        <f>(AE26*AE27)/(1-EXP(-AE27*AE26))</f>
        <v>1.0201767053388309</v>
      </c>
      <c r="AF30" s="354">
        <f>(AF26*AF27)/(1-EXP(-AF27*AF26))</f>
        <v>1.0008019264177617</v>
      </c>
      <c r="AG30" s="354">
        <f>(AG26*AG27)/(1-EXP(-AG27*AG26))</f>
        <v>1.0008019264177617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41.689032855159653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315">
        <v>432.2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2.41E-4</v>
      </c>
      <c r="CB31" s="249" t="s">
        <v>71</v>
      </c>
      <c r="CC31" s="290">
        <f>B24</f>
        <v>1.86820992E-8</v>
      </c>
      <c r="CD31" s="262" t="s">
        <v>282</v>
      </c>
      <c r="CE31" s="249" t="s">
        <v>71</v>
      </c>
      <c r="CF31" s="290">
        <f>B26</f>
        <v>2.5781296896000001E-8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3.7739999999999999E-8</v>
      </c>
      <c r="X32" s="263" t="s">
        <v>44</v>
      </c>
      <c r="Y32" s="249" t="s">
        <v>43</v>
      </c>
      <c r="Z32" s="290">
        <f>B19</f>
        <v>3.7739999999999999E-8</v>
      </c>
      <c r="AA32" s="263" t="s">
        <v>44</v>
      </c>
      <c r="AB32" s="266" t="s">
        <v>80</v>
      </c>
      <c r="AC32" s="294">
        <f>((AC5/(AC9*AC14*AC8*AC11*(1/AC6)))*AC30)/AC38</f>
        <v>0.66352956444802069</v>
      </c>
      <c r="AD32" s="294">
        <f>((AD5/(AD9*AD14*AD8*AD11*(1/AD6)))*AD30)/AD38</f>
        <v>1.3270591288960414</v>
      </c>
      <c r="AE32" s="294">
        <f>((AE5/(AE9*AE14*AE8*AE11*(1/AE6)))*AE30)/AE38</f>
        <v>0.7372550716089119</v>
      </c>
      <c r="AF32" s="294">
        <f>((AF5/(AF9*AF14*AF8*AF11*(1/AF6)))*AF30)/AF38</f>
        <v>9.4832179811033654</v>
      </c>
      <c r="AG32" s="294">
        <f>((AG5/(AG9*AG14*AG8*AG11*(1/AG6)))*AG30)/AG38</f>
        <v>9.4832179811033654</v>
      </c>
      <c r="AH32" s="266" t="s">
        <v>303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1.5699999999999999E-5</v>
      </c>
      <c r="BM32" s="249" t="s">
        <v>458</v>
      </c>
      <c r="BN32" s="287">
        <f>B8</f>
        <v>1.35E-4</v>
      </c>
      <c r="BV32" s="95" t="s">
        <v>299</v>
      </c>
      <c r="BW32" s="289">
        <f>B293</f>
        <v>27.027027027027</v>
      </c>
      <c r="BY32" s="262" t="s">
        <v>62</v>
      </c>
      <c r="BZ32" s="305">
        <f>B4</f>
        <v>0.753</v>
      </c>
      <c r="CB32" s="95" t="s">
        <v>299</v>
      </c>
      <c r="CC32" s="289">
        <f>B293</f>
        <v>27.027027027027</v>
      </c>
      <c r="CE32" s="95" t="s">
        <v>299</v>
      </c>
      <c r="CF32" s="289">
        <f>B293</f>
        <v>27.027027027027</v>
      </c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A32" s="366">
        <f>HE3*HE8*HE15*HE16/0.037</f>
        <v>1.8759533283765877E-11</v>
      </c>
      <c r="HD32" s="263" t="s">
        <v>39</v>
      </c>
      <c r="HE32" s="292">
        <f>B285</f>
        <v>70</v>
      </c>
      <c r="HF32" s="249" t="s">
        <v>69</v>
      </c>
    </row>
    <row r="33" spans="1:214" ht="13.15" customHeight="1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((AC5/(AC21*AC17*AC8*AC11*(1/AC35)*((8/1)/(24/1))*AC31))*AC30)/AC38</f>
        <v>10.876639737089068</v>
      </c>
      <c r="AD33" s="295">
        <f>((AD5/(AD21*AD17*AD8*((8/1)/(24/1))*AD11*(1/AD35)*AD31))*AD30)/AD38</f>
        <v>10.876639737089068</v>
      </c>
      <c r="AE33" s="295">
        <f>((AE5/(AE21*AE17*AE8*((8/1)/(24/1))*AE11*(1/AE35)*AE31))*AE30)/AE38</f>
        <v>12.085155263432295</v>
      </c>
      <c r="AF33" s="295">
        <f>((AF5/(AF21*AF17*AF8*AF11*(1/AF36)*(AF23/24)*AF31))*AF30)/AF38</f>
        <v>0.29196910837517631</v>
      </c>
      <c r="AG33" s="295">
        <f>((AG5/(AG21*AG17*AG8*AG11*(1/AG37)*(AG23/24)*AG31))*AG30)/AG38</f>
        <v>13.606627114052946</v>
      </c>
      <c r="AH33" s="88" t="s">
        <v>303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0.80900000000000005</v>
      </c>
      <c r="BM33" s="249" t="s">
        <v>459</v>
      </c>
      <c r="BN33" s="287">
        <f>B9</f>
        <v>0.71099999999999997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1.3357000000000001E-10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1.86820992E-8</v>
      </c>
      <c r="O34" s="263" t="s">
        <v>447</v>
      </c>
      <c r="P34" s="249" t="s">
        <v>451</v>
      </c>
      <c r="Q34" s="290">
        <f>B26</f>
        <v>2.5781296896000001E-8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((AC5/(AC20*(AC8/365)*AC11*((AC23+AC24)/24)*AC16*AC19))*AC30)/AC38</f>
        <v>0.23897759785276618</v>
      </c>
      <c r="AD34" s="296">
        <f>((AD5/(AD20*(AD8/365)*AD11*(AD24/24)*AD18*AD19))*AD30)/AD38</f>
        <v>0.59744399463191533</v>
      </c>
      <c r="AE34" s="296">
        <f>((AE5/(AE20*(AE8/365)*AE11*(AE23/24)*AE16*AE19))*AE30)/AE38</f>
        <v>0.26553066428085131</v>
      </c>
      <c r="AF34" s="296">
        <f>((AF5/(AF20*(AF8/365)*AF11*(AF23/24)*AF16*AF19))*AF30)/AF38</f>
        <v>62109.00440495689</v>
      </c>
      <c r="AG34" s="296">
        <f>((AG5/(AG20*(AG8/365)*AG11*(AG23/24)*AG16*AG19))*AG30)/AG38</f>
        <v>62109.00440495689</v>
      </c>
      <c r="AH34" s="266" t="s">
        <v>303</v>
      </c>
      <c r="AI34" s="262" t="s">
        <v>450</v>
      </c>
      <c r="AJ34" s="290">
        <f>B24</f>
        <v>1.86820992E-8</v>
      </c>
      <c r="AK34" s="262" t="s">
        <v>282</v>
      </c>
      <c r="AL34" s="262" t="s">
        <v>451</v>
      </c>
      <c r="AM34" s="290">
        <f>B26</f>
        <v>2.5781296896000001E-8</v>
      </c>
      <c r="AN34" s="263" t="s">
        <v>72</v>
      </c>
      <c r="AR34" s="262" t="s">
        <v>450</v>
      </c>
      <c r="AS34" s="290">
        <f>B24</f>
        <v>1.86820992E-8</v>
      </c>
      <c r="AT34" s="262" t="s">
        <v>282</v>
      </c>
      <c r="AU34" s="262" t="s">
        <v>451</v>
      </c>
      <c r="AV34" s="290">
        <f>B26</f>
        <v>2.5781296896000001E-8</v>
      </c>
      <c r="AW34" s="263" t="s">
        <v>72</v>
      </c>
      <c r="BA34" s="262" t="s">
        <v>450</v>
      </c>
      <c r="BB34" s="290">
        <f>B24</f>
        <v>1.86820992E-8</v>
      </c>
      <c r="BC34" s="262" t="s">
        <v>282</v>
      </c>
      <c r="BD34" s="262" t="s">
        <v>451</v>
      </c>
      <c r="BE34" s="290">
        <f>B26</f>
        <v>2.5781296896000001E-8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4</v>
      </c>
      <c r="HF34" s="249" t="s">
        <v>19</v>
      </c>
    </row>
    <row r="35" spans="1:214" ht="13.15" customHeight="1" x14ac:dyDescent="0.2">
      <c r="A35" s="266" t="s">
        <v>270</v>
      </c>
      <c r="B35" s="315">
        <v>157680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1.86820992E-8</v>
      </c>
      <c r="BL35" s="262" t="s">
        <v>282</v>
      </c>
      <c r="BM35" s="262" t="s">
        <v>451</v>
      </c>
      <c r="BN35" s="290">
        <f>B26</f>
        <v>2.5781296896000001E-8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ht="13.5" customHeight="1" x14ac:dyDescent="0.2">
      <c r="A36" s="262" t="s">
        <v>122</v>
      </c>
      <c r="B36" s="314">
        <v>240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95" t="s">
        <v>299</v>
      </c>
      <c r="N36" s="361">
        <f>B293</f>
        <v>27.027027027027</v>
      </c>
      <c r="O36" s="281"/>
      <c r="P36" s="95" t="s">
        <v>299</v>
      </c>
      <c r="Q36" s="361">
        <f>B293</f>
        <v>27.027027027027</v>
      </c>
      <c r="R36" s="281"/>
      <c r="V36" s="262" t="s">
        <v>63</v>
      </c>
      <c r="W36" s="287">
        <f>B28</f>
        <v>5.8031270640000001E-11</v>
      </c>
      <c r="X36" s="262" t="s">
        <v>64</v>
      </c>
      <c r="Y36" s="262" t="s">
        <v>63</v>
      </c>
      <c r="Z36" s="287">
        <f>B28</f>
        <v>5.8031270640000001E-11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299</v>
      </c>
      <c r="AJ36" s="289">
        <f>B293</f>
        <v>27.027027027027</v>
      </c>
      <c r="AL36" s="95" t="s">
        <v>299</v>
      </c>
      <c r="AM36" s="289">
        <f>B293</f>
        <v>27.027027027027</v>
      </c>
      <c r="AR36" s="95" t="s">
        <v>299</v>
      </c>
      <c r="AS36" s="289">
        <f>B293</f>
        <v>27.027027027027</v>
      </c>
      <c r="AU36" s="95" t="s">
        <v>299</v>
      </c>
      <c r="AV36" s="289">
        <f>B293</f>
        <v>27.027027027027</v>
      </c>
      <c r="BA36" s="95" t="s">
        <v>299</v>
      </c>
      <c r="BB36" s="289">
        <f>B293</f>
        <v>27.027027027027</v>
      </c>
      <c r="BD36" s="95" t="s">
        <v>299</v>
      </c>
      <c r="BE36" s="289">
        <f>B293</f>
        <v>27.027027027027</v>
      </c>
      <c r="BJ36" s="95" t="s">
        <v>299</v>
      </c>
      <c r="BK36" s="289">
        <f>B293</f>
        <v>27.027027027027</v>
      </c>
      <c r="BM36" s="95" t="s">
        <v>299</v>
      </c>
      <c r="BN36" s="289">
        <f>B293</f>
        <v>27.027027027027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ht="12.75" customHeight="1" x14ac:dyDescent="0.2">
      <c r="A37" s="262" t="s">
        <v>278</v>
      </c>
      <c r="B37" s="315">
        <v>4.2E-7</v>
      </c>
      <c r="C37" s="263" t="s">
        <v>298</v>
      </c>
      <c r="D37" s="262" t="s">
        <v>80</v>
      </c>
      <c r="E37" s="300">
        <f>(E32/(E34*E33*E35*E36))/E38</f>
        <v>5.6371247506981624E-4</v>
      </c>
      <c r="F37" s="263" t="s">
        <v>303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BY37" s="95" t="s">
        <v>299</v>
      </c>
      <c r="BZ37" s="345">
        <f>B293</f>
        <v>27.027027027027</v>
      </c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5.0000000000000001E-4</v>
      </c>
      <c r="C38" s="263" t="s">
        <v>298</v>
      </c>
      <c r="D38" s="95" t="s">
        <v>299</v>
      </c>
      <c r="E38" s="289">
        <f>B293</f>
        <v>27.027027027027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((W27)/((W33/W34)*W30*W31*W32*W35))/W42</f>
        <v>7.8431372549019691E-6</v>
      </c>
      <c r="X38" s="88" t="s">
        <v>15</v>
      </c>
      <c r="Y38" s="88" t="s">
        <v>74</v>
      </c>
      <c r="Z38" s="294">
        <f>((Z27*Z31*Z28)/((1-EXP(-Z28))*Z31*Z32*Z30*Z44*(Z33/Z34)*Z35))/Z46</f>
        <v>3.7737629201273112E-4</v>
      </c>
      <c r="AA38" s="88" t="s">
        <v>16</v>
      </c>
      <c r="AB38" s="95" t="s">
        <v>299</v>
      </c>
      <c r="AC38" s="345">
        <f>B293</f>
        <v>27.027027027027</v>
      </c>
      <c r="AD38" s="345">
        <f>B293</f>
        <v>27.027027027027</v>
      </c>
      <c r="AE38" s="345">
        <f>B293</f>
        <v>27.027027027027</v>
      </c>
      <c r="AF38" s="345">
        <f>B293</f>
        <v>27.027027027027</v>
      </c>
      <c r="AG38" s="345">
        <f>B293</f>
        <v>27.027027027027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x14ac:dyDescent="0.2">
      <c r="A39" s="262" t="s">
        <v>276</v>
      </c>
      <c r="B39" s="315">
        <v>6.0000000000000001E-3</v>
      </c>
      <c r="C39" s="263" t="s">
        <v>298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((W27)/((W33/W34)*W30*W31*W36*(1/365)))/W42</f>
        <v>111.70529144905188</v>
      </c>
      <c r="X39" s="88" t="s">
        <v>15</v>
      </c>
      <c r="Y39" s="88" t="s">
        <v>78</v>
      </c>
      <c r="Z39" s="296">
        <f>((Z27*Z31*Z28)/((1-EXP(-Z28*Z31))*Z36*Z30*Z44*(Z33/Z34)*Z37*(Z44/Z45)))/Z46</f>
        <v>5374.7534073686847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3.0000000000000001E-3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((W27*W28*W31)/((W33/W34)*(1-EXP(-W28*W31))*W32*W35*W30*W31))/W42</f>
        <v>8.001385924226131E-6</v>
      </c>
      <c r="X40" s="88" t="s">
        <v>16</v>
      </c>
      <c r="Y40" s="88" t="s">
        <v>74</v>
      </c>
      <c r="Z40" s="294">
        <f>(Z27/((Z32*Z30*Z44*(Z33/Z34)*Z35)))/Z46</f>
        <v>3.7707390648567164E-4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1.7000000000000001E-4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((W27*W28*W31)/((W33/W34)*(1-EXP(-W28*W31))*W36*W30*W31*(1/365)))/W42</f>
        <v>113.95913619940758</v>
      </c>
      <c r="X41" s="88" t="s">
        <v>16</v>
      </c>
      <c r="Y41" s="88" t="s">
        <v>78</v>
      </c>
      <c r="Z41" s="296">
        <f>(Z27/(Z36*Z30*(1/Z45)*Z44*(Z33/Z34)*Z37))/Z46</f>
        <v>5370.4467042813394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1</v>
      </c>
      <c r="HF41" s="249" t="s">
        <v>113</v>
      </c>
    </row>
    <row r="42" spans="1:214" x14ac:dyDescent="0.2">
      <c r="A42" s="249" t="s">
        <v>265</v>
      </c>
      <c r="B42" s="315">
        <v>5.0000000000000001E-4</v>
      </c>
      <c r="C42" s="263" t="s">
        <v>298</v>
      </c>
      <c r="D42" s="203" t="s">
        <v>510</v>
      </c>
      <c r="E42" s="204">
        <f>E52</f>
        <v>2.3488019794575682E-3</v>
      </c>
      <c r="F42" s="184" t="s">
        <v>304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299</v>
      </c>
      <c r="W42" s="289">
        <f>B293</f>
        <v>27.027027027027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3.15" customHeight="1" thickBot="1" x14ac:dyDescent="0.25">
      <c r="A43" s="262" t="s">
        <v>264</v>
      </c>
      <c r="B43" s="315">
        <v>6.0000000000000001E-3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1.914E-5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ht="12.75" customHeight="1" x14ac:dyDescent="0.2">
      <c r="A45" s="249" t="s">
        <v>38</v>
      </c>
      <c r="B45" s="315">
        <v>2.1999999999999999E-5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97">
        <v>4</v>
      </c>
      <c r="C46" s="249" t="s">
        <v>19</v>
      </c>
      <c r="D46" s="262" t="s">
        <v>438</v>
      </c>
      <c r="E46" s="287">
        <f>B30</f>
        <v>1.3357000000000001E-10</v>
      </c>
      <c r="F46" s="262" t="s">
        <v>289</v>
      </c>
      <c r="G46" s="249" t="s">
        <v>20</v>
      </c>
      <c r="H46" s="287">
        <f>H48</f>
        <v>1.914E-5</v>
      </c>
      <c r="I46" s="263"/>
      <c r="J46" s="269" t="s">
        <v>107</v>
      </c>
      <c r="K46" s="292">
        <f>K34</f>
        <v>26</v>
      </c>
      <c r="L46" s="269" t="s">
        <v>69</v>
      </c>
      <c r="Y46" s="95" t="s">
        <v>299</v>
      </c>
      <c r="Z46" s="289">
        <f>B293</f>
        <v>27.027027027027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347">
        <f>15/27.027</f>
        <v>0.55500055500055501</v>
      </c>
      <c r="C47" s="262" t="s">
        <v>581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1.914E-5</v>
      </c>
      <c r="K48" s="289">
        <v>1000</v>
      </c>
      <c r="L48" s="249" t="s">
        <v>115</v>
      </c>
      <c r="CT48" s="95" t="s">
        <v>299</v>
      </c>
      <c r="CU48" s="289">
        <f>B293</f>
        <v>27.027027027027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53" customFormat="1" x14ac:dyDescent="0.2">
      <c r="A49" s="249" t="s">
        <v>331</v>
      </c>
      <c r="B49" s="284">
        <v>0.25</v>
      </c>
      <c r="C49" s="249"/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I49" s="249"/>
      <c r="J49" s="249"/>
      <c r="K49" s="297">
        <v>1000</v>
      </c>
      <c r="L49" s="249" t="s">
        <v>24</v>
      </c>
      <c r="M49" s="249"/>
      <c r="N49" s="289"/>
      <c r="O49" s="249"/>
      <c r="P49" s="249"/>
      <c r="Q49" s="289"/>
      <c r="R49" s="249"/>
      <c r="S49" s="249"/>
      <c r="T49" s="289"/>
      <c r="U49" s="249"/>
      <c r="V49" s="249"/>
      <c r="W49" s="289"/>
      <c r="X49" s="249"/>
      <c r="Y49" s="249"/>
      <c r="Z49" s="289"/>
      <c r="AA49" s="249"/>
      <c r="AB49" s="249"/>
      <c r="AC49" s="289"/>
      <c r="AD49" s="289"/>
      <c r="AE49" s="289"/>
      <c r="AF49" s="289"/>
      <c r="AG49" s="289"/>
      <c r="AH49" s="249"/>
      <c r="AI49" s="249"/>
      <c r="AJ49" s="289"/>
      <c r="AK49" s="249"/>
      <c r="AL49" s="249"/>
      <c r="AM49" s="289"/>
      <c r="AN49" s="249"/>
      <c r="AO49" s="249"/>
      <c r="AP49" s="289"/>
      <c r="AQ49" s="249"/>
      <c r="AR49" s="249"/>
      <c r="AS49" s="289"/>
      <c r="AT49" s="249"/>
      <c r="AU49" s="249"/>
      <c r="AV49" s="289"/>
      <c r="AW49" s="249"/>
      <c r="AX49" s="249"/>
      <c r="AY49" s="289"/>
      <c r="AZ49" s="249"/>
      <c r="BA49" s="249"/>
      <c r="BB49" s="289"/>
      <c r="BC49" s="249"/>
      <c r="BD49" s="249"/>
      <c r="BE49" s="289"/>
      <c r="BF49" s="249"/>
      <c r="BG49" s="249"/>
      <c r="BH49" s="289"/>
      <c r="BI49" s="249"/>
      <c r="BJ49" s="249"/>
      <c r="BK49" s="289"/>
      <c r="BL49" s="249"/>
      <c r="BM49" s="249"/>
      <c r="BN49" s="289"/>
      <c r="BO49" s="249"/>
      <c r="BP49" s="249"/>
      <c r="BQ49" s="289"/>
      <c r="BR49" s="249"/>
      <c r="BS49" s="249"/>
      <c r="BT49" s="289"/>
      <c r="BU49" s="249"/>
      <c r="BV49" s="249"/>
      <c r="BW49" s="289"/>
      <c r="BX49" s="249"/>
      <c r="BY49" s="262"/>
      <c r="BZ49" s="293"/>
      <c r="CA49" s="249"/>
      <c r="CB49" s="249"/>
      <c r="CC49" s="289"/>
      <c r="CD49" s="249"/>
      <c r="CE49" s="249"/>
      <c r="CF49" s="289"/>
      <c r="CG49" s="249"/>
      <c r="CH49" s="249"/>
      <c r="CI49" s="289"/>
      <c r="CJ49" s="249"/>
      <c r="CK49" s="249"/>
      <c r="CL49" s="289"/>
      <c r="CM49" s="249"/>
      <c r="CN49" s="249"/>
      <c r="CO49" s="289"/>
      <c r="CP49" s="249"/>
      <c r="CQ49" s="249"/>
      <c r="CR49" s="289"/>
      <c r="CS49" s="249"/>
      <c r="CT49" s="249"/>
      <c r="CU49" s="289"/>
      <c r="CV49" s="249"/>
      <c r="CW49" s="249"/>
      <c r="CX49" s="289"/>
      <c r="CY49" s="249"/>
      <c r="CZ49" s="249"/>
      <c r="DA49" s="292">
        <v>1000</v>
      </c>
      <c r="DB49" s="267" t="s">
        <v>115</v>
      </c>
      <c r="DC49" s="249"/>
      <c r="DD49" s="289"/>
      <c r="DE49" s="249"/>
      <c r="DF49" s="249"/>
      <c r="DG49" s="289"/>
      <c r="DH49" s="249"/>
      <c r="DI49" s="249"/>
      <c r="DJ49" s="289"/>
      <c r="DK49" s="249"/>
      <c r="DL49" s="249"/>
      <c r="DM49" s="289"/>
      <c r="DN49" s="249"/>
      <c r="DO49" s="249"/>
      <c r="DP49" s="289"/>
      <c r="DQ49" s="249"/>
      <c r="DR49" s="249"/>
      <c r="DS49" s="289"/>
      <c r="DT49" s="249"/>
      <c r="DU49" s="249"/>
      <c r="DV49" s="289"/>
      <c r="DW49" s="264"/>
      <c r="DX49" s="264"/>
      <c r="DY49" s="328"/>
      <c r="DZ49" s="264"/>
    </row>
    <row r="50" spans="1:130" s="53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240</v>
      </c>
      <c r="F50" s="263" t="s">
        <v>19</v>
      </c>
      <c r="G50" s="249" t="s">
        <v>18</v>
      </c>
      <c r="H50" s="288">
        <f>(H53*H54*H48*((1-EXP(-H55*H56))))/(H57*H55)</f>
        <v>6.6877504027585484E-4</v>
      </c>
      <c r="I50" s="249" t="s">
        <v>19</v>
      </c>
      <c r="J50" s="249" t="s">
        <v>20</v>
      </c>
      <c r="K50" s="287">
        <f>K52</f>
        <v>1.914E-5</v>
      </c>
      <c r="L50" s="249"/>
      <c r="M50" s="249"/>
      <c r="N50" s="289"/>
      <c r="O50" s="249"/>
      <c r="P50" s="249"/>
      <c r="Q50" s="289"/>
      <c r="R50" s="249"/>
      <c r="S50" s="249"/>
      <c r="T50" s="289"/>
      <c r="U50" s="249"/>
      <c r="V50" s="249"/>
      <c r="W50" s="289"/>
      <c r="X50" s="249"/>
      <c r="Y50" s="249"/>
      <c r="Z50" s="289"/>
      <c r="AA50" s="249"/>
      <c r="AB50" s="249"/>
      <c r="AC50" s="289"/>
      <c r="AD50" s="289"/>
      <c r="AE50" s="289"/>
      <c r="AF50" s="289"/>
      <c r="AG50" s="289"/>
      <c r="AH50" s="249"/>
      <c r="AI50" s="249"/>
      <c r="AJ50" s="289"/>
      <c r="AK50" s="249"/>
      <c r="AL50" s="249"/>
      <c r="AM50" s="289"/>
      <c r="AN50" s="249"/>
      <c r="AO50" s="249"/>
      <c r="AP50" s="289"/>
      <c r="AQ50" s="249"/>
      <c r="AR50" s="249"/>
      <c r="AS50" s="289"/>
      <c r="AT50" s="249"/>
      <c r="AU50" s="249"/>
      <c r="AV50" s="289"/>
      <c r="AW50" s="249"/>
      <c r="AX50" s="249"/>
      <c r="AY50" s="289"/>
      <c r="AZ50" s="249"/>
      <c r="BA50" s="249"/>
      <c r="BB50" s="289"/>
      <c r="BC50" s="249"/>
      <c r="BD50" s="249"/>
      <c r="BE50" s="289"/>
      <c r="BF50" s="249"/>
      <c r="BG50" s="249"/>
      <c r="BH50" s="289"/>
      <c r="BI50" s="249"/>
      <c r="BJ50" s="249"/>
      <c r="BK50" s="289"/>
      <c r="BL50" s="249"/>
      <c r="BM50" s="249"/>
      <c r="BN50" s="289"/>
      <c r="BO50" s="249"/>
      <c r="BP50" s="249"/>
      <c r="BQ50" s="289"/>
      <c r="BR50" s="249"/>
      <c r="BS50" s="249"/>
      <c r="BT50" s="289"/>
      <c r="BU50" s="249"/>
      <c r="BV50" s="249"/>
      <c r="BW50" s="289"/>
      <c r="BX50" s="249"/>
      <c r="BY50" s="263"/>
      <c r="BZ50" s="307"/>
      <c r="CA50" s="249"/>
      <c r="CB50" s="249"/>
      <c r="CC50" s="289"/>
      <c r="CD50" s="249"/>
      <c r="CE50" s="249"/>
      <c r="CF50" s="289"/>
      <c r="CG50" s="249"/>
      <c r="CH50" s="249"/>
      <c r="CI50" s="289"/>
      <c r="CJ50" s="249"/>
      <c r="CK50" s="249"/>
      <c r="CL50" s="289"/>
      <c r="CM50" s="249"/>
      <c r="CN50" s="249"/>
      <c r="CO50" s="289"/>
      <c r="CP50" s="249"/>
      <c r="CQ50" s="249"/>
      <c r="CR50" s="289"/>
      <c r="CS50" s="249"/>
      <c r="CT50" s="263"/>
      <c r="CU50" s="307"/>
      <c r="CV50" s="249"/>
      <c r="CW50" s="249"/>
      <c r="CX50" s="289"/>
      <c r="CY50" s="249"/>
      <c r="CZ50" s="95" t="s">
        <v>299</v>
      </c>
      <c r="DA50" s="289">
        <f>B293</f>
        <v>27.027027027027</v>
      </c>
      <c r="DB50" s="249"/>
      <c r="DC50" s="249"/>
      <c r="DD50" s="289"/>
      <c r="DE50" s="249"/>
      <c r="DF50" s="249"/>
      <c r="DG50" s="289"/>
      <c r="DH50" s="249"/>
      <c r="DI50" s="249"/>
      <c r="DJ50" s="289"/>
      <c r="DK50" s="249"/>
      <c r="DL50" s="249"/>
      <c r="DM50" s="289"/>
      <c r="DN50" s="249"/>
      <c r="DO50" s="249"/>
      <c r="DP50" s="289"/>
      <c r="DQ50" s="249"/>
      <c r="DR50" s="249"/>
      <c r="DS50" s="289"/>
      <c r="DT50" s="249"/>
      <c r="DU50" s="249"/>
      <c r="DV50" s="289"/>
      <c r="DW50" s="264"/>
      <c r="DX50" s="264"/>
      <c r="DY50" s="328"/>
      <c r="DZ50" s="264"/>
    </row>
    <row r="51" spans="1:130" s="53" customFormat="1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9.0847184154504852</v>
      </c>
      <c r="I51" s="249" t="s">
        <v>19</v>
      </c>
      <c r="J51" s="262" t="s">
        <v>28</v>
      </c>
      <c r="K51" s="293">
        <f>K53</f>
        <v>0.26</v>
      </c>
      <c r="L51" s="249"/>
      <c r="M51" s="249"/>
      <c r="N51" s="289"/>
      <c r="O51" s="249"/>
      <c r="P51" s="249"/>
      <c r="Q51" s="289"/>
      <c r="R51" s="249"/>
      <c r="S51" s="249"/>
      <c r="T51" s="289"/>
      <c r="U51" s="249"/>
      <c r="V51" s="249"/>
      <c r="W51" s="289"/>
      <c r="X51" s="249"/>
      <c r="Y51" s="249"/>
      <c r="Z51" s="289"/>
      <c r="AA51" s="249"/>
      <c r="AB51" s="249"/>
      <c r="AC51" s="289"/>
      <c r="AD51" s="289"/>
      <c r="AE51" s="289"/>
      <c r="AF51" s="289"/>
      <c r="AG51" s="289"/>
      <c r="AH51" s="249"/>
      <c r="AI51" s="249"/>
      <c r="AJ51" s="289"/>
      <c r="AK51" s="249"/>
      <c r="AL51" s="249"/>
      <c r="AM51" s="289"/>
      <c r="AN51" s="249"/>
      <c r="AO51" s="249"/>
      <c r="AP51" s="289"/>
      <c r="AQ51" s="249"/>
      <c r="AR51" s="249"/>
      <c r="AS51" s="289"/>
      <c r="AT51" s="249"/>
      <c r="AU51" s="249"/>
      <c r="AV51" s="289"/>
      <c r="AW51" s="249"/>
      <c r="AX51" s="249"/>
      <c r="AY51" s="289"/>
      <c r="AZ51" s="249"/>
      <c r="BA51" s="249"/>
      <c r="BB51" s="289"/>
      <c r="BC51" s="249"/>
      <c r="BD51" s="249"/>
      <c r="BE51" s="289"/>
      <c r="BF51" s="249"/>
      <c r="BG51" s="249"/>
      <c r="BH51" s="289"/>
      <c r="BI51" s="249"/>
      <c r="BJ51" s="249"/>
      <c r="BK51" s="289"/>
      <c r="BL51" s="249"/>
      <c r="BM51" s="249"/>
      <c r="BN51" s="289"/>
      <c r="BO51" s="249"/>
      <c r="BP51" s="249"/>
      <c r="BQ51" s="289"/>
      <c r="BR51" s="249"/>
      <c r="BS51" s="249"/>
      <c r="BT51" s="289"/>
      <c r="BU51" s="249"/>
      <c r="BV51" s="249"/>
      <c r="BW51" s="287"/>
      <c r="BX51" s="249"/>
      <c r="BY51" s="262"/>
      <c r="BZ51" s="293"/>
      <c r="CA51" s="249"/>
      <c r="CB51" s="249"/>
      <c r="CC51" s="289"/>
      <c r="CD51" s="249"/>
      <c r="CE51" s="249"/>
      <c r="CF51" s="289"/>
      <c r="CG51" s="249"/>
      <c r="CH51" s="249"/>
      <c r="CI51" s="289"/>
      <c r="CJ51" s="249"/>
      <c r="CK51" s="249"/>
      <c r="CL51" s="289"/>
      <c r="CM51" s="249"/>
      <c r="CN51" s="249"/>
      <c r="CO51" s="289"/>
      <c r="CP51" s="249"/>
      <c r="CQ51" s="249"/>
      <c r="CR51" s="289"/>
      <c r="CS51" s="249"/>
      <c r="CT51" s="262"/>
      <c r="CU51" s="293"/>
      <c r="CV51" s="249"/>
      <c r="CW51" s="249"/>
      <c r="CX51" s="289"/>
      <c r="CY51" s="249"/>
      <c r="CZ51" s="267"/>
      <c r="DA51" s="289"/>
      <c r="DB51" s="249"/>
      <c r="DC51" s="249"/>
      <c r="DD51" s="289"/>
      <c r="DE51" s="249"/>
      <c r="DF51" s="249"/>
      <c r="DG51" s="289"/>
      <c r="DH51" s="249"/>
      <c r="DI51" s="249"/>
      <c r="DJ51" s="289"/>
      <c r="DK51" s="249"/>
      <c r="DL51" s="249"/>
      <c r="DM51" s="289"/>
      <c r="DN51" s="249"/>
      <c r="DO51" s="249"/>
      <c r="DP51" s="289"/>
      <c r="DQ51" s="249"/>
      <c r="DR51" s="249"/>
      <c r="DS51" s="289"/>
      <c r="DT51" s="249"/>
      <c r="DU51" s="249"/>
      <c r="DV51" s="289"/>
      <c r="DW51" s="264"/>
      <c r="DX51" s="264"/>
      <c r="DY51" s="328"/>
      <c r="DZ51" s="264"/>
    </row>
    <row r="52" spans="1:130" s="53" customFormat="1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>
        <f>(E44/(E46*E45*E47*E48*E50*E51*(1/E49)))/E53</f>
        <v>2.3488019794575682E-3</v>
      </c>
      <c r="F52" s="249" t="s">
        <v>304</v>
      </c>
      <c r="G52" s="249" t="s">
        <v>36</v>
      </c>
      <c r="H52" s="288">
        <f>(H53*H54*H58*H64*((1-EXP(-H59*H60))))/(H61*H59)</f>
        <v>3.6421488784670224</v>
      </c>
      <c r="I52" s="249" t="s">
        <v>19</v>
      </c>
      <c r="J52" s="263" t="s">
        <v>37</v>
      </c>
      <c r="K52" s="290">
        <f>B44</f>
        <v>1.914E-5</v>
      </c>
      <c r="L52" s="249"/>
      <c r="M52" s="249"/>
      <c r="N52" s="289"/>
      <c r="O52" s="249"/>
      <c r="P52" s="249"/>
      <c r="Q52" s="289"/>
      <c r="R52" s="249"/>
      <c r="S52" s="249"/>
      <c r="T52" s="289"/>
      <c r="U52" s="249"/>
      <c r="V52" s="249"/>
      <c r="W52" s="289"/>
      <c r="X52" s="249"/>
      <c r="Y52" s="249"/>
      <c r="Z52" s="289"/>
      <c r="AA52" s="249"/>
      <c r="AB52" s="249"/>
      <c r="AC52" s="289"/>
      <c r="AD52" s="289"/>
      <c r="AE52" s="289"/>
      <c r="AF52" s="289"/>
      <c r="AG52" s="289"/>
      <c r="AH52" s="249"/>
      <c r="AI52" s="249"/>
      <c r="AJ52" s="289"/>
      <c r="AK52" s="249"/>
      <c r="AL52" s="249"/>
      <c r="AM52" s="289"/>
      <c r="AN52" s="249"/>
      <c r="AO52" s="249"/>
      <c r="AP52" s="289"/>
      <c r="AQ52" s="249"/>
      <c r="AR52" s="249"/>
      <c r="AS52" s="289"/>
      <c r="AT52" s="249"/>
      <c r="AU52" s="249"/>
      <c r="AV52" s="289"/>
      <c r="AW52" s="249"/>
      <c r="AX52" s="249"/>
      <c r="AY52" s="289"/>
      <c r="AZ52" s="249"/>
      <c r="BA52" s="249"/>
      <c r="BB52" s="289"/>
      <c r="BC52" s="249"/>
      <c r="BD52" s="249"/>
      <c r="BE52" s="289"/>
      <c r="BF52" s="249"/>
      <c r="BG52" s="249"/>
      <c r="BH52" s="289"/>
      <c r="BI52" s="249"/>
      <c r="BJ52" s="249"/>
      <c r="BK52" s="289"/>
      <c r="BL52" s="249"/>
      <c r="BM52" s="249"/>
      <c r="BN52" s="289"/>
      <c r="BO52" s="249"/>
      <c r="BP52" s="249"/>
      <c r="BQ52" s="289"/>
      <c r="BR52" s="249"/>
      <c r="BS52" s="249"/>
      <c r="BT52" s="289"/>
      <c r="BU52" s="249"/>
      <c r="BV52" s="249"/>
      <c r="BW52" s="287"/>
      <c r="BX52" s="249"/>
      <c r="BY52" s="249"/>
      <c r="BZ52" s="289"/>
      <c r="CA52" s="249"/>
      <c r="CB52" s="249"/>
      <c r="CC52" s="289"/>
      <c r="CD52" s="249"/>
      <c r="CE52" s="249"/>
      <c r="CF52" s="289"/>
      <c r="CG52" s="249"/>
      <c r="CH52" s="249"/>
      <c r="CI52" s="289"/>
      <c r="CJ52" s="249"/>
      <c r="CK52" s="249"/>
      <c r="CL52" s="289"/>
      <c r="CM52" s="249"/>
      <c r="CN52" s="249"/>
      <c r="CO52" s="289"/>
      <c r="CP52" s="249"/>
      <c r="CQ52" s="249"/>
      <c r="CR52" s="289"/>
      <c r="CS52" s="249"/>
      <c r="CT52" s="249"/>
      <c r="CU52" s="289"/>
      <c r="CV52" s="249"/>
      <c r="CW52" s="249"/>
      <c r="CX52" s="289"/>
      <c r="CY52" s="249"/>
      <c r="CZ52" s="267"/>
      <c r="DA52" s="289"/>
      <c r="DB52" s="249"/>
      <c r="DC52" s="249"/>
      <c r="DD52" s="289"/>
      <c r="DE52" s="249"/>
      <c r="DF52" s="249"/>
      <c r="DG52" s="289"/>
      <c r="DH52" s="249"/>
      <c r="DI52" s="249"/>
      <c r="DJ52" s="289"/>
      <c r="DK52" s="249"/>
      <c r="DL52" s="249"/>
      <c r="DM52" s="289"/>
      <c r="DN52" s="249"/>
      <c r="DO52" s="249"/>
      <c r="DP52" s="289"/>
      <c r="DQ52" s="249"/>
      <c r="DR52" s="249"/>
      <c r="DS52" s="289"/>
      <c r="DT52" s="249"/>
      <c r="DU52" s="249"/>
      <c r="DV52" s="289"/>
      <c r="DW52" s="264"/>
      <c r="DX52" s="264"/>
      <c r="DY52" s="328"/>
      <c r="DZ52" s="264"/>
    </row>
    <row r="53" spans="1:130" s="53" customFormat="1" x14ac:dyDescent="0.2">
      <c r="A53" s="262" t="s">
        <v>320</v>
      </c>
      <c r="B53" s="283">
        <v>200</v>
      </c>
      <c r="C53" s="263" t="s">
        <v>54</v>
      </c>
      <c r="D53" s="95" t="s">
        <v>299</v>
      </c>
      <c r="E53" s="289">
        <f>B293</f>
        <v>27.027027027027</v>
      </c>
      <c r="F53" s="249"/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L53" s="249"/>
      <c r="M53" s="249"/>
      <c r="N53" s="289"/>
      <c r="O53" s="249"/>
      <c r="P53" s="249"/>
      <c r="Q53" s="289"/>
      <c r="R53" s="249"/>
      <c r="S53" s="249"/>
      <c r="T53" s="289"/>
      <c r="U53" s="249"/>
      <c r="V53" s="249"/>
      <c r="W53" s="289"/>
      <c r="X53" s="249"/>
      <c r="Y53" s="249"/>
      <c r="Z53" s="289"/>
      <c r="AA53" s="249"/>
      <c r="AB53" s="249"/>
      <c r="AC53" s="289"/>
      <c r="AD53" s="289"/>
      <c r="AE53" s="289"/>
      <c r="AF53" s="289"/>
      <c r="AG53" s="289"/>
      <c r="AH53" s="249"/>
      <c r="AI53" s="249"/>
      <c r="AJ53" s="289"/>
      <c r="AK53" s="249"/>
      <c r="AL53" s="249"/>
      <c r="AM53" s="289"/>
      <c r="AN53" s="249"/>
      <c r="AO53" s="249"/>
      <c r="AP53" s="289"/>
      <c r="AQ53" s="249"/>
      <c r="AR53" s="249"/>
      <c r="AS53" s="289"/>
      <c r="AT53" s="249"/>
      <c r="AU53" s="249"/>
      <c r="AV53" s="289"/>
      <c r="AW53" s="249"/>
      <c r="AX53" s="249"/>
      <c r="AY53" s="289"/>
      <c r="AZ53" s="249"/>
      <c r="BA53" s="249"/>
      <c r="BB53" s="289"/>
      <c r="BC53" s="249"/>
      <c r="BD53" s="249"/>
      <c r="BE53" s="289"/>
      <c r="BF53" s="249"/>
      <c r="BG53" s="249"/>
      <c r="BH53" s="289"/>
      <c r="BI53" s="249"/>
      <c r="BJ53" s="249"/>
      <c r="BK53" s="289"/>
      <c r="BL53" s="249"/>
      <c r="BM53" s="249"/>
      <c r="BN53" s="289"/>
      <c r="BO53" s="249"/>
      <c r="BP53" s="249"/>
      <c r="BQ53" s="289"/>
      <c r="BR53" s="249"/>
      <c r="BS53" s="249"/>
      <c r="BT53" s="289"/>
      <c r="BU53" s="249"/>
      <c r="BV53" s="262"/>
      <c r="BW53" s="289"/>
      <c r="BX53" s="249"/>
      <c r="BY53" s="249"/>
      <c r="BZ53" s="289"/>
      <c r="CA53" s="249"/>
      <c r="CB53" s="249"/>
      <c r="CC53" s="289"/>
      <c r="CD53" s="249"/>
      <c r="CE53" s="249"/>
      <c r="CF53" s="289"/>
      <c r="CG53" s="249"/>
      <c r="CH53" s="249"/>
      <c r="CI53" s="289"/>
      <c r="CJ53" s="249"/>
      <c r="CK53" s="249"/>
      <c r="CL53" s="289"/>
      <c r="CM53" s="249"/>
      <c r="CN53" s="249"/>
      <c r="CO53" s="289"/>
      <c r="CP53" s="249"/>
      <c r="CQ53" s="249"/>
      <c r="CR53" s="289"/>
      <c r="CS53" s="249"/>
      <c r="CT53" s="249"/>
      <c r="CU53" s="289"/>
      <c r="CV53" s="249"/>
      <c r="CW53" s="249"/>
      <c r="CX53" s="289"/>
      <c r="CY53" s="249"/>
      <c r="CZ53" s="267"/>
      <c r="DA53" s="289"/>
      <c r="DB53" s="249"/>
      <c r="DC53" s="249"/>
      <c r="DD53" s="289"/>
      <c r="DE53" s="249"/>
      <c r="DF53" s="249"/>
      <c r="DG53" s="289"/>
      <c r="DH53" s="249"/>
      <c r="DI53" s="249"/>
      <c r="DJ53" s="289"/>
      <c r="DK53" s="249"/>
      <c r="DL53" s="249"/>
      <c r="DM53" s="289"/>
      <c r="DN53" s="249"/>
      <c r="DO53" s="249"/>
      <c r="DP53" s="289"/>
      <c r="DQ53" s="249"/>
      <c r="DR53" s="249"/>
      <c r="DS53" s="289"/>
      <c r="DT53" s="249"/>
      <c r="DU53" s="249"/>
      <c r="DV53" s="289"/>
      <c r="DW53" s="249"/>
      <c r="DX53" s="249"/>
      <c r="DY53" s="289"/>
      <c r="DZ53" s="249"/>
    </row>
    <row r="54" spans="1:130" s="53" customFormat="1" x14ac:dyDescent="0.2">
      <c r="A54" s="262" t="s">
        <v>321</v>
      </c>
      <c r="B54" s="283">
        <v>100</v>
      </c>
      <c r="C54" s="263" t="s">
        <v>54</v>
      </c>
      <c r="D54" s="249"/>
      <c r="E54" s="289"/>
      <c r="F54" s="249"/>
      <c r="G54" s="262" t="s">
        <v>46</v>
      </c>
      <c r="H54" s="287">
        <f>B86</f>
        <v>0.25</v>
      </c>
      <c r="I54" s="249" t="s">
        <v>47</v>
      </c>
      <c r="J54" s="95" t="s">
        <v>299</v>
      </c>
      <c r="K54" s="289">
        <f>B293</f>
        <v>27.027027027027</v>
      </c>
      <c r="L54" s="249"/>
      <c r="M54" s="249"/>
      <c r="N54" s="289"/>
      <c r="O54" s="249"/>
      <c r="P54" s="249"/>
      <c r="Q54" s="289"/>
      <c r="R54" s="249"/>
      <c r="S54" s="249"/>
      <c r="T54" s="289"/>
      <c r="U54" s="249"/>
      <c r="V54" s="249"/>
      <c r="W54" s="289"/>
      <c r="X54" s="249"/>
      <c r="Y54" s="249"/>
      <c r="Z54" s="289"/>
      <c r="AA54" s="249"/>
      <c r="AB54" s="249"/>
      <c r="AC54" s="289"/>
      <c r="AD54" s="289"/>
      <c r="AE54" s="289"/>
      <c r="AF54" s="289"/>
      <c r="AG54" s="289"/>
      <c r="AH54" s="249"/>
      <c r="AI54" s="249"/>
      <c r="AJ54" s="289"/>
      <c r="AK54" s="249"/>
      <c r="AL54" s="249"/>
      <c r="AM54" s="289"/>
      <c r="AN54" s="249"/>
      <c r="AO54" s="249"/>
      <c r="AP54" s="289"/>
      <c r="AQ54" s="249"/>
      <c r="AR54" s="249"/>
      <c r="AS54" s="289"/>
      <c r="AT54" s="249"/>
      <c r="AU54" s="249"/>
      <c r="AV54" s="289"/>
      <c r="AW54" s="249"/>
      <c r="AX54" s="249"/>
      <c r="AY54" s="289"/>
      <c r="AZ54" s="249"/>
      <c r="BA54" s="249"/>
      <c r="BB54" s="289"/>
      <c r="BC54" s="249"/>
      <c r="BD54" s="249"/>
      <c r="BE54" s="289"/>
      <c r="BF54" s="249"/>
      <c r="BG54" s="249"/>
      <c r="BH54" s="289"/>
      <c r="BI54" s="249"/>
      <c r="BJ54" s="249"/>
      <c r="BK54" s="289"/>
      <c r="BL54" s="249"/>
      <c r="BM54" s="249"/>
      <c r="BN54" s="289"/>
      <c r="BO54" s="249"/>
      <c r="BP54" s="249"/>
      <c r="BQ54" s="289"/>
      <c r="BR54" s="249"/>
      <c r="BS54" s="249"/>
      <c r="BT54" s="289"/>
      <c r="BU54" s="249"/>
      <c r="BV54" s="262"/>
      <c r="BW54" s="289"/>
      <c r="BX54" s="249"/>
      <c r="BY54" s="249"/>
      <c r="BZ54" s="289"/>
      <c r="CA54" s="249"/>
      <c r="CB54" s="249"/>
      <c r="CC54" s="289"/>
      <c r="CD54" s="249"/>
      <c r="CE54" s="249"/>
      <c r="CF54" s="289"/>
      <c r="CG54" s="249"/>
      <c r="CH54" s="249"/>
      <c r="CI54" s="289"/>
      <c r="CJ54" s="249"/>
      <c r="CK54" s="249"/>
      <c r="CL54" s="289"/>
      <c r="CM54" s="249"/>
      <c r="CN54" s="249"/>
      <c r="CO54" s="289"/>
      <c r="CP54" s="249"/>
      <c r="CQ54" s="249"/>
      <c r="CR54" s="289"/>
      <c r="CS54" s="249"/>
      <c r="CT54" s="249"/>
      <c r="CU54" s="289"/>
      <c r="CV54" s="249"/>
      <c r="CW54" s="249"/>
      <c r="CX54" s="289"/>
      <c r="CY54" s="249"/>
      <c r="CZ54" s="267"/>
      <c r="DA54" s="289"/>
      <c r="DB54" s="249"/>
      <c r="DC54" s="249"/>
      <c r="DD54" s="289"/>
      <c r="DE54" s="249"/>
      <c r="DF54" s="249"/>
      <c r="DG54" s="289"/>
      <c r="DH54" s="249"/>
      <c r="DI54" s="249"/>
      <c r="DJ54" s="289"/>
      <c r="DK54" s="249"/>
      <c r="DL54" s="249"/>
      <c r="DM54" s="289"/>
      <c r="DN54" s="249"/>
      <c r="DO54" s="249"/>
      <c r="DP54" s="289"/>
      <c r="DQ54" s="249"/>
      <c r="DR54" s="249"/>
      <c r="DS54" s="289"/>
      <c r="DT54" s="249"/>
      <c r="DU54" s="249"/>
      <c r="DV54" s="289"/>
      <c r="DW54" s="249"/>
      <c r="DX54" s="249"/>
      <c r="DY54" s="289"/>
      <c r="DZ54" s="249"/>
    </row>
    <row r="55" spans="1:130" s="53" customFormat="1" x14ac:dyDescent="0.2">
      <c r="A55" s="262" t="s">
        <v>322</v>
      </c>
      <c r="B55" s="283">
        <v>0.78</v>
      </c>
      <c r="C55" s="262" t="s">
        <v>30</v>
      </c>
      <c r="D55" s="249"/>
      <c r="E55" s="289"/>
      <c r="F55" s="249"/>
      <c r="G55" s="267" t="s">
        <v>55</v>
      </c>
      <c r="H55" s="303">
        <f>H62+H63</f>
        <v>3.1394977168949772E-5</v>
      </c>
      <c r="I55" s="249"/>
      <c r="J55" s="249"/>
      <c r="K55" s="289"/>
      <c r="L55" s="249"/>
      <c r="M55" s="249"/>
      <c r="N55" s="289"/>
      <c r="O55" s="249"/>
      <c r="P55" s="249"/>
      <c r="Q55" s="289"/>
      <c r="R55" s="249"/>
      <c r="S55" s="249"/>
      <c r="T55" s="289"/>
      <c r="U55" s="249"/>
      <c r="V55" s="249"/>
      <c r="W55" s="289"/>
      <c r="X55" s="249"/>
      <c r="Y55" s="249"/>
      <c r="Z55" s="289"/>
      <c r="AA55" s="249"/>
      <c r="AB55" s="249"/>
      <c r="AC55" s="289"/>
      <c r="AD55" s="289"/>
      <c r="AE55" s="289"/>
      <c r="AF55" s="289"/>
      <c r="AG55" s="289"/>
      <c r="AH55" s="249"/>
      <c r="AI55" s="249"/>
      <c r="AJ55" s="289"/>
      <c r="AK55" s="249"/>
      <c r="AL55" s="249"/>
      <c r="AM55" s="289"/>
      <c r="AN55" s="249"/>
      <c r="AO55" s="249"/>
      <c r="AP55" s="289"/>
      <c r="AQ55" s="249"/>
      <c r="AR55" s="249"/>
      <c r="AS55" s="289"/>
      <c r="AT55" s="249"/>
      <c r="AU55" s="249"/>
      <c r="AV55" s="289"/>
      <c r="AW55" s="249"/>
      <c r="AX55" s="249"/>
      <c r="AY55" s="289"/>
      <c r="AZ55" s="249"/>
      <c r="BA55" s="249"/>
      <c r="BB55" s="289"/>
      <c r="BC55" s="249"/>
      <c r="BD55" s="249"/>
      <c r="BE55" s="289"/>
      <c r="BF55" s="249"/>
      <c r="BG55" s="249"/>
      <c r="BH55" s="289"/>
      <c r="BI55" s="249"/>
      <c r="BJ55" s="249"/>
      <c r="BK55" s="289"/>
      <c r="BL55" s="249"/>
      <c r="BM55" s="249"/>
      <c r="BN55" s="289"/>
      <c r="BO55" s="249"/>
      <c r="BP55" s="249"/>
      <c r="BQ55" s="289"/>
      <c r="BR55" s="249"/>
      <c r="BS55" s="249"/>
      <c r="BT55" s="289"/>
      <c r="BU55" s="249"/>
      <c r="BV55" s="267"/>
      <c r="BW55" s="289"/>
      <c r="BX55" s="249"/>
      <c r="BY55" s="249"/>
      <c r="BZ55" s="289"/>
      <c r="CA55" s="249"/>
      <c r="CB55" s="249"/>
      <c r="CC55" s="289"/>
      <c r="CD55" s="249"/>
      <c r="CE55" s="249"/>
      <c r="CF55" s="289"/>
      <c r="CG55" s="249"/>
      <c r="CH55" s="249"/>
      <c r="CI55" s="289"/>
      <c r="CJ55" s="249"/>
      <c r="CK55" s="249"/>
      <c r="CL55" s="289"/>
      <c r="CM55" s="249"/>
      <c r="CN55" s="249"/>
      <c r="CO55" s="289"/>
      <c r="CP55" s="249"/>
      <c r="CQ55" s="249"/>
      <c r="CR55" s="289"/>
      <c r="CS55" s="249"/>
      <c r="CT55" s="249"/>
      <c r="CU55" s="289"/>
      <c r="CV55" s="249"/>
      <c r="CW55" s="249"/>
      <c r="CX55" s="289"/>
      <c r="CY55" s="249"/>
      <c r="CZ55" s="267"/>
      <c r="DA55" s="289"/>
      <c r="DB55" s="249"/>
      <c r="DC55" s="249"/>
      <c r="DD55" s="289"/>
      <c r="DE55" s="249"/>
      <c r="DF55" s="249"/>
      <c r="DG55" s="289"/>
      <c r="DH55" s="249"/>
      <c r="DI55" s="249"/>
      <c r="DJ55" s="289"/>
      <c r="DK55" s="249"/>
      <c r="DL55" s="249"/>
      <c r="DM55" s="289"/>
      <c r="DN55" s="249"/>
      <c r="DO55" s="249"/>
      <c r="DP55" s="289"/>
      <c r="DQ55" s="249"/>
      <c r="DR55" s="249"/>
      <c r="DS55" s="289"/>
      <c r="DT55" s="249"/>
      <c r="DU55" s="249"/>
      <c r="DV55" s="289"/>
      <c r="DW55" s="249"/>
      <c r="DX55" s="249"/>
      <c r="DY55" s="289"/>
      <c r="DZ55" s="249"/>
    </row>
    <row r="56" spans="1:130" s="53" customFormat="1" x14ac:dyDescent="0.2">
      <c r="A56" s="262" t="s">
        <v>323</v>
      </c>
      <c r="B56" s="283">
        <v>2.5</v>
      </c>
      <c r="C56" s="262" t="s">
        <v>30</v>
      </c>
      <c r="D56" s="249"/>
      <c r="E56" s="289"/>
      <c r="F56" s="249"/>
      <c r="G56" s="267" t="s">
        <v>60</v>
      </c>
      <c r="H56" s="289">
        <f>B87</f>
        <v>10950</v>
      </c>
      <c r="I56" s="249" t="s">
        <v>61</v>
      </c>
      <c r="J56" s="249"/>
      <c r="K56" s="289"/>
      <c r="L56" s="249"/>
      <c r="M56" s="249"/>
      <c r="N56" s="289"/>
      <c r="O56" s="249"/>
      <c r="P56" s="249"/>
      <c r="Q56" s="289"/>
      <c r="R56" s="249"/>
      <c r="S56" s="249"/>
      <c r="T56" s="289"/>
      <c r="U56" s="249"/>
      <c r="V56" s="249"/>
      <c r="W56" s="289"/>
      <c r="X56" s="249"/>
      <c r="Y56" s="249"/>
      <c r="Z56" s="289"/>
      <c r="AA56" s="249"/>
      <c r="AB56" s="249"/>
      <c r="AC56" s="289"/>
      <c r="AD56" s="289"/>
      <c r="AE56" s="289"/>
      <c r="AF56" s="289"/>
      <c r="AG56" s="289"/>
      <c r="AH56" s="249"/>
      <c r="AI56" s="249"/>
      <c r="AJ56" s="289"/>
      <c r="AK56" s="249"/>
      <c r="AL56" s="249"/>
      <c r="AM56" s="289"/>
      <c r="AN56" s="249"/>
      <c r="AO56" s="249"/>
      <c r="AP56" s="289"/>
      <c r="AQ56" s="249"/>
      <c r="AR56" s="249"/>
      <c r="AS56" s="289"/>
      <c r="AT56" s="249"/>
      <c r="AU56" s="249"/>
      <c r="AV56" s="289"/>
      <c r="AW56" s="249"/>
      <c r="AX56" s="249"/>
      <c r="AY56" s="289"/>
      <c r="AZ56" s="249"/>
      <c r="BA56" s="249"/>
      <c r="BB56" s="289"/>
      <c r="BC56" s="249"/>
      <c r="BD56" s="249"/>
      <c r="BE56" s="289"/>
      <c r="BF56" s="249"/>
      <c r="BG56" s="249"/>
      <c r="BH56" s="289"/>
      <c r="BI56" s="249"/>
      <c r="BJ56" s="249"/>
      <c r="BK56" s="289"/>
      <c r="BL56" s="249"/>
      <c r="BM56" s="249"/>
      <c r="BN56" s="289"/>
      <c r="BO56" s="249"/>
      <c r="BP56" s="249"/>
      <c r="BQ56" s="289"/>
      <c r="BR56" s="249"/>
      <c r="BS56" s="249"/>
      <c r="BT56" s="289"/>
      <c r="BU56" s="249"/>
      <c r="BV56" s="267"/>
      <c r="BW56" s="289"/>
      <c r="BX56" s="249"/>
      <c r="BY56" s="249"/>
      <c r="BZ56" s="289"/>
      <c r="CA56" s="249"/>
      <c r="CB56" s="249"/>
      <c r="CC56" s="289"/>
      <c r="CD56" s="249"/>
      <c r="CE56" s="249"/>
      <c r="CF56" s="289"/>
      <c r="CG56" s="249"/>
      <c r="CH56" s="249"/>
      <c r="CI56" s="289"/>
      <c r="CJ56" s="249"/>
      <c r="CK56" s="249"/>
      <c r="CL56" s="289"/>
      <c r="CM56" s="249"/>
      <c r="CN56" s="249"/>
      <c r="CO56" s="289"/>
      <c r="CP56" s="249"/>
      <c r="CQ56" s="249"/>
      <c r="CR56" s="289"/>
      <c r="CS56" s="249"/>
      <c r="CT56" s="249"/>
      <c r="CU56" s="289"/>
      <c r="CV56" s="249"/>
      <c r="CW56" s="249"/>
      <c r="CX56" s="289"/>
      <c r="CY56" s="249"/>
      <c r="CZ56" s="267"/>
      <c r="DA56" s="289"/>
      <c r="DB56" s="249"/>
      <c r="DC56" s="249"/>
      <c r="DD56" s="289"/>
      <c r="DE56" s="249"/>
      <c r="DF56" s="249"/>
      <c r="DG56" s="289"/>
      <c r="DH56" s="249"/>
      <c r="DI56" s="249"/>
      <c r="DJ56" s="289"/>
      <c r="DK56" s="249"/>
      <c r="DL56" s="249"/>
      <c r="DM56" s="289"/>
      <c r="DN56" s="249"/>
      <c r="DO56" s="249"/>
      <c r="DP56" s="289"/>
      <c r="DQ56" s="249"/>
      <c r="DR56" s="249"/>
      <c r="DS56" s="289"/>
      <c r="DT56" s="249"/>
      <c r="DU56" s="249"/>
      <c r="DV56" s="289"/>
      <c r="DW56" s="249"/>
      <c r="DX56" s="249"/>
      <c r="DY56" s="289"/>
      <c r="DZ56" s="249"/>
    </row>
    <row r="57" spans="1:130" s="53" customFormat="1" x14ac:dyDescent="0.2">
      <c r="A57" s="262" t="s">
        <v>337</v>
      </c>
      <c r="B57" s="283">
        <v>54</v>
      </c>
      <c r="C57" s="249" t="s">
        <v>54</v>
      </c>
      <c r="D57" s="249"/>
      <c r="E57" s="289"/>
      <c r="F57" s="249"/>
      <c r="G57" s="267" t="s">
        <v>65</v>
      </c>
      <c r="H57" s="289">
        <f>B88</f>
        <v>240</v>
      </c>
      <c r="I57" s="249" t="s">
        <v>66</v>
      </c>
      <c r="J57" s="249"/>
      <c r="K57" s="289"/>
      <c r="L57" s="249"/>
      <c r="M57" s="249"/>
      <c r="N57" s="289"/>
      <c r="O57" s="249"/>
      <c r="P57" s="249"/>
      <c r="Q57" s="289"/>
      <c r="R57" s="249"/>
      <c r="S57" s="249"/>
      <c r="T57" s="289"/>
      <c r="U57" s="249"/>
      <c r="V57" s="249"/>
      <c r="W57" s="289"/>
      <c r="X57" s="249"/>
      <c r="Y57" s="249"/>
      <c r="Z57" s="289"/>
      <c r="AA57" s="249"/>
      <c r="AB57" s="249"/>
      <c r="AC57" s="289"/>
      <c r="AD57" s="289"/>
      <c r="AE57" s="289"/>
      <c r="AF57" s="289"/>
      <c r="AG57" s="289"/>
      <c r="AH57" s="249"/>
      <c r="AI57" s="249"/>
      <c r="AJ57" s="289"/>
      <c r="AK57" s="249"/>
      <c r="AL57" s="249"/>
      <c r="AM57" s="289"/>
      <c r="AN57" s="249"/>
      <c r="AO57" s="249"/>
      <c r="AP57" s="289"/>
      <c r="AQ57" s="249"/>
      <c r="AR57" s="249"/>
      <c r="AS57" s="289"/>
      <c r="AT57" s="249"/>
      <c r="AU57" s="249"/>
      <c r="AV57" s="289"/>
      <c r="AW57" s="249"/>
      <c r="AX57" s="249"/>
      <c r="AY57" s="289"/>
      <c r="AZ57" s="249"/>
      <c r="BA57" s="249"/>
      <c r="BB57" s="289"/>
      <c r="BC57" s="249"/>
      <c r="BD57" s="249"/>
      <c r="BE57" s="289"/>
      <c r="BF57" s="249"/>
      <c r="BG57" s="249"/>
      <c r="BH57" s="289"/>
      <c r="BI57" s="249"/>
      <c r="BJ57" s="249"/>
      <c r="BK57" s="289"/>
      <c r="BL57" s="249"/>
      <c r="BM57" s="249"/>
      <c r="BN57" s="289"/>
      <c r="BO57" s="249"/>
      <c r="BP57" s="249"/>
      <c r="BQ57" s="289"/>
      <c r="BR57" s="249"/>
      <c r="BS57" s="249"/>
      <c r="BT57" s="289"/>
      <c r="BU57" s="249"/>
      <c r="BV57" s="267"/>
      <c r="BW57" s="289"/>
      <c r="BX57" s="249"/>
      <c r="BY57" s="249"/>
      <c r="BZ57" s="289"/>
      <c r="CA57" s="249"/>
      <c r="CB57" s="249"/>
      <c r="CC57" s="289"/>
      <c r="CD57" s="249"/>
      <c r="CE57" s="249"/>
      <c r="CF57" s="289"/>
      <c r="CG57" s="249"/>
      <c r="CH57" s="249"/>
      <c r="CI57" s="289"/>
      <c r="CJ57" s="249"/>
      <c r="CK57" s="249"/>
      <c r="CL57" s="289"/>
      <c r="CM57" s="249"/>
      <c r="CN57" s="249"/>
      <c r="CO57" s="289"/>
      <c r="CP57" s="249"/>
      <c r="CQ57" s="249"/>
      <c r="CR57" s="289"/>
      <c r="CS57" s="249"/>
      <c r="CT57" s="249"/>
      <c r="CU57" s="289"/>
      <c r="CV57" s="249"/>
      <c r="CW57" s="249"/>
      <c r="CX57" s="289"/>
      <c r="CY57" s="249"/>
      <c r="CZ57" s="267"/>
      <c r="DA57" s="293"/>
      <c r="DB57" s="262"/>
      <c r="DC57" s="249"/>
      <c r="DD57" s="289"/>
      <c r="DE57" s="249"/>
      <c r="DF57" s="249"/>
      <c r="DG57" s="289"/>
      <c r="DH57" s="249"/>
      <c r="DI57" s="249"/>
      <c r="DJ57" s="289"/>
      <c r="DK57" s="249"/>
      <c r="DL57" s="249"/>
      <c r="DM57" s="289"/>
      <c r="DN57" s="249"/>
      <c r="DO57" s="249"/>
      <c r="DP57" s="289"/>
      <c r="DQ57" s="249"/>
      <c r="DR57" s="249"/>
      <c r="DS57" s="289"/>
      <c r="DT57" s="249"/>
      <c r="DU57" s="249"/>
      <c r="DV57" s="289"/>
      <c r="DW57" s="249"/>
      <c r="DX57" s="249"/>
      <c r="DY57" s="289"/>
      <c r="DZ57" s="249"/>
    </row>
    <row r="58" spans="1:130" s="53" customFormat="1" x14ac:dyDescent="0.2">
      <c r="A58" s="249" t="s">
        <v>357</v>
      </c>
      <c r="B58" s="283">
        <v>32.799999999999997</v>
      </c>
      <c r="C58" s="249" t="s">
        <v>54</v>
      </c>
      <c r="D58" s="249"/>
      <c r="E58" s="289"/>
      <c r="F58" s="249"/>
      <c r="G58" s="267" t="s">
        <v>76</v>
      </c>
      <c r="H58" s="289">
        <f>B89</f>
        <v>0.42</v>
      </c>
      <c r="I58" s="249" t="s">
        <v>47</v>
      </c>
      <c r="J58" s="249"/>
      <c r="K58" s="289"/>
      <c r="L58" s="249"/>
      <c r="M58" s="249"/>
      <c r="N58" s="289"/>
      <c r="O58" s="249"/>
      <c r="P58" s="249"/>
      <c r="Q58" s="289"/>
      <c r="R58" s="249"/>
      <c r="S58" s="249"/>
      <c r="T58" s="289"/>
      <c r="U58" s="249"/>
      <c r="V58" s="249"/>
      <c r="W58" s="289"/>
      <c r="X58" s="249"/>
      <c r="Y58" s="249"/>
      <c r="Z58" s="289"/>
      <c r="AA58" s="249"/>
      <c r="AB58" s="249"/>
      <c r="AC58" s="289"/>
      <c r="AD58" s="289"/>
      <c r="AE58" s="289"/>
      <c r="AF58" s="289"/>
      <c r="AG58" s="289"/>
      <c r="AH58" s="249"/>
      <c r="AI58" s="249"/>
      <c r="AJ58" s="289"/>
      <c r="AK58" s="249"/>
      <c r="AL58" s="249"/>
      <c r="AM58" s="289"/>
      <c r="AN58" s="249"/>
      <c r="AO58" s="249"/>
      <c r="AP58" s="289"/>
      <c r="AQ58" s="249"/>
      <c r="AR58" s="249"/>
      <c r="AS58" s="289"/>
      <c r="AT58" s="249"/>
      <c r="AU58" s="249"/>
      <c r="AV58" s="289"/>
      <c r="AW58" s="249"/>
      <c r="AX58" s="249"/>
      <c r="AY58" s="289"/>
      <c r="AZ58" s="249"/>
      <c r="BA58" s="249"/>
      <c r="BB58" s="289"/>
      <c r="BC58" s="249"/>
      <c r="BD58" s="249"/>
      <c r="BE58" s="289"/>
      <c r="BF58" s="249"/>
      <c r="BG58" s="249"/>
      <c r="BH58" s="289"/>
      <c r="BI58" s="249"/>
      <c r="BJ58" s="249"/>
      <c r="BK58" s="289"/>
      <c r="BL58" s="249"/>
      <c r="BM58" s="249"/>
      <c r="BN58" s="289"/>
      <c r="BO58" s="249"/>
      <c r="BP58" s="249"/>
      <c r="BQ58" s="289"/>
      <c r="BR58" s="249"/>
      <c r="BS58" s="249"/>
      <c r="BT58" s="289"/>
      <c r="BU58" s="249"/>
      <c r="BV58" s="267"/>
      <c r="BW58" s="289"/>
      <c r="BX58" s="249"/>
      <c r="BY58" s="249"/>
      <c r="BZ58" s="289"/>
      <c r="CA58" s="249"/>
      <c r="CB58" s="249"/>
      <c r="CC58" s="289"/>
      <c r="CD58" s="249"/>
      <c r="CE58" s="249"/>
      <c r="CF58" s="289"/>
      <c r="CG58" s="249"/>
      <c r="CH58" s="249"/>
      <c r="CI58" s="289"/>
      <c r="CJ58" s="249"/>
      <c r="CK58" s="249"/>
      <c r="CL58" s="289"/>
      <c r="CM58" s="249"/>
      <c r="CN58" s="249"/>
      <c r="CO58" s="289"/>
      <c r="CP58" s="249"/>
      <c r="CQ58" s="249"/>
      <c r="CR58" s="289"/>
      <c r="CS58" s="249"/>
      <c r="CT58" s="249"/>
      <c r="CU58" s="289"/>
      <c r="CV58" s="249"/>
      <c r="CW58" s="249"/>
      <c r="CX58" s="289"/>
      <c r="CY58" s="249"/>
      <c r="CZ58" s="267"/>
      <c r="DA58" s="293"/>
      <c r="DB58" s="262"/>
      <c r="DC58" s="249"/>
      <c r="DD58" s="289"/>
      <c r="DE58" s="249"/>
      <c r="DF58" s="249"/>
      <c r="DG58" s="289"/>
      <c r="DH58" s="249"/>
      <c r="DI58" s="249"/>
      <c r="DJ58" s="289"/>
      <c r="DK58" s="249"/>
      <c r="DL58" s="249"/>
      <c r="DM58" s="289"/>
      <c r="DN58" s="249"/>
      <c r="DO58" s="249"/>
      <c r="DP58" s="289"/>
      <c r="DQ58" s="249"/>
      <c r="DR58" s="249"/>
      <c r="DS58" s="289"/>
      <c r="DT58" s="249"/>
      <c r="DU58" s="249"/>
      <c r="DV58" s="289"/>
      <c r="DW58" s="249"/>
      <c r="DX58" s="249"/>
      <c r="DY58" s="289"/>
      <c r="DZ58" s="249"/>
    </row>
    <row r="59" spans="1:130" s="53" customFormat="1" x14ac:dyDescent="0.2">
      <c r="A59" s="249" t="s">
        <v>336</v>
      </c>
      <c r="B59" s="283">
        <v>157.69999999999999</v>
      </c>
      <c r="C59" s="249" t="s">
        <v>54</v>
      </c>
      <c r="D59" s="249"/>
      <c r="E59" s="289"/>
      <c r="F59" s="249"/>
      <c r="G59" s="267" t="s">
        <v>81</v>
      </c>
      <c r="H59" s="299">
        <f>H63+(0.693/H65)</f>
        <v>4.9504394977168943E-2</v>
      </c>
      <c r="I59" s="262" t="s">
        <v>82</v>
      </c>
      <c r="J59" s="249"/>
      <c r="K59" s="289"/>
      <c r="L59" s="249"/>
      <c r="M59" s="249"/>
      <c r="N59" s="289"/>
      <c r="O59" s="249"/>
      <c r="P59" s="249"/>
      <c r="Q59" s="289"/>
      <c r="R59" s="249"/>
      <c r="S59" s="249"/>
      <c r="T59" s="289"/>
      <c r="U59" s="249"/>
      <c r="V59" s="249"/>
      <c r="W59" s="289"/>
      <c r="X59" s="249"/>
      <c r="Y59" s="249"/>
      <c r="Z59" s="289"/>
      <c r="AA59" s="249"/>
      <c r="AB59" s="249"/>
      <c r="AC59" s="289"/>
      <c r="AD59" s="289"/>
      <c r="AE59" s="289"/>
      <c r="AF59" s="289"/>
      <c r="AG59" s="289"/>
      <c r="AH59" s="249"/>
      <c r="AI59" s="249"/>
      <c r="AJ59" s="289"/>
      <c r="AK59" s="249"/>
      <c r="AL59" s="249"/>
      <c r="AM59" s="289"/>
      <c r="AN59" s="249"/>
      <c r="AO59" s="249"/>
      <c r="AP59" s="289"/>
      <c r="AQ59" s="249"/>
      <c r="AR59" s="249"/>
      <c r="AS59" s="289"/>
      <c r="AT59" s="249"/>
      <c r="AU59" s="249"/>
      <c r="AV59" s="289"/>
      <c r="AW59" s="249"/>
      <c r="AX59" s="249"/>
      <c r="AY59" s="289"/>
      <c r="AZ59" s="249"/>
      <c r="BA59" s="249"/>
      <c r="BB59" s="289"/>
      <c r="BC59" s="249"/>
      <c r="BD59" s="249"/>
      <c r="BE59" s="289"/>
      <c r="BF59" s="249"/>
      <c r="BG59" s="249"/>
      <c r="BH59" s="289"/>
      <c r="BI59" s="249"/>
      <c r="BJ59" s="249"/>
      <c r="BK59" s="289"/>
      <c r="BL59" s="249"/>
      <c r="BM59" s="249"/>
      <c r="BN59" s="289"/>
      <c r="BO59" s="249"/>
      <c r="BP59" s="249"/>
      <c r="BQ59" s="289"/>
      <c r="BR59" s="249"/>
      <c r="BS59" s="249"/>
      <c r="BT59" s="289"/>
      <c r="BU59" s="249"/>
      <c r="BV59" s="267"/>
      <c r="BW59" s="289"/>
      <c r="BX59" s="249"/>
      <c r="BY59" s="249"/>
      <c r="BZ59" s="289"/>
      <c r="CA59" s="249"/>
      <c r="CB59" s="249"/>
      <c r="CC59" s="289"/>
      <c r="CD59" s="249"/>
      <c r="CE59" s="249"/>
      <c r="CF59" s="289"/>
      <c r="CG59" s="249"/>
      <c r="CH59" s="249"/>
      <c r="CI59" s="289"/>
      <c r="CJ59" s="249"/>
      <c r="CK59" s="249"/>
      <c r="CL59" s="289"/>
      <c r="CM59" s="249"/>
      <c r="CN59" s="249"/>
      <c r="CO59" s="289"/>
      <c r="CP59" s="249"/>
      <c r="CQ59" s="249"/>
      <c r="CR59" s="289"/>
      <c r="CS59" s="249"/>
      <c r="CT59" s="249"/>
      <c r="CU59" s="289"/>
      <c r="CV59" s="249"/>
      <c r="CW59" s="249"/>
      <c r="CX59" s="289"/>
      <c r="CY59" s="249"/>
      <c r="CZ59" s="267"/>
      <c r="DA59" s="293"/>
      <c r="DB59" s="262"/>
      <c r="DC59" s="249"/>
      <c r="DD59" s="289"/>
      <c r="DE59" s="249"/>
      <c r="DF59" s="249"/>
      <c r="DG59" s="289"/>
      <c r="DH59" s="249"/>
      <c r="DI59" s="249"/>
      <c r="DJ59" s="289"/>
      <c r="DK59" s="249"/>
      <c r="DL59" s="249"/>
      <c r="DM59" s="289"/>
      <c r="DN59" s="249"/>
      <c r="DO59" s="249"/>
      <c r="DP59" s="289"/>
      <c r="DQ59" s="249"/>
      <c r="DR59" s="249"/>
      <c r="DS59" s="289"/>
      <c r="DT59" s="249"/>
      <c r="DU59" s="249"/>
      <c r="DV59" s="289"/>
      <c r="DW59" s="249"/>
      <c r="DX59" s="249"/>
      <c r="DY59" s="289"/>
      <c r="DZ59" s="249"/>
    </row>
    <row r="60" spans="1:130" s="53" customFormat="1" x14ac:dyDescent="0.2">
      <c r="A60" s="262" t="s">
        <v>332</v>
      </c>
      <c r="B60" s="283">
        <v>68.099999999999994</v>
      </c>
      <c r="C60" s="267" t="s">
        <v>254</v>
      </c>
      <c r="D60" s="249"/>
      <c r="E60" s="289"/>
      <c r="F60" s="249"/>
      <c r="G60" s="267" t="s">
        <v>85</v>
      </c>
      <c r="H60" s="293">
        <f>B90</f>
        <v>60</v>
      </c>
      <c r="I60" s="262" t="s">
        <v>61</v>
      </c>
      <c r="J60" s="249"/>
      <c r="K60" s="289"/>
      <c r="L60" s="249"/>
      <c r="M60" s="249"/>
      <c r="N60" s="289"/>
      <c r="O60" s="249"/>
      <c r="P60" s="249"/>
      <c r="Q60" s="289"/>
      <c r="R60" s="249"/>
      <c r="S60" s="249"/>
      <c r="T60" s="289"/>
      <c r="U60" s="249"/>
      <c r="V60" s="249"/>
      <c r="W60" s="289"/>
      <c r="X60" s="249"/>
      <c r="Y60" s="249"/>
      <c r="Z60" s="289"/>
      <c r="AA60" s="249"/>
      <c r="AB60" s="249"/>
      <c r="AC60" s="289"/>
      <c r="AD60" s="289"/>
      <c r="AE60" s="289"/>
      <c r="AF60" s="289"/>
      <c r="AG60" s="289"/>
      <c r="AH60" s="249"/>
      <c r="AI60" s="249"/>
      <c r="AJ60" s="289"/>
      <c r="AK60" s="249"/>
      <c r="AL60" s="249"/>
      <c r="AM60" s="289"/>
      <c r="AN60" s="249"/>
      <c r="AO60" s="249"/>
      <c r="AP60" s="289"/>
      <c r="AQ60" s="249"/>
      <c r="AR60" s="249"/>
      <c r="AS60" s="289"/>
      <c r="AT60" s="249"/>
      <c r="AU60" s="249"/>
      <c r="AV60" s="289"/>
      <c r="AW60" s="249"/>
      <c r="AX60" s="249"/>
      <c r="AY60" s="289"/>
      <c r="AZ60" s="249"/>
      <c r="BA60" s="249"/>
      <c r="BB60" s="289"/>
      <c r="BC60" s="249"/>
      <c r="BD60" s="249"/>
      <c r="BE60" s="289"/>
      <c r="BF60" s="249"/>
      <c r="BG60" s="249"/>
      <c r="BH60" s="289"/>
      <c r="BI60" s="249"/>
      <c r="BJ60" s="249"/>
      <c r="BK60" s="289"/>
      <c r="BL60" s="249"/>
      <c r="BM60" s="249"/>
      <c r="BN60" s="289"/>
      <c r="BO60" s="249"/>
      <c r="BP60" s="249"/>
      <c r="BQ60" s="289"/>
      <c r="BR60" s="249"/>
      <c r="BS60" s="249"/>
      <c r="BT60" s="289"/>
      <c r="BU60" s="249"/>
      <c r="BV60" s="267"/>
      <c r="BW60" s="289"/>
      <c r="BX60" s="249"/>
      <c r="BY60" s="249"/>
      <c r="BZ60" s="289"/>
      <c r="CA60" s="249"/>
      <c r="CB60" s="249"/>
      <c r="CC60" s="289"/>
      <c r="CD60" s="249"/>
      <c r="CE60" s="249"/>
      <c r="CF60" s="289"/>
      <c r="CG60" s="249"/>
      <c r="CH60" s="249"/>
      <c r="CI60" s="289"/>
      <c r="CJ60" s="249"/>
      <c r="CK60" s="249"/>
      <c r="CL60" s="289"/>
      <c r="CM60" s="249"/>
      <c r="CN60" s="249"/>
      <c r="CO60" s="289"/>
      <c r="CP60" s="249"/>
      <c r="CQ60" s="249"/>
      <c r="CR60" s="289"/>
      <c r="CS60" s="249"/>
      <c r="CT60" s="249"/>
      <c r="CU60" s="289"/>
      <c r="CV60" s="249"/>
      <c r="CW60" s="249"/>
      <c r="CX60" s="289"/>
      <c r="CY60" s="249"/>
      <c r="CZ60" s="267"/>
      <c r="DA60" s="289"/>
      <c r="DB60" s="249"/>
      <c r="DC60" s="249"/>
      <c r="DD60" s="289"/>
      <c r="DE60" s="249"/>
      <c r="DF60" s="249"/>
      <c r="DG60" s="289"/>
      <c r="DH60" s="249"/>
      <c r="DI60" s="249"/>
      <c r="DJ60" s="289"/>
      <c r="DK60" s="249"/>
      <c r="DL60" s="249"/>
      <c r="DM60" s="289"/>
      <c r="DN60" s="249"/>
      <c r="DO60" s="249"/>
      <c r="DP60" s="289"/>
      <c r="DQ60" s="249"/>
      <c r="DR60" s="249"/>
      <c r="DS60" s="289"/>
      <c r="DT60" s="249"/>
      <c r="DU60" s="249"/>
      <c r="DV60" s="289"/>
      <c r="DW60" s="249"/>
      <c r="DX60" s="249"/>
      <c r="DY60" s="289"/>
      <c r="DZ60" s="249"/>
    </row>
    <row r="61" spans="1:130" s="53" customFormat="1" x14ac:dyDescent="0.2">
      <c r="A61" s="262" t="s">
        <v>333</v>
      </c>
      <c r="B61" s="283">
        <v>188.5</v>
      </c>
      <c r="C61" s="267" t="s">
        <v>254</v>
      </c>
      <c r="D61" s="249"/>
      <c r="E61" s="289"/>
      <c r="F61" s="249"/>
      <c r="G61" s="267" t="s">
        <v>87</v>
      </c>
      <c r="H61" s="293">
        <f>B91</f>
        <v>2</v>
      </c>
      <c r="I61" s="262" t="s">
        <v>66</v>
      </c>
      <c r="J61" s="249"/>
      <c r="K61" s="289"/>
      <c r="L61" s="249"/>
      <c r="M61" s="249"/>
      <c r="N61" s="289"/>
      <c r="O61" s="249"/>
      <c r="P61" s="249"/>
      <c r="Q61" s="289"/>
      <c r="R61" s="249"/>
      <c r="S61" s="249"/>
      <c r="T61" s="289"/>
      <c r="U61" s="249"/>
      <c r="V61" s="249"/>
      <c r="W61" s="289"/>
      <c r="X61" s="249"/>
      <c r="Y61" s="249"/>
      <c r="Z61" s="289"/>
      <c r="AA61" s="249"/>
      <c r="AB61" s="249"/>
      <c r="AC61" s="289"/>
      <c r="AD61" s="289"/>
      <c r="AE61" s="289"/>
      <c r="AF61" s="289"/>
      <c r="AG61" s="289"/>
      <c r="AH61" s="249"/>
      <c r="AI61" s="249"/>
      <c r="AJ61" s="289"/>
      <c r="AK61" s="249"/>
      <c r="AL61" s="249"/>
      <c r="AM61" s="289"/>
      <c r="AN61" s="249"/>
      <c r="AO61" s="249"/>
      <c r="AP61" s="289"/>
      <c r="AQ61" s="249"/>
      <c r="AR61" s="249"/>
      <c r="AS61" s="289"/>
      <c r="AT61" s="249"/>
      <c r="AU61" s="249"/>
      <c r="AV61" s="289"/>
      <c r="AW61" s="249"/>
      <c r="AX61" s="249"/>
      <c r="AY61" s="289"/>
      <c r="AZ61" s="249"/>
      <c r="BA61" s="249"/>
      <c r="BB61" s="289"/>
      <c r="BC61" s="249"/>
      <c r="BD61" s="249"/>
      <c r="BE61" s="289"/>
      <c r="BF61" s="249"/>
      <c r="BG61" s="249"/>
      <c r="BH61" s="289"/>
      <c r="BI61" s="249"/>
      <c r="BJ61" s="249"/>
      <c r="BK61" s="289"/>
      <c r="BL61" s="249"/>
      <c r="BM61" s="249"/>
      <c r="BN61" s="289"/>
      <c r="BO61" s="249"/>
      <c r="BP61" s="249"/>
      <c r="BQ61" s="289"/>
      <c r="BR61" s="249"/>
      <c r="BS61" s="249"/>
      <c r="BT61" s="289"/>
      <c r="BU61" s="249"/>
      <c r="BV61" s="267"/>
      <c r="BW61" s="293"/>
      <c r="BX61" s="262"/>
      <c r="BY61" s="249"/>
      <c r="BZ61" s="289"/>
      <c r="CA61" s="249"/>
      <c r="CB61" s="249"/>
      <c r="CC61" s="289"/>
      <c r="CD61" s="249"/>
      <c r="CE61" s="249"/>
      <c r="CF61" s="289"/>
      <c r="CG61" s="249"/>
      <c r="CH61" s="249"/>
      <c r="CI61" s="289"/>
      <c r="CJ61" s="249"/>
      <c r="CK61" s="249"/>
      <c r="CL61" s="289"/>
      <c r="CM61" s="249"/>
      <c r="CN61" s="249"/>
      <c r="CO61" s="289"/>
      <c r="CP61" s="249"/>
      <c r="CQ61" s="249"/>
      <c r="CR61" s="289"/>
      <c r="CS61" s="249"/>
      <c r="CT61" s="249"/>
      <c r="CU61" s="289"/>
      <c r="CV61" s="249"/>
      <c r="CW61" s="249"/>
      <c r="CX61" s="289"/>
      <c r="CY61" s="249"/>
      <c r="CZ61" s="267"/>
      <c r="DA61" s="287"/>
      <c r="DB61" s="249"/>
      <c r="DC61" s="249"/>
      <c r="DD61" s="289"/>
      <c r="DE61" s="249"/>
      <c r="DF61" s="249"/>
      <c r="DG61" s="289"/>
      <c r="DH61" s="249"/>
      <c r="DI61" s="249"/>
      <c r="DJ61" s="289"/>
      <c r="DK61" s="249"/>
      <c r="DL61" s="249"/>
      <c r="DM61" s="289"/>
      <c r="DN61" s="249"/>
      <c r="DO61" s="249"/>
      <c r="DP61" s="289"/>
      <c r="DQ61" s="249"/>
      <c r="DR61" s="249"/>
      <c r="DS61" s="289"/>
      <c r="DT61" s="249"/>
      <c r="DU61" s="249"/>
      <c r="DV61" s="289"/>
      <c r="DW61" s="249"/>
      <c r="DX61" s="249"/>
      <c r="DY61" s="289"/>
      <c r="DZ61" s="249"/>
    </row>
    <row r="62" spans="1:130" s="53" customFormat="1" x14ac:dyDescent="0.2">
      <c r="A62" s="262" t="s">
        <v>334</v>
      </c>
      <c r="B62" s="283">
        <v>41.7</v>
      </c>
      <c r="C62" s="267" t="s">
        <v>254</v>
      </c>
      <c r="D62" s="249"/>
      <c r="E62" s="289"/>
      <c r="F62" s="249"/>
      <c r="G62" s="267" t="s">
        <v>89</v>
      </c>
      <c r="H62" s="289">
        <f>B92</f>
        <v>2.6999999999999999E-5</v>
      </c>
      <c r="I62" s="249" t="s">
        <v>82</v>
      </c>
      <c r="J62" s="249"/>
      <c r="K62" s="289"/>
      <c r="L62" s="249"/>
      <c r="M62" s="249"/>
      <c r="N62" s="289"/>
      <c r="O62" s="249"/>
      <c r="P62" s="249"/>
      <c r="Q62" s="289"/>
      <c r="R62" s="249"/>
      <c r="S62" s="249"/>
      <c r="T62" s="289"/>
      <c r="U62" s="249"/>
      <c r="V62" s="249"/>
      <c r="W62" s="289"/>
      <c r="X62" s="249"/>
      <c r="Y62" s="249"/>
      <c r="Z62" s="289"/>
      <c r="AA62" s="249"/>
      <c r="AB62" s="249"/>
      <c r="AC62" s="289"/>
      <c r="AD62" s="289"/>
      <c r="AE62" s="289"/>
      <c r="AF62" s="289"/>
      <c r="AG62" s="289"/>
      <c r="AH62" s="249"/>
      <c r="AI62" s="249"/>
      <c r="AJ62" s="289"/>
      <c r="AK62" s="249"/>
      <c r="AL62" s="249"/>
      <c r="AM62" s="289"/>
      <c r="AN62" s="249"/>
      <c r="AO62" s="249"/>
      <c r="AP62" s="289"/>
      <c r="AQ62" s="249"/>
      <c r="AR62" s="249"/>
      <c r="AS62" s="289"/>
      <c r="AT62" s="249"/>
      <c r="AU62" s="249"/>
      <c r="AV62" s="289"/>
      <c r="AW62" s="249"/>
      <c r="AX62" s="249"/>
      <c r="AY62" s="289"/>
      <c r="AZ62" s="249"/>
      <c r="BA62" s="249"/>
      <c r="BB62" s="289"/>
      <c r="BC62" s="249"/>
      <c r="BD62" s="249"/>
      <c r="BE62" s="289"/>
      <c r="BF62" s="249"/>
      <c r="BG62" s="249"/>
      <c r="BH62" s="289"/>
      <c r="BI62" s="249"/>
      <c r="BJ62" s="249"/>
      <c r="BK62" s="289"/>
      <c r="BL62" s="249"/>
      <c r="BM62" s="249"/>
      <c r="BN62" s="289"/>
      <c r="BO62" s="249"/>
      <c r="BP62" s="249"/>
      <c r="BQ62" s="289"/>
      <c r="BR62" s="249"/>
      <c r="BS62" s="249"/>
      <c r="BT62" s="289"/>
      <c r="BU62" s="249"/>
      <c r="BV62" s="267"/>
      <c r="BW62" s="293"/>
      <c r="BX62" s="262"/>
      <c r="BY62" s="249"/>
      <c r="BZ62" s="289"/>
      <c r="CA62" s="249"/>
      <c r="CB62" s="249"/>
      <c r="CC62" s="289"/>
      <c r="CD62" s="249"/>
      <c r="CE62" s="249"/>
      <c r="CF62" s="289"/>
      <c r="CG62" s="249"/>
      <c r="CH62" s="249"/>
      <c r="CI62" s="289"/>
      <c r="CJ62" s="249"/>
      <c r="CK62" s="249"/>
      <c r="CL62" s="289"/>
      <c r="CM62" s="249"/>
      <c r="CN62" s="249"/>
      <c r="CO62" s="289"/>
      <c r="CP62" s="249"/>
      <c r="CQ62" s="249"/>
      <c r="CR62" s="289"/>
      <c r="CS62" s="249"/>
      <c r="CT62" s="249"/>
      <c r="CU62" s="289"/>
      <c r="CV62" s="249"/>
      <c r="CW62" s="249"/>
      <c r="CX62" s="289"/>
      <c r="CY62" s="249"/>
      <c r="CZ62" s="267"/>
      <c r="DA62" s="289"/>
      <c r="DB62" s="249"/>
      <c r="DC62" s="249"/>
      <c r="DD62" s="289"/>
      <c r="DE62" s="249"/>
      <c r="DF62" s="249"/>
      <c r="DG62" s="289"/>
      <c r="DH62" s="249"/>
      <c r="DI62" s="249"/>
      <c r="DJ62" s="289"/>
      <c r="DK62" s="249"/>
      <c r="DL62" s="249"/>
      <c r="DM62" s="289"/>
      <c r="DN62" s="249"/>
      <c r="DO62" s="249"/>
      <c r="DP62" s="289"/>
      <c r="DQ62" s="249"/>
      <c r="DR62" s="249"/>
      <c r="DS62" s="289"/>
      <c r="DT62" s="249"/>
      <c r="DU62" s="249"/>
      <c r="DV62" s="289"/>
      <c r="DW62" s="249"/>
      <c r="DX62" s="249"/>
      <c r="DY62" s="289"/>
      <c r="DZ62" s="249"/>
    </row>
    <row r="63" spans="1:130" s="53" customFormat="1" x14ac:dyDescent="0.2">
      <c r="A63" s="262" t="s">
        <v>335</v>
      </c>
      <c r="B63" s="283">
        <v>128.9</v>
      </c>
      <c r="C63" s="267" t="s">
        <v>254</v>
      </c>
      <c r="D63" s="249"/>
      <c r="E63" s="289"/>
      <c r="F63" s="249"/>
      <c r="G63" s="267" t="s">
        <v>90</v>
      </c>
      <c r="H63" s="288">
        <f>0.693/H67</f>
        <v>4.3949771689497717E-6</v>
      </c>
      <c r="I63" s="249" t="s">
        <v>82</v>
      </c>
      <c r="J63" s="249"/>
      <c r="K63" s="289"/>
      <c r="L63" s="249"/>
      <c r="M63" s="249"/>
      <c r="N63" s="289"/>
      <c r="O63" s="249"/>
      <c r="P63" s="249"/>
      <c r="Q63" s="289"/>
      <c r="R63" s="249"/>
      <c r="S63" s="249"/>
      <c r="T63" s="289"/>
      <c r="U63" s="249"/>
      <c r="V63" s="249"/>
      <c r="W63" s="289"/>
      <c r="X63" s="249"/>
      <c r="Y63" s="249"/>
      <c r="Z63" s="289"/>
      <c r="AA63" s="249"/>
      <c r="AB63" s="249"/>
      <c r="AC63" s="289"/>
      <c r="AD63" s="289"/>
      <c r="AE63" s="289"/>
      <c r="AF63" s="289"/>
      <c r="AG63" s="289"/>
      <c r="AH63" s="249"/>
      <c r="AI63" s="249"/>
      <c r="AJ63" s="289"/>
      <c r="AK63" s="249"/>
      <c r="AL63" s="249"/>
      <c r="AM63" s="289"/>
      <c r="AN63" s="249"/>
      <c r="AO63" s="249"/>
      <c r="AP63" s="289"/>
      <c r="AQ63" s="249"/>
      <c r="AR63" s="249"/>
      <c r="AS63" s="289"/>
      <c r="AT63" s="249"/>
      <c r="AU63" s="249"/>
      <c r="AV63" s="289"/>
      <c r="AW63" s="249"/>
      <c r="AX63" s="249"/>
      <c r="AY63" s="289"/>
      <c r="AZ63" s="249"/>
      <c r="BA63" s="249"/>
      <c r="BB63" s="289"/>
      <c r="BC63" s="249"/>
      <c r="BD63" s="249"/>
      <c r="BE63" s="289"/>
      <c r="BF63" s="249"/>
      <c r="BG63" s="249"/>
      <c r="BH63" s="289"/>
      <c r="BI63" s="249"/>
      <c r="BJ63" s="249"/>
      <c r="BK63" s="289"/>
      <c r="BL63" s="249"/>
      <c r="BM63" s="249"/>
      <c r="BN63" s="289"/>
      <c r="BO63" s="249"/>
      <c r="BP63" s="249"/>
      <c r="BQ63" s="289"/>
      <c r="BR63" s="249"/>
      <c r="BS63" s="249"/>
      <c r="BT63" s="289"/>
      <c r="BU63" s="249"/>
      <c r="BV63" s="267"/>
      <c r="BW63" s="293"/>
      <c r="BX63" s="262"/>
      <c r="BY63" s="249"/>
      <c r="BZ63" s="289"/>
      <c r="CA63" s="249"/>
      <c r="CB63" s="249"/>
      <c r="CC63" s="289"/>
      <c r="CD63" s="249"/>
      <c r="CE63" s="249"/>
      <c r="CF63" s="289"/>
      <c r="CG63" s="249"/>
      <c r="CH63" s="249"/>
      <c r="CI63" s="289"/>
      <c r="CJ63" s="249"/>
      <c r="CK63" s="249"/>
      <c r="CL63" s="289"/>
      <c r="CM63" s="249"/>
      <c r="CN63" s="249"/>
      <c r="CO63" s="289"/>
      <c r="CP63" s="249"/>
      <c r="CQ63" s="249"/>
      <c r="CR63" s="289"/>
      <c r="CS63" s="249"/>
      <c r="CT63" s="249"/>
      <c r="CU63" s="289"/>
      <c r="CV63" s="249"/>
      <c r="CW63" s="249"/>
      <c r="CX63" s="289"/>
      <c r="CY63" s="249"/>
      <c r="CZ63" s="267"/>
      <c r="DA63" s="289"/>
      <c r="DB63" s="249"/>
      <c r="DC63" s="249"/>
      <c r="DD63" s="289"/>
      <c r="DE63" s="249"/>
      <c r="DF63" s="249"/>
      <c r="DG63" s="289"/>
      <c r="DH63" s="249"/>
      <c r="DI63" s="249"/>
      <c r="DJ63" s="289"/>
      <c r="DK63" s="249"/>
      <c r="DL63" s="249"/>
      <c r="DM63" s="289"/>
      <c r="DN63" s="249"/>
      <c r="DO63" s="249"/>
      <c r="DP63" s="289"/>
      <c r="DQ63" s="249"/>
      <c r="DR63" s="249"/>
      <c r="DS63" s="289"/>
      <c r="DT63" s="249"/>
      <c r="DU63" s="249"/>
      <c r="DV63" s="289"/>
      <c r="DW63" s="249"/>
      <c r="DX63" s="249"/>
      <c r="DY63" s="289"/>
      <c r="DZ63" s="249"/>
    </row>
    <row r="64" spans="1:130" s="53" customFormat="1" x14ac:dyDescent="0.2">
      <c r="A64" s="262" t="s">
        <v>343</v>
      </c>
      <c r="B64" s="283">
        <v>6</v>
      </c>
      <c r="C64" s="264" t="s">
        <v>69</v>
      </c>
      <c r="D64" s="249"/>
      <c r="E64" s="289"/>
      <c r="F64" s="249"/>
      <c r="G64" s="267" t="s">
        <v>91</v>
      </c>
      <c r="H64" s="289">
        <f>B93</f>
        <v>1</v>
      </c>
      <c r="I64" s="249" t="s">
        <v>47</v>
      </c>
      <c r="J64" s="249"/>
      <c r="K64" s="289"/>
      <c r="L64" s="249"/>
      <c r="M64" s="249"/>
      <c r="N64" s="289"/>
      <c r="O64" s="249"/>
      <c r="P64" s="249"/>
      <c r="Q64" s="289"/>
      <c r="R64" s="249"/>
      <c r="S64" s="249"/>
      <c r="T64" s="289"/>
      <c r="U64" s="249"/>
      <c r="V64" s="249"/>
      <c r="W64" s="289"/>
      <c r="X64" s="249"/>
      <c r="Y64" s="249"/>
      <c r="Z64" s="289"/>
      <c r="AA64" s="249"/>
      <c r="AB64" s="249"/>
      <c r="AC64" s="289"/>
      <c r="AD64" s="289"/>
      <c r="AE64" s="289"/>
      <c r="AF64" s="289"/>
      <c r="AG64" s="289"/>
      <c r="AH64" s="249"/>
      <c r="AI64" s="275"/>
      <c r="AJ64" s="353"/>
      <c r="AK64" s="275"/>
      <c r="AL64" s="249"/>
      <c r="AM64" s="289"/>
      <c r="AN64" s="249"/>
      <c r="AO64" s="249"/>
      <c r="AP64" s="289"/>
      <c r="AQ64" s="249"/>
      <c r="AR64" s="249"/>
      <c r="AS64" s="289"/>
      <c r="AT64" s="249"/>
      <c r="AU64" s="249"/>
      <c r="AV64" s="289"/>
      <c r="AW64" s="249"/>
      <c r="AX64" s="249"/>
      <c r="AY64" s="289"/>
      <c r="AZ64" s="249"/>
      <c r="BA64" s="249"/>
      <c r="BB64" s="289"/>
      <c r="BC64" s="249"/>
      <c r="BD64" s="249"/>
      <c r="BE64" s="289"/>
      <c r="BF64" s="249"/>
      <c r="BG64" s="249"/>
      <c r="BH64" s="289"/>
      <c r="BI64" s="249"/>
      <c r="BJ64" s="249"/>
      <c r="BK64" s="289"/>
      <c r="BL64" s="249"/>
      <c r="BM64" s="249"/>
      <c r="BN64" s="289"/>
      <c r="BO64" s="249"/>
      <c r="BP64" s="249"/>
      <c r="BQ64" s="289"/>
      <c r="BR64" s="249"/>
      <c r="BS64" s="249"/>
      <c r="BT64" s="289"/>
      <c r="BU64" s="249"/>
      <c r="BV64" s="267"/>
      <c r="BW64" s="289"/>
      <c r="BX64" s="249"/>
      <c r="BY64" s="249"/>
      <c r="BZ64" s="289"/>
      <c r="CA64" s="249"/>
      <c r="CB64" s="249"/>
      <c r="CC64" s="289"/>
      <c r="CD64" s="249"/>
      <c r="CE64" s="249"/>
      <c r="CF64" s="289"/>
      <c r="CG64" s="249"/>
      <c r="CH64" s="249"/>
      <c r="CI64" s="289"/>
      <c r="CJ64" s="249"/>
      <c r="CK64" s="249"/>
      <c r="CL64" s="289"/>
      <c r="CM64" s="249"/>
      <c r="CN64" s="249"/>
      <c r="CO64" s="289"/>
      <c r="CP64" s="249"/>
      <c r="CQ64" s="249"/>
      <c r="CR64" s="289"/>
      <c r="CS64" s="249"/>
      <c r="CT64" s="249"/>
      <c r="CU64" s="289"/>
      <c r="CV64" s="249"/>
      <c r="CW64" s="249"/>
      <c r="CX64" s="289"/>
      <c r="CY64" s="249"/>
      <c r="CZ64" s="249"/>
      <c r="DA64" s="289"/>
      <c r="DB64" s="249"/>
      <c r="DC64" s="249"/>
      <c r="DD64" s="289"/>
      <c r="DE64" s="249"/>
      <c r="DF64" s="249"/>
      <c r="DG64" s="289"/>
      <c r="DH64" s="249"/>
      <c r="DI64" s="249"/>
      <c r="DJ64" s="289"/>
      <c r="DK64" s="249"/>
      <c r="DL64" s="249"/>
      <c r="DM64" s="289"/>
      <c r="DN64" s="249"/>
      <c r="DO64" s="249"/>
      <c r="DP64" s="289"/>
      <c r="DQ64" s="249"/>
      <c r="DR64" s="249"/>
      <c r="DS64" s="289"/>
      <c r="DT64" s="249"/>
      <c r="DU64" s="249"/>
      <c r="DV64" s="289"/>
      <c r="DW64" s="249"/>
      <c r="DX64" s="249"/>
      <c r="DY64" s="289"/>
      <c r="DZ64" s="249"/>
    </row>
    <row r="65" spans="1:105" s="53" customFormat="1" x14ac:dyDescent="0.2">
      <c r="A65" s="262" t="s">
        <v>342</v>
      </c>
      <c r="B65" s="283">
        <v>20</v>
      </c>
      <c r="C65" s="264" t="s">
        <v>69</v>
      </c>
      <c r="D65" s="249"/>
      <c r="E65" s="289"/>
      <c r="F65" s="249"/>
      <c r="G65" s="267" t="s">
        <v>92</v>
      </c>
      <c r="H65" s="289">
        <f>B94</f>
        <v>14</v>
      </c>
      <c r="I65" s="249" t="s">
        <v>93</v>
      </c>
      <c r="J65" s="249"/>
      <c r="K65" s="289"/>
      <c r="L65" s="249"/>
      <c r="M65" s="249"/>
      <c r="N65" s="289"/>
      <c r="O65" s="249"/>
      <c r="P65" s="249"/>
      <c r="Q65" s="289"/>
      <c r="R65" s="249"/>
      <c r="S65" s="249"/>
      <c r="T65" s="289"/>
      <c r="U65" s="249"/>
      <c r="V65" s="249"/>
      <c r="W65" s="289"/>
      <c r="X65" s="249"/>
      <c r="Y65" s="249"/>
      <c r="Z65" s="289"/>
      <c r="AA65" s="249"/>
      <c r="AB65" s="249"/>
      <c r="AC65" s="289"/>
      <c r="AD65" s="289"/>
      <c r="AE65" s="289"/>
      <c r="AF65" s="289"/>
      <c r="AG65" s="289"/>
      <c r="AH65" s="249"/>
      <c r="AI65" s="275"/>
      <c r="AJ65" s="353"/>
      <c r="AK65" s="275"/>
      <c r="AL65" s="249"/>
      <c r="AM65" s="289"/>
      <c r="AN65" s="249"/>
      <c r="AO65" s="249"/>
      <c r="AP65" s="289"/>
      <c r="AQ65" s="249"/>
      <c r="AR65" s="249"/>
      <c r="AS65" s="289"/>
      <c r="AT65" s="249"/>
      <c r="AU65" s="249"/>
      <c r="AV65" s="289"/>
      <c r="AW65" s="249"/>
      <c r="AX65" s="249"/>
      <c r="AY65" s="289"/>
      <c r="AZ65" s="249"/>
      <c r="BA65" s="249"/>
      <c r="BB65" s="289"/>
      <c r="BC65" s="249"/>
      <c r="BD65" s="249"/>
      <c r="BE65" s="289"/>
      <c r="BF65" s="249"/>
      <c r="BG65" s="249"/>
      <c r="BH65" s="289"/>
      <c r="BI65" s="249"/>
      <c r="BJ65" s="249"/>
      <c r="BK65" s="289"/>
      <c r="BL65" s="249"/>
      <c r="BM65" s="249"/>
      <c r="BN65" s="289"/>
      <c r="BO65" s="249"/>
      <c r="BP65" s="249"/>
      <c r="BQ65" s="289"/>
      <c r="BR65" s="249"/>
      <c r="BS65" s="249"/>
      <c r="BT65" s="289"/>
      <c r="BU65" s="249"/>
      <c r="BV65" s="267"/>
      <c r="BW65" s="289"/>
      <c r="BX65" s="249"/>
      <c r="BY65" s="249"/>
      <c r="BZ65" s="289"/>
      <c r="CA65" s="249"/>
      <c r="CB65" s="249"/>
      <c r="CC65" s="289"/>
      <c r="CD65" s="249"/>
      <c r="CE65" s="249"/>
      <c r="CF65" s="289"/>
      <c r="CG65" s="249"/>
      <c r="CH65" s="249"/>
      <c r="CI65" s="289"/>
      <c r="CJ65" s="249"/>
      <c r="CK65" s="249"/>
      <c r="CL65" s="289"/>
      <c r="CM65" s="249"/>
      <c r="CN65" s="249"/>
      <c r="CO65" s="289"/>
      <c r="CP65" s="249"/>
      <c r="CQ65" s="249"/>
      <c r="CR65" s="289"/>
      <c r="CS65" s="249"/>
      <c r="CT65" s="249"/>
      <c r="CU65" s="289"/>
      <c r="CV65" s="249"/>
      <c r="CW65" s="249"/>
      <c r="CX65" s="289"/>
      <c r="CY65" s="249"/>
      <c r="CZ65" s="249"/>
      <c r="DA65" s="289"/>
    </row>
    <row r="66" spans="1:105" s="53" customFormat="1" x14ac:dyDescent="0.2">
      <c r="A66" s="262" t="s">
        <v>341</v>
      </c>
      <c r="B66" s="283">
        <v>26</v>
      </c>
      <c r="C66" s="264" t="s">
        <v>69</v>
      </c>
      <c r="D66" s="249"/>
      <c r="E66" s="289"/>
      <c r="F66" s="249"/>
      <c r="G66" s="249" t="s">
        <v>38</v>
      </c>
      <c r="H66" s="287">
        <f>B45</f>
        <v>2.1999999999999999E-5</v>
      </c>
      <c r="I66" s="249"/>
      <c r="J66" s="249"/>
      <c r="K66" s="289"/>
      <c r="L66" s="249"/>
      <c r="M66" s="249"/>
      <c r="N66" s="289"/>
      <c r="O66" s="249"/>
      <c r="P66" s="249"/>
      <c r="Q66" s="289"/>
      <c r="R66" s="249"/>
      <c r="S66" s="249"/>
      <c r="T66" s="289"/>
      <c r="U66" s="249"/>
      <c r="V66" s="249"/>
      <c r="W66" s="289"/>
      <c r="X66" s="249"/>
      <c r="Y66" s="249"/>
      <c r="Z66" s="289"/>
      <c r="AA66" s="249"/>
      <c r="AB66" s="249"/>
      <c r="AC66" s="289"/>
      <c r="AD66" s="289"/>
      <c r="AE66" s="289"/>
      <c r="AF66" s="289"/>
      <c r="AG66" s="289"/>
      <c r="AH66" s="249"/>
      <c r="AI66" s="275"/>
      <c r="AJ66" s="353"/>
      <c r="AK66" s="275"/>
      <c r="AL66" s="249"/>
      <c r="AM66" s="289"/>
      <c r="AN66" s="249"/>
      <c r="AO66" s="249"/>
      <c r="AP66" s="289"/>
      <c r="AQ66" s="249"/>
      <c r="AR66" s="249"/>
      <c r="AS66" s="289"/>
      <c r="AT66" s="249"/>
      <c r="AU66" s="249"/>
      <c r="AV66" s="289"/>
      <c r="AW66" s="249"/>
      <c r="AX66" s="249"/>
      <c r="AY66" s="289"/>
      <c r="AZ66" s="249"/>
      <c r="BA66" s="249"/>
      <c r="BB66" s="289"/>
      <c r="BC66" s="249"/>
      <c r="BD66" s="249"/>
      <c r="BE66" s="289"/>
      <c r="BF66" s="249"/>
      <c r="BG66" s="249"/>
      <c r="BH66" s="289"/>
      <c r="BI66" s="249"/>
      <c r="BJ66" s="249"/>
      <c r="BK66" s="289"/>
      <c r="BL66" s="249"/>
      <c r="BM66" s="249"/>
      <c r="BN66" s="289"/>
      <c r="BO66" s="249"/>
      <c r="BP66" s="249"/>
      <c r="BQ66" s="289"/>
      <c r="BR66" s="249"/>
      <c r="BS66" s="249"/>
      <c r="BT66" s="289"/>
      <c r="BU66" s="249"/>
      <c r="BV66" s="267"/>
      <c r="BW66" s="289"/>
      <c r="BX66" s="249"/>
      <c r="BY66" s="249"/>
      <c r="BZ66" s="289"/>
      <c r="CA66" s="249"/>
      <c r="CB66" s="249"/>
      <c r="CC66" s="289"/>
      <c r="CD66" s="249"/>
      <c r="CE66" s="249"/>
      <c r="CF66" s="289"/>
      <c r="CG66" s="249"/>
      <c r="CH66" s="249"/>
      <c r="CI66" s="289"/>
      <c r="CJ66" s="249"/>
      <c r="CK66" s="249"/>
      <c r="CL66" s="289"/>
      <c r="CM66" s="249"/>
      <c r="CN66" s="249"/>
      <c r="CO66" s="289"/>
      <c r="CP66" s="249"/>
      <c r="CQ66" s="249"/>
      <c r="CR66" s="289"/>
      <c r="CS66" s="249"/>
      <c r="CT66" s="249"/>
      <c r="CU66" s="289"/>
      <c r="CV66" s="249"/>
      <c r="CW66" s="249"/>
      <c r="CX66" s="289"/>
      <c r="CY66" s="249"/>
      <c r="CZ66" s="262"/>
      <c r="DA66" s="287"/>
    </row>
    <row r="67" spans="1:105" s="53" customFormat="1" x14ac:dyDescent="0.2">
      <c r="A67" s="262" t="s">
        <v>340</v>
      </c>
      <c r="B67" s="283">
        <v>350</v>
      </c>
      <c r="C67" s="264" t="s">
        <v>26</v>
      </c>
      <c r="D67" s="249"/>
      <c r="E67" s="289"/>
      <c r="F67" s="249"/>
      <c r="G67" s="262" t="s">
        <v>273</v>
      </c>
      <c r="H67" s="287">
        <f>B35</f>
        <v>157680</v>
      </c>
      <c r="I67" s="249" t="s">
        <v>257</v>
      </c>
      <c r="J67" s="249"/>
      <c r="K67" s="289"/>
      <c r="L67" s="249"/>
      <c r="M67" s="249"/>
      <c r="N67" s="289"/>
      <c r="O67" s="249"/>
      <c r="P67" s="249"/>
      <c r="Q67" s="289"/>
      <c r="R67" s="249"/>
      <c r="S67" s="249"/>
      <c r="T67" s="289"/>
      <c r="U67" s="249"/>
      <c r="V67" s="249"/>
      <c r="W67" s="289"/>
      <c r="X67" s="249"/>
      <c r="Y67" s="249"/>
      <c r="Z67" s="289"/>
      <c r="AA67" s="249"/>
      <c r="AB67" s="249"/>
      <c r="AC67" s="289"/>
      <c r="AD67" s="289"/>
      <c r="AE67" s="289"/>
      <c r="AF67" s="289"/>
      <c r="AG67" s="289"/>
      <c r="AH67" s="249"/>
      <c r="AI67" s="275"/>
      <c r="AJ67" s="353"/>
      <c r="AK67" s="275"/>
      <c r="AL67" s="249"/>
      <c r="AM67" s="289"/>
      <c r="AN67" s="249"/>
      <c r="AO67" s="249"/>
      <c r="AP67" s="289"/>
      <c r="AQ67" s="249"/>
      <c r="AR67" s="249"/>
      <c r="AS67" s="289"/>
      <c r="AT67" s="249"/>
      <c r="AU67" s="249"/>
      <c r="AV67" s="289"/>
      <c r="AW67" s="249"/>
      <c r="AX67" s="249"/>
      <c r="AY67" s="289"/>
      <c r="AZ67" s="249"/>
      <c r="BA67" s="249"/>
      <c r="BB67" s="289"/>
      <c r="BC67" s="249"/>
      <c r="BD67" s="249"/>
      <c r="BE67" s="289"/>
      <c r="BF67" s="249"/>
      <c r="BG67" s="249"/>
      <c r="BH67" s="289"/>
      <c r="BI67" s="249"/>
      <c r="BJ67" s="249"/>
      <c r="BK67" s="289"/>
      <c r="BL67" s="249"/>
      <c r="BM67" s="249"/>
      <c r="BN67" s="289"/>
      <c r="BO67" s="249"/>
      <c r="BP67" s="249"/>
      <c r="BQ67" s="289"/>
      <c r="BR67" s="249"/>
      <c r="BS67" s="249"/>
      <c r="BT67" s="289"/>
      <c r="BU67" s="249"/>
      <c r="BV67" s="267"/>
      <c r="BW67" s="289"/>
      <c r="BX67" s="249"/>
      <c r="BY67" s="249"/>
      <c r="BZ67" s="289"/>
      <c r="CA67" s="249"/>
      <c r="CB67" s="249"/>
      <c r="CC67" s="289"/>
      <c r="CD67" s="249"/>
      <c r="CE67" s="249"/>
      <c r="CF67" s="289"/>
      <c r="CG67" s="249"/>
      <c r="CH67" s="249"/>
      <c r="CI67" s="289"/>
      <c r="CJ67" s="249"/>
      <c r="CK67" s="249"/>
      <c r="CL67" s="289"/>
      <c r="CM67" s="249"/>
      <c r="CN67" s="249"/>
      <c r="CO67" s="289"/>
      <c r="CP67" s="249"/>
      <c r="CQ67" s="249"/>
      <c r="CR67" s="289"/>
      <c r="CS67" s="249"/>
      <c r="CT67" s="249"/>
      <c r="CU67" s="289"/>
      <c r="CV67" s="249"/>
      <c r="CW67" s="249"/>
      <c r="CX67" s="289"/>
      <c r="CY67" s="249"/>
      <c r="CZ67" s="249"/>
      <c r="DA67" s="289"/>
    </row>
    <row r="68" spans="1:105" s="53" customFormat="1" x14ac:dyDescent="0.2">
      <c r="A68" s="262" t="s">
        <v>339</v>
      </c>
      <c r="B68" s="283">
        <v>350</v>
      </c>
      <c r="C68" s="264" t="s">
        <v>26</v>
      </c>
      <c r="D68" s="249"/>
      <c r="E68" s="289"/>
      <c r="F68" s="249"/>
      <c r="G68" s="95" t="s">
        <v>299</v>
      </c>
      <c r="H68" s="345">
        <f>B293</f>
        <v>27.027027027027</v>
      </c>
      <c r="I68" s="249"/>
      <c r="J68" s="249"/>
      <c r="K68" s="289"/>
      <c r="L68" s="249"/>
      <c r="M68" s="249"/>
      <c r="N68" s="289"/>
      <c r="O68" s="249"/>
      <c r="P68" s="249"/>
      <c r="Q68" s="289"/>
      <c r="R68" s="249"/>
      <c r="S68" s="249"/>
      <c r="T68" s="289"/>
      <c r="U68" s="249"/>
      <c r="V68" s="249"/>
      <c r="W68" s="289"/>
      <c r="X68" s="249"/>
      <c r="Y68" s="249"/>
      <c r="Z68" s="289"/>
      <c r="AA68" s="249"/>
      <c r="AB68" s="249"/>
      <c r="AC68" s="289"/>
      <c r="AD68" s="289"/>
      <c r="AE68" s="289"/>
      <c r="AF68" s="289"/>
      <c r="AG68" s="289"/>
      <c r="AH68" s="249"/>
      <c r="AI68" s="275"/>
      <c r="AJ68" s="353"/>
      <c r="AK68" s="275"/>
      <c r="AL68" s="249"/>
      <c r="AM68" s="289"/>
      <c r="AN68" s="249"/>
      <c r="AO68" s="249"/>
      <c r="AP68" s="289"/>
      <c r="AQ68" s="249"/>
      <c r="AR68" s="249"/>
      <c r="AS68" s="289"/>
      <c r="AT68" s="249"/>
      <c r="AU68" s="249"/>
      <c r="AV68" s="289"/>
      <c r="AW68" s="249"/>
      <c r="AX68" s="249"/>
      <c r="AY68" s="289"/>
      <c r="AZ68" s="249"/>
      <c r="BA68" s="249"/>
      <c r="BB68" s="289"/>
      <c r="BC68" s="249"/>
      <c r="BD68" s="249"/>
      <c r="BE68" s="289"/>
      <c r="BF68" s="249"/>
      <c r="BG68" s="249"/>
      <c r="BH68" s="289"/>
      <c r="BI68" s="249"/>
      <c r="BJ68" s="249"/>
      <c r="BK68" s="289"/>
      <c r="BL68" s="249"/>
      <c r="BM68" s="249"/>
      <c r="BN68" s="289"/>
      <c r="BO68" s="249"/>
      <c r="BP68" s="249"/>
      <c r="BQ68" s="289"/>
      <c r="BR68" s="249"/>
      <c r="BS68" s="249"/>
      <c r="BT68" s="289"/>
      <c r="BU68" s="249"/>
      <c r="BV68" s="249"/>
      <c r="BW68" s="289"/>
      <c r="BX68" s="249"/>
      <c r="BY68" s="249"/>
      <c r="BZ68" s="289"/>
      <c r="CA68" s="249"/>
      <c r="CB68" s="249"/>
      <c r="CC68" s="289"/>
      <c r="CD68" s="249"/>
      <c r="CE68" s="249"/>
      <c r="CF68" s="289"/>
      <c r="CG68" s="249"/>
      <c r="CH68" s="249"/>
      <c r="CI68" s="289"/>
      <c r="CJ68" s="249"/>
      <c r="CK68" s="249"/>
      <c r="CL68" s="289"/>
      <c r="CM68" s="249"/>
      <c r="CN68" s="249"/>
      <c r="CO68" s="289"/>
      <c r="CP68" s="249"/>
      <c r="CQ68" s="249"/>
      <c r="CR68" s="289"/>
      <c r="CS68" s="249"/>
      <c r="CT68" s="249"/>
      <c r="CU68" s="289"/>
      <c r="CV68" s="249"/>
      <c r="CW68" s="249"/>
      <c r="CX68" s="289"/>
      <c r="CY68" s="249"/>
      <c r="CZ68" s="249"/>
      <c r="DA68" s="289"/>
    </row>
    <row r="69" spans="1:105" s="53" customFormat="1" x14ac:dyDescent="0.2">
      <c r="A69" s="262" t="s">
        <v>338</v>
      </c>
      <c r="B69" s="283">
        <v>350</v>
      </c>
      <c r="C69" s="264" t="s">
        <v>26</v>
      </c>
      <c r="D69" s="249"/>
      <c r="E69" s="289"/>
      <c r="F69" s="249"/>
      <c r="G69" s="249"/>
      <c r="H69" s="289"/>
      <c r="I69" s="249"/>
      <c r="J69" s="249"/>
      <c r="K69" s="289"/>
      <c r="L69" s="249"/>
      <c r="M69" s="249"/>
      <c r="N69" s="289"/>
      <c r="O69" s="249"/>
      <c r="P69" s="249"/>
      <c r="Q69" s="289"/>
      <c r="R69" s="249"/>
      <c r="S69" s="249"/>
      <c r="T69" s="289"/>
      <c r="U69" s="249"/>
      <c r="V69" s="249"/>
      <c r="W69" s="289"/>
      <c r="X69" s="249"/>
      <c r="Y69" s="249"/>
      <c r="Z69" s="289"/>
      <c r="AA69" s="249"/>
      <c r="AB69" s="249"/>
      <c r="AC69" s="289"/>
      <c r="AD69" s="289"/>
      <c r="AE69" s="289"/>
      <c r="AF69" s="289"/>
      <c r="AG69" s="289"/>
      <c r="AH69" s="249"/>
      <c r="AI69" s="275"/>
      <c r="AJ69" s="353"/>
      <c r="AK69" s="275"/>
      <c r="AL69" s="249"/>
      <c r="AM69" s="289"/>
      <c r="AN69" s="249"/>
      <c r="AO69" s="249"/>
      <c r="AP69" s="289"/>
      <c r="AQ69" s="249"/>
      <c r="AR69" s="249"/>
      <c r="AS69" s="289"/>
      <c r="AT69" s="249"/>
      <c r="AU69" s="249"/>
      <c r="AV69" s="289"/>
      <c r="AW69" s="249"/>
      <c r="AX69" s="249"/>
      <c r="AY69" s="289"/>
      <c r="AZ69" s="249"/>
      <c r="BA69" s="249"/>
      <c r="BB69" s="289"/>
      <c r="BC69" s="249"/>
      <c r="BD69" s="249"/>
      <c r="BE69" s="289"/>
      <c r="BF69" s="249"/>
      <c r="BG69" s="249"/>
      <c r="BH69" s="289"/>
      <c r="BI69" s="249"/>
      <c r="BJ69" s="249"/>
      <c r="BK69" s="289"/>
      <c r="BL69" s="249"/>
      <c r="BM69" s="249"/>
      <c r="BN69" s="289"/>
      <c r="BO69" s="249"/>
      <c r="BP69" s="249"/>
      <c r="BQ69" s="289"/>
      <c r="BR69" s="249"/>
      <c r="BS69" s="249"/>
      <c r="BT69" s="289"/>
      <c r="BU69" s="249"/>
      <c r="BV69" s="262"/>
      <c r="BW69" s="287"/>
      <c r="BX69" s="249"/>
      <c r="BY69" s="249"/>
      <c r="BZ69" s="289"/>
      <c r="CA69" s="249"/>
      <c r="CB69" s="249"/>
      <c r="CC69" s="289"/>
      <c r="CD69" s="249"/>
      <c r="CE69" s="249"/>
      <c r="CF69" s="289"/>
      <c r="CG69" s="249"/>
      <c r="CH69" s="249"/>
      <c r="CI69" s="289"/>
      <c r="CJ69" s="249"/>
      <c r="CK69" s="249"/>
      <c r="CL69" s="289"/>
      <c r="CM69" s="249"/>
      <c r="CN69" s="249"/>
      <c r="CO69" s="289"/>
      <c r="CP69" s="249"/>
      <c r="CQ69" s="249"/>
      <c r="CR69" s="289"/>
      <c r="CS69" s="249"/>
      <c r="CT69" s="249"/>
      <c r="CU69" s="289"/>
      <c r="CV69" s="249"/>
      <c r="CW69" s="249"/>
      <c r="CX69" s="289"/>
      <c r="CY69" s="249"/>
      <c r="CZ69" s="249"/>
      <c r="DA69" s="289"/>
    </row>
    <row r="70" spans="1:105" s="53" customFormat="1" x14ac:dyDescent="0.2">
      <c r="A70" s="249" t="s">
        <v>344</v>
      </c>
      <c r="B70" s="284">
        <v>0.54</v>
      </c>
      <c r="C70" s="92" t="s">
        <v>104</v>
      </c>
      <c r="D70" s="249"/>
      <c r="E70" s="289"/>
      <c r="F70" s="249"/>
      <c r="G70" s="249"/>
      <c r="H70" s="289"/>
      <c r="I70" s="249"/>
      <c r="J70" s="249"/>
      <c r="K70" s="289"/>
      <c r="L70" s="249"/>
      <c r="M70" s="249"/>
      <c r="N70" s="289"/>
      <c r="O70" s="249"/>
      <c r="P70" s="249"/>
      <c r="Q70" s="289"/>
      <c r="R70" s="249"/>
      <c r="S70" s="249"/>
      <c r="T70" s="289"/>
      <c r="U70" s="249"/>
      <c r="V70" s="249"/>
      <c r="W70" s="289"/>
      <c r="X70" s="249"/>
      <c r="Y70" s="249"/>
      <c r="Z70" s="289"/>
      <c r="AA70" s="249"/>
      <c r="AB70" s="249"/>
      <c r="AC70" s="289"/>
      <c r="AD70" s="289"/>
      <c r="AE70" s="289"/>
      <c r="AF70" s="289"/>
      <c r="AG70" s="289"/>
      <c r="AH70" s="249"/>
      <c r="AI70" s="275"/>
      <c r="AJ70" s="353"/>
      <c r="AK70" s="275"/>
      <c r="AL70" s="249"/>
      <c r="AM70" s="289"/>
      <c r="AN70" s="249"/>
      <c r="AO70" s="249"/>
      <c r="AP70" s="289"/>
      <c r="AQ70" s="249"/>
      <c r="AR70" s="249"/>
      <c r="AS70" s="289"/>
      <c r="AT70" s="249"/>
      <c r="AU70" s="249"/>
      <c r="AV70" s="289"/>
      <c r="AW70" s="249"/>
      <c r="AX70" s="249"/>
      <c r="AY70" s="289"/>
      <c r="AZ70" s="249"/>
      <c r="BA70" s="249"/>
      <c r="BB70" s="289"/>
      <c r="BC70" s="249"/>
      <c r="BD70" s="249"/>
      <c r="BE70" s="289"/>
      <c r="BF70" s="249"/>
      <c r="BG70" s="249"/>
      <c r="BH70" s="289"/>
      <c r="BI70" s="249"/>
      <c r="BJ70" s="249"/>
      <c r="BK70" s="289"/>
      <c r="BL70" s="249"/>
      <c r="BM70" s="249"/>
      <c r="BN70" s="289"/>
      <c r="BO70" s="249"/>
      <c r="BP70" s="249"/>
      <c r="BQ70" s="289"/>
      <c r="BR70" s="249"/>
      <c r="BS70" s="249"/>
      <c r="BT70" s="289"/>
      <c r="BU70" s="249"/>
      <c r="BV70" s="262"/>
      <c r="BW70" s="289"/>
      <c r="BX70" s="249"/>
      <c r="BY70" s="249"/>
      <c r="BZ70" s="289"/>
      <c r="CA70" s="249"/>
      <c r="CB70" s="249"/>
      <c r="CC70" s="289"/>
      <c r="CD70" s="249"/>
      <c r="CE70" s="249"/>
      <c r="CF70" s="289"/>
      <c r="CG70" s="249"/>
      <c r="CH70" s="249"/>
      <c r="CI70" s="289"/>
      <c r="CJ70" s="249"/>
      <c r="CK70" s="249"/>
      <c r="CL70" s="289"/>
      <c r="CM70" s="249"/>
      <c r="CN70" s="249"/>
      <c r="CO70" s="289"/>
      <c r="CP70" s="249"/>
      <c r="CQ70" s="249"/>
      <c r="CR70" s="289"/>
      <c r="CS70" s="249"/>
      <c r="CT70" s="249"/>
      <c r="CU70" s="289"/>
      <c r="CV70" s="249"/>
      <c r="CW70" s="249"/>
      <c r="CX70" s="289"/>
      <c r="CY70" s="249"/>
      <c r="CZ70" s="249"/>
      <c r="DA70" s="289"/>
    </row>
    <row r="71" spans="1:105" s="53" customFormat="1" x14ac:dyDescent="0.2">
      <c r="A71" s="249" t="s">
        <v>345</v>
      </c>
      <c r="B71" s="284">
        <v>0.71</v>
      </c>
      <c r="C71" s="92" t="s">
        <v>104</v>
      </c>
      <c r="D71" s="249"/>
      <c r="E71" s="289"/>
      <c r="F71" s="249"/>
      <c r="G71" s="249"/>
      <c r="H71" s="289"/>
      <c r="I71" s="249"/>
      <c r="J71" s="249"/>
      <c r="K71" s="289"/>
      <c r="L71" s="249"/>
      <c r="M71" s="249"/>
      <c r="N71" s="289"/>
      <c r="O71" s="249"/>
      <c r="P71" s="249"/>
      <c r="Q71" s="289"/>
      <c r="R71" s="249"/>
      <c r="S71" s="249"/>
      <c r="T71" s="289"/>
      <c r="U71" s="249"/>
      <c r="V71" s="249"/>
      <c r="W71" s="289"/>
      <c r="X71" s="249"/>
      <c r="Y71" s="249"/>
      <c r="Z71" s="289"/>
      <c r="AA71" s="249"/>
      <c r="AB71" s="249"/>
      <c r="AC71" s="289"/>
      <c r="AD71" s="289"/>
      <c r="AE71" s="289"/>
      <c r="AF71" s="289"/>
      <c r="AG71" s="289"/>
      <c r="AH71" s="249"/>
      <c r="AI71" s="275"/>
      <c r="AJ71" s="353"/>
      <c r="AK71" s="275"/>
      <c r="AL71" s="249"/>
      <c r="AM71" s="289"/>
      <c r="AN71" s="249"/>
      <c r="AO71" s="249"/>
      <c r="AP71" s="289"/>
      <c r="AQ71" s="249"/>
      <c r="AR71" s="249"/>
      <c r="AS71" s="289"/>
      <c r="AT71" s="249"/>
      <c r="AU71" s="249"/>
      <c r="AV71" s="289"/>
      <c r="AW71" s="249"/>
      <c r="AX71" s="249"/>
      <c r="AY71" s="289"/>
      <c r="AZ71" s="249"/>
      <c r="BA71" s="249"/>
      <c r="BB71" s="289"/>
      <c r="BC71" s="249"/>
      <c r="BD71" s="249"/>
      <c r="BE71" s="289"/>
      <c r="BF71" s="249"/>
      <c r="BG71" s="249"/>
      <c r="BH71" s="289"/>
      <c r="BI71" s="249"/>
      <c r="BJ71" s="249"/>
      <c r="BK71" s="289"/>
      <c r="BL71" s="249"/>
      <c r="BM71" s="249"/>
      <c r="BN71" s="289"/>
      <c r="BO71" s="249"/>
      <c r="BP71" s="249"/>
      <c r="BQ71" s="289"/>
      <c r="BR71" s="249"/>
      <c r="BS71" s="249"/>
      <c r="BT71" s="289"/>
      <c r="BU71" s="249"/>
      <c r="BV71" s="262"/>
      <c r="BW71" s="289"/>
      <c r="BX71" s="249"/>
      <c r="BY71" s="249"/>
      <c r="BZ71" s="289"/>
      <c r="CA71" s="249"/>
      <c r="CB71" s="249"/>
      <c r="CC71" s="289"/>
      <c r="CD71" s="249"/>
      <c r="CE71" s="249"/>
      <c r="CF71" s="289"/>
      <c r="CG71" s="249"/>
      <c r="CH71" s="249"/>
      <c r="CI71" s="289"/>
      <c r="CJ71" s="249"/>
      <c r="CK71" s="249"/>
      <c r="CL71" s="289"/>
      <c r="CM71" s="249"/>
      <c r="CN71" s="249"/>
      <c r="CO71" s="289"/>
      <c r="CP71" s="249"/>
      <c r="CQ71" s="249"/>
      <c r="CR71" s="289"/>
      <c r="CS71" s="249"/>
      <c r="CT71" s="249"/>
      <c r="CU71" s="289"/>
      <c r="CV71" s="249"/>
      <c r="CW71" s="249"/>
      <c r="CX71" s="289"/>
      <c r="CY71" s="249"/>
      <c r="CZ71" s="249"/>
      <c r="DA71" s="289"/>
    </row>
    <row r="72" spans="1:105" s="53" customFormat="1" x14ac:dyDescent="0.2">
      <c r="A72" s="262" t="s">
        <v>347</v>
      </c>
      <c r="B72" s="283">
        <v>24</v>
      </c>
      <c r="C72" s="264" t="s">
        <v>224</v>
      </c>
      <c r="D72" s="249"/>
      <c r="E72" s="289"/>
      <c r="F72" s="249"/>
      <c r="G72" s="249"/>
      <c r="H72" s="289"/>
      <c r="I72" s="249"/>
      <c r="J72" s="249"/>
      <c r="K72" s="289"/>
      <c r="L72" s="249"/>
      <c r="M72" s="249"/>
      <c r="N72" s="289"/>
      <c r="O72" s="249"/>
      <c r="P72" s="249"/>
      <c r="Q72" s="289"/>
      <c r="R72" s="249"/>
      <c r="S72" s="249"/>
      <c r="T72" s="289"/>
      <c r="U72" s="249"/>
      <c r="V72" s="249"/>
      <c r="W72" s="289"/>
      <c r="X72" s="249"/>
      <c r="Y72" s="249"/>
      <c r="Z72" s="289"/>
      <c r="AA72" s="249"/>
      <c r="AB72" s="249"/>
      <c r="AC72" s="289"/>
      <c r="AD72" s="289"/>
      <c r="AE72" s="289"/>
      <c r="AF72" s="277"/>
      <c r="AG72" s="353"/>
      <c r="AH72" s="275"/>
      <c r="AI72" s="275"/>
      <c r="AJ72" s="353"/>
      <c r="AK72" s="275"/>
      <c r="AL72" s="249"/>
      <c r="AM72" s="289"/>
      <c r="AN72" s="249"/>
      <c r="AO72" s="249"/>
      <c r="AP72" s="289"/>
      <c r="AQ72" s="249"/>
      <c r="AR72" s="249"/>
      <c r="AS72" s="289"/>
      <c r="AT72" s="249"/>
      <c r="AU72" s="249"/>
      <c r="AV72" s="289"/>
      <c r="AW72" s="249"/>
      <c r="AX72" s="249"/>
      <c r="AY72" s="289"/>
      <c r="AZ72" s="249"/>
      <c r="BA72" s="249"/>
      <c r="BB72" s="289"/>
      <c r="BC72" s="249"/>
      <c r="BD72" s="249"/>
      <c r="BE72" s="289"/>
      <c r="BF72" s="249"/>
      <c r="BG72" s="249"/>
      <c r="BH72" s="289"/>
      <c r="BI72" s="249"/>
      <c r="BJ72" s="249"/>
      <c r="BK72" s="289"/>
      <c r="BL72" s="249"/>
      <c r="BM72" s="249"/>
      <c r="BN72" s="289"/>
      <c r="BO72" s="249"/>
      <c r="BP72" s="249"/>
      <c r="BQ72" s="289"/>
      <c r="BR72" s="249"/>
      <c r="BS72" s="249"/>
      <c r="BT72" s="289"/>
      <c r="BU72" s="249"/>
      <c r="BV72" s="249"/>
      <c r="BW72" s="289"/>
      <c r="BX72" s="249"/>
      <c r="BY72" s="249"/>
      <c r="BZ72" s="289"/>
      <c r="CA72" s="249"/>
      <c r="CB72" s="249"/>
      <c r="CC72" s="289"/>
      <c r="CD72" s="249"/>
      <c r="CE72" s="249"/>
      <c r="CF72" s="289"/>
      <c r="CG72" s="249"/>
      <c r="CH72" s="249"/>
      <c r="CI72" s="289"/>
      <c r="CJ72" s="249"/>
      <c r="CK72" s="249"/>
      <c r="CL72" s="289"/>
      <c r="CM72" s="249"/>
      <c r="CN72" s="249"/>
      <c r="CO72" s="289"/>
      <c r="CP72" s="249"/>
      <c r="CQ72" s="249"/>
      <c r="CR72" s="289"/>
      <c r="CS72" s="249"/>
      <c r="CT72" s="249"/>
      <c r="CU72" s="289"/>
      <c r="CV72" s="249"/>
      <c r="CW72" s="249"/>
      <c r="CX72" s="289"/>
      <c r="CY72" s="249"/>
      <c r="CZ72" s="249"/>
      <c r="DA72" s="289"/>
    </row>
    <row r="73" spans="1:105" s="53" customFormat="1" x14ac:dyDescent="0.2">
      <c r="A73" s="262" t="s">
        <v>348</v>
      </c>
      <c r="B73" s="283">
        <v>24</v>
      </c>
      <c r="C73" s="264" t="s">
        <v>224</v>
      </c>
      <c r="D73" s="249"/>
      <c r="E73" s="289"/>
      <c r="F73" s="249"/>
      <c r="G73" s="249"/>
      <c r="H73" s="289"/>
      <c r="I73" s="249"/>
      <c r="J73" s="249"/>
      <c r="K73" s="289"/>
      <c r="L73" s="249"/>
      <c r="M73" s="249"/>
      <c r="N73" s="289"/>
      <c r="O73" s="249"/>
      <c r="P73" s="249"/>
      <c r="Q73" s="289"/>
      <c r="R73" s="249"/>
      <c r="S73" s="249"/>
      <c r="T73" s="289"/>
      <c r="U73" s="249"/>
      <c r="V73" s="249"/>
      <c r="W73" s="289"/>
      <c r="X73" s="249"/>
      <c r="Y73" s="249"/>
      <c r="Z73" s="289"/>
      <c r="AA73" s="249"/>
      <c r="AB73" s="249"/>
      <c r="AC73" s="289"/>
      <c r="AD73" s="289"/>
      <c r="AE73" s="289"/>
      <c r="AF73" s="277"/>
      <c r="AG73" s="353"/>
      <c r="AH73" s="275"/>
      <c r="AI73" s="275"/>
      <c r="AJ73" s="353"/>
      <c r="AK73" s="275"/>
      <c r="AL73" s="249"/>
      <c r="AM73" s="289"/>
      <c r="AN73" s="249"/>
      <c r="AO73" s="249"/>
      <c r="AP73" s="289"/>
      <c r="AQ73" s="249"/>
      <c r="AR73" s="249"/>
      <c r="AS73" s="289"/>
      <c r="AT73" s="249"/>
      <c r="AU73" s="249"/>
      <c r="AV73" s="289"/>
      <c r="AW73" s="249"/>
      <c r="AX73" s="249"/>
      <c r="AY73" s="289"/>
      <c r="AZ73" s="249"/>
      <c r="BA73" s="249"/>
      <c r="BB73" s="289"/>
      <c r="BC73" s="249"/>
      <c r="BD73" s="249"/>
      <c r="BE73" s="289"/>
      <c r="BF73" s="249"/>
      <c r="BG73" s="249"/>
      <c r="BH73" s="289"/>
      <c r="BI73" s="249"/>
      <c r="BJ73" s="249"/>
      <c r="BK73" s="289"/>
      <c r="BL73" s="249"/>
      <c r="BM73" s="249"/>
      <c r="BN73" s="289"/>
      <c r="BO73" s="249"/>
      <c r="BP73" s="249"/>
      <c r="BQ73" s="289"/>
      <c r="BR73" s="249"/>
      <c r="BS73" s="249"/>
      <c r="BT73" s="289"/>
      <c r="BU73" s="249"/>
      <c r="BV73" s="249"/>
      <c r="BW73" s="289"/>
      <c r="BX73" s="249"/>
      <c r="BY73" s="249"/>
      <c r="BZ73" s="289"/>
      <c r="CA73" s="249"/>
      <c r="CB73" s="249"/>
      <c r="CC73" s="289"/>
      <c r="CD73" s="249"/>
      <c r="CE73" s="249"/>
      <c r="CF73" s="289"/>
      <c r="CG73" s="249"/>
      <c r="CH73" s="249"/>
      <c r="CI73" s="289"/>
      <c r="CJ73" s="249"/>
      <c r="CK73" s="249"/>
      <c r="CL73" s="289"/>
      <c r="CM73" s="249"/>
      <c r="CN73" s="249"/>
      <c r="CO73" s="289"/>
      <c r="CP73" s="249"/>
      <c r="CQ73" s="249"/>
      <c r="CR73" s="289"/>
      <c r="CS73" s="249"/>
      <c r="CT73" s="249"/>
      <c r="CU73" s="289"/>
      <c r="CV73" s="249"/>
      <c r="CW73" s="249"/>
      <c r="CX73" s="289"/>
      <c r="CY73" s="249"/>
      <c r="CZ73" s="249"/>
      <c r="DA73" s="289"/>
    </row>
    <row r="74" spans="1:105" s="53" customFormat="1" x14ac:dyDescent="0.2">
      <c r="A74" s="262" t="s">
        <v>346</v>
      </c>
      <c r="B74" s="283">
        <v>24</v>
      </c>
      <c r="C74" s="264" t="s">
        <v>224</v>
      </c>
      <c r="D74" s="249"/>
      <c r="E74" s="289"/>
      <c r="F74" s="249"/>
      <c r="G74" s="249"/>
      <c r="H74" s="289"/>
      <c r="I74" s="249"/>
      <c r="J74" s="249"/>
      <c r="K74" s="289"/>
      <c r="L74" s="249"/>
      <c r="M74" s="249"/>
      <c r="N74" s="289"/>
      <c r="O74" s="249"/>
      <c r="P74" s="249"/>
      <c r="Q74" s="289"/>
      <c r="R74" s="249"/>
      <c r="S74" s="249"/>
      <c r="T74" s="289"/>
      <c r="U74" s="249"/>
      <c r="V74" s="249"/>
      <c r="W74" s="289"/>
      <c r="X74" s="249"/>
      <c r="Y74" s="249"/>
      <c r="Z74" s="289"/>
      <c r="AA74" s="249"/>
      <c r="AB74" s="249"/>
      <c r="AC74" s="289"/>
      <c r="AD74" s="289"/>
      <c r="AE74" s="289"/>
      <c r="AF74" s="277"/>
      <c r="AG74" s="353"/>
      <c r="AH74" s="275"/>
      <c r="AI74" s="275"/>
      <c r="AJ74" s="353"/>
      <c r="AK74" s="275"/>
      <c r="AL74" s="249"/>
      <c r="AM74" s="289"/>
      <c r="AN74" s="249"/>
      <c r="AO74" s="249"/>
      <c r="AP74" s="289"/>
      <c r="AQ74" s="249"/>
      <c r="AR74" s="249"/>
      <c r="AS74" s="289"/>
      <c r="AT74" s="249"/>
      <c r="AU74" s="249"/>
      <c r="AV74" s="289"/>
      <c r="AW74" s="249"/>
      <c r="AX74" s="249"/>
      <c r="AY74" s="289"/>
      <c r="AZ74" s="249"/>
      <c r="BA74" s="249"/>
      <c r="BB74" s="289"/>
      <c r="BC74" s="249"/>
      <c r="BD74" s="249"/>
      <c r="BE74" s="289"/>
      <c r="BF74" s="249"/>
      <c r="BG74" s="249"/>
      <c r="BH74" s="289"/>
      <c r="BI74" s="249"/>
      <c r="BJ74" s="249"/>
      <c r="BK74" s="289"/>
      <c r="BL74" s="249"/>
      <c r="BM74" s="249"/>
      <c r="BN74" s="289"/>
      <c r="BO74" s="249"/>
      <c r="BP74" s="249"/>
      <c r="BQ74" s="289"/>
      <c r="BR74" s="249"/>
      <c r="BS74" s="249"/>
      <c r="BT74" s="289"/>
      <c r="BU74" s="249"/>
      <c r="BV74" s="249"/>
      <c r="BW74" s="289"/>
      <c r="BX74" s="249"/>
      <c r="BY74" s="249"/>
      <c r="BZ74" s="289"/>
      <c r="CA74" s="249"/>
      <c r="CB74" s="249"/>
      <c r="CC74" s="289"/>
      <c r="CD74" s="249"/>
      <c r="CE74" s="249"/>
      <c r="CF74" s="289"/>
      <c r="CG74" s="249"/>
      <c r="CH74" s="249"/>
      <c r="CI74" s="289"/>
      <c r="CJ74" s="249"/>
      <c r="CK74" s="249"/>
      <c r="CL74" s="289"/>
      <c r="CM74" s="249"/>
      <c r="CN74" s="249"/>
      <c r="CO74" s="289"/>
      <c r="CP74" s="249"/>
      <c r="CQ74" s="249"/>
      <c r="CR74" s="289"/>
      <c r="CS74" s="249"/>
      <c r="CT74" s="249"/>
      <c r="CU74" s="289"/>
      <c r="CV74" s="249"/>
      <c r="CW74" s="249"/>
      <c r="CX74" s="289"/>
      <c r="CY74" s="249"/>
      <c r="CZ74" s="249"/>
      <c r="DA74" s="289"/>
    </row>
    <row r="75" spans="1:105" s="53" customFormat="1" x14ac:dyDescent="0.2">
      <c r="A75" s="249" t="s">
        <v>349</v>
      </c>
      <c r="B75" s="284">
        <v>1</v>
      </c>
      <c r="C75" s="92" t="s">
        <v>98</v>
      </c>
      <c r="D75" s="249"/>
      <c r="E75" s="289"/>
      <c r="F75" s="249"/>
      <c r="G75" s="249"/>
      <c r="H75" s="289"/>
      <c r="I75" s="249"/>
      <c r="J75" s="249"/>
      <c r="K75" s="289"/>
      <c r="L75" s="249"/>
      <c r="M75" s="249"/>
      <c r="N75" s="289"/>
      <c r="O75" s="249"/>
      <c r="P75" s="249"/>
      <c r="Q75" s="289"/>
      <c r="R75" s="249"/>
      <c r="S75" s="249"/>
      <c r="T75" s="289"/>
      <c r="U75" s="249"/>
      <c r="V75" s="249"/>
      <c r="W75" s="289"/>
      <c r="X75" s="249"/>
      <c r="Y75" s="249"/>
      <c r="Z75" s="289"/>
      <c r="AA75" s="249"/>
      <c r="AB75" s="249"/>
      <c r="AC75" s="289"/>
      <c r="AD75" s="289"/>
      <c r="AE75" s="289"/>
      <c r="AF75" s="277"/>
      <c r="AG75" s="353"/>
      <c r="AH75" s="275"/>
      <c r="AI75" s="275"/>
      <c r="AJ75" s="353"/>
      <c r="AK75" s="275"/>
      <c r="AL75" s="249"/>
      <c r="AM75" s="289"/>
      <c r="AN75" s="249"/>
      <c r="AO75" s="249"/>
      <c r="AP75" s="289"/>
      <c r="AQ75" s="249"/>
      <c r="AR75" s="249"/>
      <c r="AS75" s="289"/>
      <c r="AT75" s="249"/>
      <c r="AU75" s="249"/>
      <c r="AV75" s="289"/>
      <c r="AW75" s="249"/>
      <c r="AX75" s="249"/>
      <c r="AY75" s="289"/>
      <c r="AZ75" s="249"/>
      <c r="BA75" s="249"/>
      <c r="BB75" s="289"/>
      <c r="BC75" s="249"/>
      <c r="BD75" s="249"/>
      <c r="BE75" s="289"/>
      <c r="BF75" s="249"/>
      <c r="BG75" s="249"/>
      <c r="BH75" s="289"/>
      <c r="BI75" s="249"/>
      <c r="BJ75" s="249"/>
      <c r="BK75" s="289"/>
      <c r="BL75" s="249"/>
      <c r="BM75" s="249"/>
      <c r="BN75" s="289"/>
      <c r="BO75" s="249"/>
      <c r="BP75" s="249"/>
      <c r="BQ75" s="289"/>
      <c r="BR75" s="249"/>
      <c r="BS75" s="249"/>
      <c r="BT75" s="289"/>
      <c r="BU75" s="249"/>
      <c r="BV75" s="249"/>
      <c r="BW75" s="289"/>
      <c r="BX75" s="249"/>
      <c r="BY75" s="249"/>
      <c r="BZ75" s="289"/>
      <c r="CA75" s="249"/>
      <c r="CB75" s="249"/>
      <c r="CC75" s="289"/>
      <c r="CD75" s="249"/>
      <c r="CE75" s="249"/>
      <c r="CF75" s="289"/>
      <c r="CG75" s="249"/>
      <c r="CH75" s="249"/>
      <c r="CI75" s="289"/>
      <c r="CJ75" s="249"/>
      <c r="CK75" s="249"/>
      <c r="CL75" s="289"/>
      <c r="CM75" s="249"/>
      <c r="CN75" s="249"/>
      <c r="CO75" s="289"/>
      <c r="CP75" s="249"/>
      <c r="CQ75" s="249"/>
      <c r="CR75" s="289"/>
      <c r="CS75" s="249"/>
      <c r="CT75" s="249"/>
      <c r="CU75" s="289"/>
      <c r="CV75" s="249"/>
      <c r="CW75" s="249"/>
      <c r="CX75" s="289"/>
      <c r="CY75" s="249"/>
      <c r="CZ75" s="249"/>
      <c r="DA75" s="289"/>
    </row>
    <row r="76" spans="1:105" s="53" customFormat="1" x14ac:dyDescent="0.2">
      <c r="A76" s="249" t="s">
        <v>350</v>
      </c>
      <c r="B76" s="284">
        <v>1</v>
      </c>
      <c r="C76" s="92" t="s">
        <v>98</v>
      </c>
      <c r="D76" s="249"/>
      <c r="E76" s="289"/>
      <c r="F76" s="249"/>
      <c r="G76" s="249"/>
      <c r="H76" s="289"/>
      <c r="I76" s="249"/>
      <c r="J76" s="249"/>
      <c r="K76" s="289"/>
      <c r="L76" s="249"/>
      <c r="M76" s="249"/>
      <c r="N76" s="289"/>
      <c r="O76" s="249"/>
      <c r="P76" s="249"/>
      <c r="Q76" s="289"/>
      <c r="R76" s="249"/>
      <c r="S76" s="249"/>
      <c r="T76" s="289"/>
      <c r="U76" s="249"/>
      <c r="V76" s="249"/>
      <c r="W76" s="289"/>
      <c r="X76" s="249"/>
      <c r="Y76" s="249"/>
      <c r="Z76" s="289"/>
      <c r="AA76" s="249"/>
      <c r="AB76" s="249"/>
      <c r="AC76" s="289"/>
      <c r="AD76" s="289"/>
      <c r="AE76" s="289"/>
      <c r="AF76" s="277"/>
      <c r="AG76" s="353"/>
      <c r="AH76" s="275"/>
      <c r="AI76" s="275"/>
      <c r="AJ76" s="353"/>
      <c r="AK76" s="275"/>
      <c r="AL76" s="249"/>
      <c r="AM76" s="289"/>
      <c r="AN76" s="249"/>
      <c r="AO76" s="249"/>
      <c r="AP76" s="289"/>
      <c r="AQ76" s="249"/>
      <c r="AR76" s="249"/>
      <c r="AS76" s="289"/>
      <c r="AT76" s="249"/>
      <c r="AU76" s="249"/>
      <c r="AV76" s="289"/>
      <c r="AW76" s="249"/>
      <c r="AX76" s="249"/>
      <c r="AY76" s="289"/>
      <c r="AZ76" s="249"/>
      <c r="BA76" s="249"/>
      <c r="BB76" s="289"/>
      <c r="BC76" s="249"/>
      <c r="BD76" s="249"/>
      <c r="BE76" s="289"/>
      <c r="BF76" s="249"/>
      <c r="BG76" s="249"/>
      <c r="BH76" s="289"/>
      <c r="BI76" s="249"/>
      <c r="BJ76" s="249"/>
      <c r="BK76" s="289"/>
      <c r="BL76" s="249"/>
      <c r="BM76" s="249"/>
      <c r="BN76" s="289"/>
      <c r="BO76" s="249"/>
      <c r="BP76" s="249"/>
      <c r="BQ76" s="289"/>
      <c r="BR76" s="249"/>
      <c r="BS76" s="249"/>
      <c r="BT76" s="289"/>
      <c r="BU76" s="249"/>
      <c r="BV76" s="249"/>
      <c r="BW76" s="289"/>
      <c r="BX76" s="249"/>
      <c r="BY76" s="249"/>
      <c r="BZ76" s="289"/>
      <c r="CA76" s="249"/>
      <c r="CB76" s="249"/>
      <c r="CC76" s="289"/>
      <c r="CD76" s="249"/>
      <c r="CE76" s="249"/>
      <c r="CF76" s="289"/>
      <c r="CG76" s="249"/>
      <c r="CH76" s="249"/>
      <c r="CI76" s="289"/>
      <c r="CJ76" s="249"/>
      <c r="CK76" s="249"/>
      <c r="CL76" s="289"/>
      <c r="CM76" s="249"/>
      <c r="CN76" s="249"/>
      <c r="CO76" s="289"/>
      <c r="CP76" s="249"/>
      <c r="CQ76" s="249"/>
      <c r="CR76" s="289"/>
      <c r="CS76" s="249"/>
      <c r="CT76" s="249"/>
      <c r="CU76" s="289"/>
      <c r="CV76" s="249"/>
      <c r="CW76" s="249"/>
      <c r="CX76" s="289"/>
      <c r="CY76" s="249"/>
      <c r="CZ76" s="249"/>
      <c r="DA76" s="289"/>
    </row>
    <row r="77" spans="1:105" s="53" customFormat="1" x14ac:dyDescent="0.2">
      <c r="A77" s="262" t="s">
        <v>103</v>
      </c>
      <c r="B77" s="283">
        <v>0.4</v>
      </c>
      <c r="C77" s="249"/>
      <c r="D77" s="249"/>
      <c r="E77" s="289"/>
      <c r="F77" s="249"/>
      <c r="G77" s="249"/>
      <c r="H77" s="289"/>
      <c r="I77" s="249"/>
      <c r="J77" s="249"/>
      <c r="K77" s="289"/>
      <c r="L77" s="249"/>
      <c r="M77" s="249"/>
      <c r="N77" s="289"/>
      <c r="O77" s="249"/>
      <c r="P77" s="249"/>
      <c r="Q77" s="289"/>
      <c r="R77" s="249"/>
      <c r="S77" s="249"/>
      <c r="T77" s="289"/>
      <c r="U77" s="249"/>
      <c r="V77" s="249"/>
      <c r="W77" s="289"/>
      <c r="X77" s="249"/>
      <c r="Y77" s="249"/>
      <c r="Z77" s="289"/>
      <c r="AA77" s="249"/>
      <c r="AB77" s="249"/>
      <c r="AC77" s="289"/>
      <c r="AD77" s="289"/>
      <c r="AE77" s="289"/>
      <c r="AF77" s="277"/>
      <c r="AG77" s="353"/>
      <c r="AH77" s="275"/>
      <c r="AI77" s="275"/>
      <c r="AJ77" s="353"/>
      <c r="AK77" s="275"/>
      <c r="AL77" s="249"/>
      <c r="AM77" s="289"/>
      <c r="AN77" s="249"/>
      <c r="AO77" s="249"/>
      <c r="AP77" s="289"/>
      <c r="AQ77" s="249"/>
      <c r="AR77" s="249"/>
      <c r="AS77" s="289"/>
      <c r="AT77" s="249"/>
      <c r="AU77" s="249"/>
      <c r="AV77" s="289"/>
      <c r="AW77" s="249"/>
      <c r="AX77" s="249"/>
      <c r="AY77" s="289"/>
      <c r="AZ77" s="249"/>
      <c r="BA77" s="249"/>
      <c r="BB77" s="289"/>
      <c r="BC77" s="249"/>
      <c r="BD77" s="249"/>
      <c r="BE77" s="289"/>
      <c r="BF77" s="249"/>
      <c r="BG77" s="249"/>
      <c r="BH77" s="289"/>
      <c r="BI77" s="249"/>
      <c r="BJ77" s="249"/>
      <c r="BK77" s="289"/>
      <c r="BL77" s="249"/>
      <c r="BM77" s="249"/>
      <c r="BN77" s="289"/>
      <c r="BO77" s="249"/>
      <c r="BP77" s="249"/>
      <c r="BQ77" s="289"/>
      <c r="BR77" s="249"/>
      <c r="BS77" s="249"/>
      <c r="BT77" s="289"/>
      <c r="BU77" s="249"/>
      <c r="BV77" s="249"/>
      <c r="BW77" s="289"/>
      <c r="BX77" s="249"/>
      <c r="BY77" s="249"/>
      <c r="BZ77" s="289"/>
      <c r="CA77" s="249"/>
      <c r="CB77" s="249"/>
      <c r="CC77" s="289"/>
      <c r="CD77" s="249"/>
      <c r="CE77" s="249"/>
      <c r="CF77" s="289"/>
      <c r="CG77" s="249"/>
      <c r="CH77" s="249"/>
      <c r="CI77" s="289"/>
      <c r="CJ77" s="249"/>
      <c r="CK77" s="249"/>
      <c r="CL77" s="289"/>
      <c r="CM77" s="249"/>
      <c r="CN77" s="249"/>
      <c r="CO77" s="289"/>
      <c r="CP77" s="249"/>
      <c r="CQ77" s="249"/>
      <c r="CR77" s="289"/>
      <c r="CS77" s="249"/>
      <c r="CT77" s="249"/>
      <c r="CU77" s="289"/>
      <c r="CV77" s="249"/>
      <c r="CW77" s="249"/>
      <c r="CX77" s="289"/>
      <c r="CY77" s="249"/>
      <c r="CZ77" s="249"/>
      <c r="DA77" s="289"/>
    </row>
    <row r="78" spans="1:105" s="53" customFormat="1" ht="12.75" customHeight="1" x14ac:dyDescent="0.2">
      <c r="A78" s="249" t="s">
        <v>353</v>
      </c>
      <c r="B78" s="284">
        <v>1</v>
      </c>
      <c r="C78" s="247"/>
      <c r="D78" s="249"/>
      <c r="E78" s="289"/>
      <c r="F78" s="249"/>
      <c r="G78" s="249"/>
      <c r="H78" s="289"/>
      <c r="I78" s="249"/>
      <c r="J78" s="249"/>
      <c r="K78" s="289"/>
      <c r="L78" s="249"/>
      <c r="M78" s="249"/>
      <c r="N78" s="289"/>
      <c r="O78" s="249"/>
      <c r="P78" s="249"/>
      <c r="Q78" s="289"/>
      <c r="R78" s="249"/>
      <c r="S78" s="249"/>
      <c r="T78" s="289"/>
      <c r="U78" s="249"/>
      <c r="V78" s="249"/>
      <c r="W78" s="289"/>
      <c r="X78" s="249"/>
      <c r="Y78" s="249"/>
      <c r="Z78" s="289"/>
      <c r="AA78" s="249"/>
      <c r="AB78" s="249"/>
      <c r="AC78" s="289"/>
      <c r="AD78" s="289"/>
      <c r="AE78" s="289"/>
      <c r="AF78" s="277"/>
      <c r="AG78" s="353"/>
      <c r="AH78" s="249"/>
      <c r="AI78" s="249"/>
      <c r="AJ78" s="289"/>
      <c r="AK78" s="249"/>
      <c r="AL78" s="249"/>
      <c r="AM78" s="289"/>
      <c r="AN78" s="249"/>
      <c r="AO78" s="249"/>
      <c r="AP78" s="289"/>
      <c r="AQ78" s="249"/>
      <c r="AR78" s="249"/>
      <c r="AS78" s="289"/>
      <c r="AT78" s="249"/>
      <c r="AU78" s="249"/>
      <c r="AV78" s="289"/>
      <c r="AW78" s="249"/>
      <c r="AX78" s="249"/>
      <c r="AY78" s="289"/>
      <c r="AZ78" s="249"/>
      <c r="BA78" s="249"/>
      <c r="BB78" s="289"/>
      <c r="BC78" s="249"/>
      <c r="BD78" s="249"/>
      <c r="BE78" s="289"/>
      <c r="BF78" s="249"/>
      <c r="BG78" s="249"/>
      <c r="BH78" s="289"/>
      <c r="BI78" s="249"/>
      <c r="BJ78" s="249"/>
      <c r="BK78" s="289"/>
      <c r="BL78" s="249"/>
      <c r="BM78" s="249"/>
      <c r="BN78" s="289"/>
      <c r="BO78" s="249"/>
      <c r="BP78" s="249"/>
      <c r="BQ78" s="289"/>
      <c r="BR78" s="249"/>
      <c r="BS78" s="249"/>
      <c r="BT78" s="289"/>
      <c r="BU78" s="249"/>
      <c r="BV78" s="249"/>
      <c r="BW78" s="289"/>
      <c r="BX78" s="249"/>
      <c r="BY78" s="249"/>
      <c r="BZ78" s="289"/>
      <c r="CA78" s="249"/>
      <c r="CB78" s="249"/>
      <c r="CC78" s="289"/>
      <c r="CD78" s="249"/>
      <c r="CE78" s="249"/>
      <c r="CF78" s="289"/>
      <c r="CG78" s="249"/>
      <c r="CH78" s="249"/>
      <c r="CI78" s="289"/>
      <c r="CJ78" s="249"/>
      <c r="CK78" s="249"/>
      <c r="CL78" s="289"/>
      <c r="CM78" s="249"/>
      <c r="CN78" s="249"/>
      <c r="CO78" s="289"/>
      <c r="CP78" s="249"/>
      <c r="CQ78" s="249"/>
      <c r="CR78" s="289"/>
      <c r="CS78" s="249"/>
      <c r="CT78" s="249"/>
      <c r="CU78" s="289"/>
      <c r="CV78" s="249"/>
      <c r="CW78" s="249"/>
      <c r="CX78" s="289"/>
      <c r="CY78" s="249"/>
      <c r="CZ78" s="249"/>
      <c r="DA78" s="289"/>
    </row>
    <row r="79" spans="1:105" s="53" customFormat="1" x14ac:dyDescent="0.2">
      <c r="A79" s="249" t="s">
        <v>158</v>
      </c>
      <c r="B79" s="284">
        <v>0.4</v>
      </c>
      <c r="C79" s="247"/>
      <c r="D79" s="249"/>
      <c r="E79" s="289"/>
      <c r="F79" s="249"/>
      <c r="G79" s="249"/>
      <c r="H79" s="289"/>
      <c r="I79" s="249"/>
      <c r="J79" s="249"/>
      <c r="K79" s="289"/>
      <c r="L79" s="249"/>
      <c r="M79" s="249"/>
      <c r="N79" s="289"/>
      <c r="O79" s="249"/>
      <c r="P79" s="249"/>
      <c r="Q79" s="289"/>
      <c r="R79" s="249"/>
      <c r="S79" s="249"/>
      <c r="T79" s="289"/>
      <c r="U79" s="249"/>
      <c r="V79" s="249"/>
      <c r="W79" s="289"/>
      <c r="X79" s="249"/>
      <c r="Y79" s="249"/>
      <c r="Z79" s="289"/>
      <c r="AA79" s="249"/>
      <c r="AB79" s="249"/>
      <c r="AC79" s="289"/>
      <c r="AD79" s="289"/>
      <c r="AE79" s="289"/>
      <c r="AF79" s="277"/>
      <c r="AG79" s="353"/>
      <c r="AH79" s="275"/>
      <c r="AI79" s="275"/>
      <c r="AJ79" s="353"/>
      <c r="AK79" s="275"/>
      <c r="AL79" s="249"/>
      <c r="AM79" s="289"/>
      <c r="AN79" s="249"/>
      <c r="AO79" s="249"/>
      <c r="AP79" s="289"/>
      <c r="AQ79" s="249"/>
      <c r="AR79" s="249"/>
      <c r="AS79" s="289"/>
      <c r="AT79" s="249"/>
      <c r="AU79" s="249"/>
      <c r="AV79" s="289"/>
      <c r="AW79" s="249"/>
      <c r="AX79" s="249"/>
      <c r="AY79" s="289"/>
      <c r="AZ79" s="249"/>
      <c r="BA79" s="249"/>
      <c r="BB79" s="289"/>
      <c r="BC79" s="249"/>
      <c r="BD79" s="249"/>
      <c r="BE79" s="289"/>
      <c r="BF79" s="249"/>
      <c r="BG79" s="249"/>
      <c r="BH79" s="289"/>
      <c r="BI79" s="249"/>
      <c r="BJ79" s="249"/>
      <c r="BK79" s="289"/>
      <c r="BL79" s="249"/>
      <c r="BM79" s="249"/>
      <c r="BN79" s="289"/>
      <c r="BO79" s="249"/>
      <c r="BP79" s="249"/>
      <c r="BQ79" s="289"/>
      <c r="BR79" s="249"/>
      <c r="BS79" s="249"/>
      <c r="BT79" s="289"/>
      <c r="BU79" s="249"/>
      <c r="BV79" s="249"/>
      <c r="BW79" s="289"/>
      <c r="BX79" s="249"/>
      <c r="BY79" s="249"/>
      <c r="BZ79" s="289"/>
      <c r="CA79" s="249"/>
      <c r="CB79" s="249"/>
      <c r="CC79" s="289"/>
      <c r="CD79" s="249"/>
      <c r="CE79" s="249"/>
      <c r="CF79" s="289"/>
      <c r="CG79" s="249"/>
      <c r="CH79" s="249"/>
      <c r="CI79" s="289"/>
      <c r="CJ79" s="249"/>
      <c r="CK79" s="249"/>
      <c r="CL79" s="289"/>
      <c r="CM79" s="249"/>
      <c r="CN79" s="249"/>
      <c r="CO79" s="289"/>
      <c r="CP79" s="249"/>
      <c r="CQ79" s="249"/>
      <c r="CR79" s="289"/>
      <c r="CS79" s="249"/>
      <c r="CT79" s="249"/>
      <c r="CU79" s="289"/>
      <c r="CV79" s="249"/>
      <c r="CW79" s="249"/>
      <c r="CX79" s="289"/>
      <c r="CY79" s="249"/>
      <c r="CZ79" s="249"/>
      <c r="DA79" s="289"/>
    </row>
    <row r="80" spans="1:105" s="53" customFormat="1" x14ac:dyDescent="0.2">
      <c r="A80" s="249" t="s">
        <v>159</v>
      </c>
      <c r="B80" s="284">
        <v>1</v>
      </c>
      <c r="C80" s="247"/>
      <c r="D80" s="249"/>
      <c r="E80" s="289"/>
      <c r="F80" s="249"/>
      <c r="G80" s="249"/>
      <c r="H80" s="289"/>
      <c r="I80" s="249"/>
      <c r="J80" s="249"/>
      <c r="K80" s="289"/>
      <c r="L80" s="249"/>
      <c r="M80" s="249"/>
      <c r="N80" s="289"/>
      <c r="O80" s="249"/>
      <c r="P80" s="249"/>
      <c r="Q80" s="289"/>
      <c r="R80" s="249"/>
      <c r="S80" s="249"/>
      <c r="T80" s="289"/>
      <c r="U80" s="249"/>
      <c r="V80" s="249"/>
      <c r="W80" s="289"/>
      <c r="X80" s="249"/>
      <c r="Y80" s="249"/>
      <c r="Z80" s="289"/>
      <c r="AA80" s="249"/>
      <c r="AB80" s="249"/>
      <c r="AC80" s="289"/>
      <c r="AD80" s="289"/>
      <c r="AE80" s="289"/>
      <c r="AF80" s="277"/>
      <c r="AG80" s="353"/>
      <c r="AH80" s="275"/>
      <c r="AI80" s="275"/>
      <c r="AJ80" s="353"/>
      <c r="AK80" s="275"/>
      <c r="AL80" s="249"/>
      <c r="AM80" s="289"/>
      <c r="AN80" s="249"/>
      <c r="AO80" s="249"/>
      <c r="AP80" s="289"/>
      <c r="AQ80" s="249"/>
      <c r="AR80" s="249"/>
      <c r="AS80" s="289"/>
      <c r="AT80" s="249"/>
      <c r="AU80" s="249"/>
      <c r="AV80" s="289"/>
      <c r="AW80" s="249"/>
      <c r="AX80" s="249"/>
      <c r="AY80" s="289"/>
      <c r="AZ80" s="249"/>
      <c r="BA80" s="249"/>
      <c r="BB80" s="289"/>
      <c r="BC80" s="249"/>
      <c r="BD80" s="249"/>
      <c r="BE80" s="289"/>
      <c r="BF80" s="249"/>
      <c r="BG80" s="249"/>
      <c r="BH80" s="289"/>
      <c r="BI80" s="249"/>
      <c r="BJ80" s="249"/>
      <c r="BK80" s="289"/>
      <c r="BL80" s="249"/>
      <c r="BM80" s="249"/>
      <c r="BN80" s="289"/>
      <c r="BO80" s="249"/>
      <c r="BP80" s="249"/>
      <c r="BQ80" s="289"/>
      <c r="BR80" s="249"/>
      <c r="BS80" s="249"/>
      <c r="BT80" s="289"/>
      <c r="BU80" s="249"/>
      <c r="BV80" s="249"/>
      <c r="BW80" s="289"/>
      <c r="BX80" s="249"/>
      <c r="BY80" s="249"/>
      <c r="BZ80" s="289"/>
      <c r="CA80" s="249"/>
      <c r="CB80" s="249"/>
      <c r="CC80" s="289"/>
      <c r="CD80" s="249"/>
      <c r="CE80" s="249"/>
      <c r="CF80" s="289"/>
      <c r="CG80" s="249"/>
      <c r="CH80" s="249"/>
      <c r="CI80" s="289"/>
      <c r="CJ80" s="249"/>
      <c r="CK80" s="249"/>
      <c r="CL80" s="289"/>
      <c r="CM80" s="249"/>
      <c r="CN80" s="249"/>
      <c r="CO80" s="289"/>
      <c r="CP80" s="249"/>
      <c r="CQ80" s="249"/>
      <c r="CR80" s="289"/>
      <c r="CS80" s="249"/>
      <c r="CT80" s="249"/>
      <c r="CU80" s="289"/>
      <c r="CV80" s="249"/>
      <c r="CW80" s="249"/>
      <c r="CX80" s="289"/>
      <c r="CY80" s="249"/>
      <c r="CZ80" s="249"/>
      <c r="DA80" s="289"/>
    </row>
    <row r="81" spans="1:37" s="53" customFormat="1" x14ac:dyDescent="0.2">
      <c r="A81" s="249" t="s">
        <v>354</v>
      </c>
      <c r="B81" s="284">
        <v>1</v>
      </c>
      <c r="C81" s="247"/>
      <c r="D81" s="249"/>
      <c r="E81" s="289"/>
      <c r="F81" s="249"/>
      <c r="G81" s="249"/>
      <c r="H81" s="289"/>
      <c r="I81" s="249"/>
      <c r="J81" s="249"/>
      <c r="K81" s="289"/>
      <c r="L81" s="249"/>
      <c r="M81" s="249"/>
      <c r="N81" s="289"/>
      <c r="O81" s="249"/>
      <c r="P81" s="249"/>
      <c r="Q81" s="289"/>
      <c r="R81" s="249"/>
      <c r="S81" s="249"/>
      <c r="T81" s="289"/>
      <c r="U81" s="249"/>
      <c r="V81" s="249"/>
      <c r="W81" s="289"/>
      <c r="X81" s="249"/>
      <c r="Y81" s="249"/>
      <c r="Z81" s="289"/>
      <c r="AA81" s="249"/>
      <c r="AB81" s="24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53" customFormat="1" x14ac:dyDescent="0.2">
      <c r="A82" s="262" t="s">
        <v>124</v>
      </c>
      <c r="B82" s="284">
        <v>1</v>
      </c>
      <c r="C82" s="263" t="s">
        <v>125</v>
      </c>
      <c r="D82" s="249"/>
      <c r="E82" s="289"/>
      <c r="F82" s="249"/>
      <c r="G82" s="249"/>
      <c r="H82" s="289"/>
      <c r="I82" s="249"/>
      <c r="J82" s="249"/>
      <c r="K82" s="289"/>
      <c r="L82" s="249"/>
      <c r="M82" s="249"/>
      <c r="N82" s="289"/>
      <c r="O82" s="249"/>
      <c r="P82" s="249"/>
      <c r="Q82" s="289"/>
      <c r="R82" s="249"/>
      <c r="S82" s="249"/>
      <c r="T82" s="289"/>
      <c r="U82" s="249"/>
      <c r="V82" s="249"/>
      <c r="W82" s="289"/>
      <c r="X82" s="249"/>
      <c r="Y82" s="249"/>
      <c r="Z82" s="289"/>
      <c r="AA82" s="249"/>
      <c r="AB82" s="24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53" customFormat="1" x14ac:dyDescent="0.2">
      <c r="A83" s="249" t="s">
        <v>83</v>
      </c>
      <c r="B83" s="284">
        <v>0.5</v>
      </c>
      <c r="C83" s="249" t="s">
        <v>84</v>
      </c>
      <c r="D83" s="249"/>
      <c r="E83" s="289"/>
      <c r="F83" s="249"/>
      <c r="G83" s="249"/>
      <c r="H83" s="289"/>
      <c r="I83" s="249"/>
      <c r="J83" s="249"/>
      <c r="K83" s="289"/>
      <c r="L83" s="249"/>
      <c r="M83" s="249"/>
      <c r="N83" s="289"/>
      <c r="O83" s="249"/>
      <c r="P83" s="249"/>
      <c r="Q83" s="289"/>
      <c r="R83" s="249"/>
      <c r="S83" s="249"/>
      <c r="T83" s="289"/>
      <c r="U83" s="249"/>
      <c r="V83" s="249"/>
      <c r="W83" s="289"/>
      <c r="X83" s="249"/>
      <c r="Y83" s="249"/>
      <c r="Z83" s="289"/>
      <c r="AA83" s="249"/>
      <c r="AB83" s="249"/>
      <c r="AC83" s="289"/>
      <c r="AD83" s="289"/>
      <c r="AE83" s="289"/>
      <c r="AF83" s="277"/>
      <c r="AG83" s="353"/>
      <c r="AH83" s="249"/>
      <c r="AI83" s="249"/>
      <c r="AJ83" s="289"/>
      <c r="AK83" s="249"/>
    </row>
    <row r="84" spans="1:37" s="53" customFormat="1" x14ac:dyDescent="0.2">
      <c r="A84" s="249" t="s">
        <v>355</v>
      </c>
      <c r="B84" s="284">
        <v>0.25</v>
      </c>
      <c r="C84" s="247"/>
      <c r="D84" s="249"/>
      <c r="E84" s="289"/>
      <c r="F84" s="249"/>
      <c r="G84" s="249"/>
      <c r="H84" s="289"/>
      <c r="I84" s="249"/>
      <c r="J84" s="249"/>
      <c r="K84" s="289"/>
      <c r="L84" s="249"/>
      <c r="M84" s="249"/>
      <c r="N84" s="289"/>
      <c r="O84" s="249"/>
      <c r="P84" s="249"/>
      <c r="Q84" s="289"/>
      <c r="R84" s="249"/>
      <c r="S84" s="249"/>
      <c r="T84" s="289"/>
      <c r="U84" s="249"/>
      <c r="V84" s="249"/>
      <c r="W84" s="289"/>
      <c r="X84" s="249"/>
      <c r="Y84" s="249"/>
      <c r="Z84" s="289"/>
      <c r="AA84" s="249"/>
      <c r="AB84" s="24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53" customFormat="1" x14ac:dyDescent="0.2">
      <c r="A85" s="262" t="s">
        <v>41</v>
      </c>
      <c r="B85" s="284">
        <v>3.62</v>
      </c>
      <c r="C85" s="249" t="s">
        <v>42</v>
      </c>
      <c r="D85" s="249"/>
      <c r="E85" s="289"/>
      <c r="F85" s="249"/>
      <c r="G85" s="249"/>
      <c r="H85" s="289"/>
      <c r="I85" s="249"/>
      <c r="J85" s="249"/>
      <c r="K85" s="289"/>
      <c r="L85" s="249"/>
      <c r="M85" s="249"/>
      <c r="N85" s="289"/>
      <c r="O85" s="249"/>
      <c r="P85" s="249"/>
      <c r="Q85" s="289"/>
      <c r="R85" s="249"/>
      <c r="S85" s="249"/>
      <c r="T85" s="289"/>
      <c r="U85" s="249"/>
      <c r="V85" s="249"/>
      <c r="W85" s="289"/>
      <c r="X85" s="249"/>
      <c r="Y85" s="249"/>
      <c r="Z85" s="289"/>
      <c r="AA85" s="249"/>
      <c r="AB85" s="249"/>
      <c r="AC85" s="289"/>
      <c r="AD85" s="289"/>
      <c r="AE85" s="289"/>
      <c r="AF85" s="277"/>
      <c r="AG85" s="353"/>
      <c r="AH85" s="249"/>
      <c r="AI85" s="249"/>
      <c r="AJ85" s="289"/>
      <c r="AK85" s="249"/>
    </row>
    <row r="86" spans="1:37" s="53" customFormat="1" x14ac:dyDescent="0.2">
      <c r="A86" s="262" t="s">
        <v>46</v>
      </c>
      <c r="B86" s="284">
        <v>0.25</v>
      </c>
      <c r="C86" s="249" t="s">
        <v>47</v>
      </c>
      <c r="D86" s="249"/>
      <c r="E86" s="289"/>
      <c r="F86" s="249"/>
      <c r="G86" s="249"/>
      <c r="H86" s="289"/>
      <c r="I86" s="249"/>
      <c r="J86" s="249"/>
      <c r="K86" s="289"/>
      <c r="L86" s="249"/>
      <c r="M86" s="249"/>
      <c r="N86" s="289"/>
      <c r="O86" s="249"/>
      <c r="P86" s="249"/>
      <c r="Q86" s="289"/>
      <c r="R86" s="249"/>
      <c r="S86" s="249"/>
      <c r="T86" s="289"/>
      <c r="U86" s="249"/>
      <c r="V86" s="249"/>
      <c r="W86" s="289"/>
      <c r="X86" s="249"/>
      <c r="Y86" s="249"/>
      <c r="Z86" s="289"/>
      <c r="AA86" s="249"/>
      <c r="AB86" s="24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53" customFormat="1" x14ac:dyDescent="0.2">
      <c r="A87" s="267" t="s">
        <v>60</v>
      </c>
      <c r="B87" s="284">
        <v>10950</v>
      </c>
      <c r="C87" s="249" t="s">
        <v>61</v>
      </c>
      <c r="D87" s="249"/>
      <c r="E87" s="289"/>
      <c r="F87" s="249"/>
      <c r="G87" s="249"/>
      <c r="H87" s="289"/>
      <c r="I87" s="249"/>
      <c r="J87" s="249"/>
      <c r="K87" s="289"/>
      <c r="L87" s="249"/>
      <c r="M87" s="249"/>
      <c r="N87" s="289"/>
      <c r="O87" s="249"/>
      <c r="P87" s="249"/>
      <c r="Q87" s="289"/>
      <c r="R87" s="249"/>
      <c r="S87" s="249"/>
      <c r="T87" s="289"/>
      <c r="U87" s="249"/>
      <c r="V87" s="249"/>
      <c r="W87" s="289"/>
      <c r="X87" s="249"/>
      <c r="Y87" s="249"/>
      <c r="Z87" s="289"/>
      <c r="AA87" s="249"/>
      <c r="AB87" s="249"/>
      <c r="AC87" s="289"/>
      <c r="AD87" s="289"/>
      <c r="AE87" s="289"/>
      <c r="AF87" s="289"/>
      <c r="AG87" s="289"/>
      <c r="AH87" s="249"/>
      <c r="AI87" s="249"/>
      <c r="AJ87" s="289"/>
      <c r="AK87" s="249"/>
    </row>
    <row r="88" spans="1:37" s="53" customFormat="1" x14ac:dyDescent="0.2">
      <c r="A88" s="267" t="s">
        <v>65</v>
      </c>
      <c r="B88" s="284">
        <v>240</v>
      </c>
      <c r="C88" s="249" t="s">
        <v>66</v>
      </c>
      <c r="D88" s="249"/>
      <c r="E88" s="289"/>
      <c r="F88" s="249"/>
      <c r="G88" s="249"/>
      <c r="H88" s="289"/>
      <c r="I88" s="249"/>
      <c r="J88" s="249"/>
      <c r="K88" s="289"/>
      <c r="L88" s="249"/>
      <c r="M88" s="249"/>
      <c r="N88" s="289"/>
      <c r="O88" s="249"/>
      <c r="P88" s="249"/>
      <c r="Q88" s="289"/>
      <c r="R88" s="249"/>
      <c r="S88" s="249"/>
      <c r="T88" s="289"/>
      <c r="U88" s="249"/>
      <c r="V88" s="249"/>
      <c r="W88" s="289"/>
      <c r="X88" s="249"/>
      <c r="Y88" s="249"/>
      <c r="Z88" s="289"/>
      <c r="AA88" s="249"/>
      <c r="AB88" s="249"/>
      <c r="AC88" s="289"/>
      <c r="AD88" s="289"/>
      <c r="AE88" s="289"/>
      <c r="AF88" s="289"/>
      <c r="AG88" s="289"/>
      <c r="AH88" s="249"/>
      <c r="AI88" s="249"/>
      <c r="AJ88" s="289"/>
      <c r="AK88" s="249"/>
    </row>
    <row r="89" spans="1:37" s="53" customFormat="1" x14ac:dyDescent="0.2">
      <c r="A89" s="267" t="s">
        <v>76</v>
      </c>
      <c r="B89" s="284">
        <v>0.42</v>
      </c>
      <c r="C89" s="249" t="s">
        <v>47</v>
      </c>
      <c r="D89" s="249"/>
      <c r="E89" s="289"/>
      <c r="F89" s="249"/>
      <c r="G89" s="249"/>
      <c r="H89" s="289"/>
      <c r="I89" s="249"/>
      <c r="J89" s="249"/>
      <c r="K89" s="289"/>
      <c r="L89" s="249"/>
      <c r="M89" s="249"/>
      <c r="N89" s="289"/>
      <c r="O89" s="249"/>
      <c r="P89" s="249"/>
      <c r="Q89" s="289"/>
      <c r="R89" s="249"/>
      <c r="S89" s="249"/>
      <c r="T89" s="289"/>
      <c r="U89" s="249"/>
      <c r="V89" s="249"/>
      <c r="W89" s="289"/>
      <c r="X89" s="249"/>
      <c r="Y89" s="249"/>
      <c r="Z89" s="289"/>
      <c r="AA89" s="249"/>
      <c r="AB89" s="249"/>
      <c r="AC89" s="289"/>
      <c r="AD89" s="289"/>
      <c r="AE89" s="289"/>
      <c r="AF89" s="289"/>
      <c r="AG89" s="289"/>
      <c r="AH89" s="249"/>
      <c r="AI89" s="249"/>
      <c r="AJ89" s="289"/>
      <c r="AK89" s="249"/>
    </row>
    <row r="90" spans="1:37" s="53" customFormat="1" x14ac:dyDescent="0.2">
      <c r="A90" s="267" t="s">
        <v>85</v>
      </c>
      <c r="B90" s="284">
        <v>60</v>
      </c>
      <c r="C90" s="262" t="s">
        <v>61</v>
      </c>
      <c r="D90" s="249"/>
      <c r="E90" s="289"/>
      <c r="F90" s="249"/>
      <c r="G90" s="249"/>
      <c r="H90" s="289"/>
      <c r="I90" s="249"/>
      <c r="J90" s="249"/>
      <c r="K90" s="289"/>
      <c r="L90" s="249"/>
      <c r="M90" s="249"/>
      <c r="N90" s="289"/>
      <c r="O90" s="249"/>
      <c r="P90" s="249"/>
      <c r="Q90" s="289"/>
      <c r="R90" s="249"/>
      <c r="S90" s="249"/>
      <c r="T90" s="289"/>
      <c r="U90" s="249"/>
      <c r="V90" s="249"/>
      <c r="W90" s="289"/>
      <c r="X90" s="249"/>
      <c r="Y90" s="249"/>
      <c r="Z90" s="289"/>
      <c r="AA90" s="249"/>
      <c r="AB90" s="249"/>
      <c r="AC90" s="289"/>
      <c r="AD90" s="289"/>
      <c r="AE90" s="289"/>
      <c r="AF90" s="289"/>
      <c r="AG90" s="289"/>
      <c r="AH90" s="249"/>
      <c r="AI90" s="249"/>
      <c r="AJ90" s="289"/>
      <c r="AK90" s="249"/>
    </row>
    <row r="91" spans="1:37" s="53" customFormat="1" x14ac:dyDescent="0.2">
      <c r="A91" s="267" t="s">
        <v>87</v>
      </c>
      <c r="B91" s="284">
        <v>2</v>
      </c>
      <c r="C91" s="262" t="s">
        <v>66</v>
      </c>
      <c r="D91" s="249"/>
      <c r="E91" s="289"/>
      <c r="F91" s="249"/>
      <c r="G91" s="249"/>
      <c r="H91" s="289"/>
      <c r="I91" s="249"/>
      <c r="J91" s="249"/>
      <c r="K91" s="289"/>
      <c r="L91" s="249"/>
      <c r="M91" s="249"/>
      <c r="N91" s="289"/>
      <c r="O91" s="249"/>
      <c r="P91" s="249"/>
      <c r="Q91" s="289"/>
      <c r="R91" s="249"/>
      <c r="S91" s="249"/>
      <c r="T91" s="289"/>
      <c r="U91" s="249"/>
      <c r="V91" s="249"/>
      <c r="W91" s="289"/>
      <c r="X91" s="249"/>
      <c r="Y91" s="249"/>
      <c r="Z91" s="289"/>
      <c r="AA91" s="249"/>
      <c r="AB91" s="249"/>
      <c r="AC91" s="289"/>
      <c r="AD91" s="289"/>
      <c r="AE91" s="289"/>
      <c r="AF91" s="289"/>
      <c r="AG91" s="289"/>
      <c r="AH91" s="249"/>
      <c r="AI91" s="249"/>
      <c r="AJ91" s="289"/>
      <c r="AK91" s="249"/>
    </row>
    <row r="92" spans="1:37" s="53" customFormat="1" x14ac:dyDescent="0.2">
      <c r="A92" s="267" t="s">
        <v>89</v>
      </c>
      <c r="B92" s="284">
        <v>2.6999999999999999E-5</v>
      </c>
      <c r="C92" s="249" t="s">
        <v>82</v>
      </c>
      <c r="D92" s="249"/>
      <c r="E92" s="289"/>
      <c r="F92" s="249"/>
      <c r="G92" s="249"/>
      <c r="H92" s="289"/>
      <c r="I92" s="249"/>
      <c r="J92" s="249"/>
      <c r="K92" s="289"/>
      <c r="L92" s="249"/>
      <c r="M92" s="249"/>
      <c r="N92" s="289"/>
      <c r="O92" s="249"/>
      <c r="P92" s="249"/>
      <c r="Q92" s="289"/>
      <c r="R92" s="249"/>
      <c r="S92" s="249"/>
      <c r="T92" s="289"/>
      <c r="U92" s="249"/>
      <c r="V92" s="249"/>
      <c r="W92" s="289"/>
      <c r="X92" s="249"/>
      <c r="Y92" s="249"/>
      <c r="Z92" s="289"/>
      <c r="AA92" s="249"/>
      <c r="AB92" s="249"/>
      <c r="AC92" s="289"/>
      <c r="AD92" s="289"/>
      <c r="AE92" s="289"/>
      <c r="AF92" s="289"/>
      <c r="AG92" s="289"/>
      <c r="AH92" s="249"/>
      <c r="AI92" s="249"/>
      <c r="AJ92" s="289"/>
      <c r="AK92" s="249"/>
    </row>
    <row r="93" spans="1:37" s="53" customFormat="1" x14ac:dyDescent="0.2">
      <c r="A93" s="267" t="s">
        <v>91</v>
      </c>
      <c r="B93" s="284">
        <v>1</v>
      </c>
      <c r="C93" s="249" t="s">
        <v>47</v>
      </c>
      <c r="D93" s="249"/>
      <c r="E93" s="289"/>
      <c r="F93" s="249"/>
      <c r="G93" s="249"/>
      <c r="H93" s="289"/>
      <c r="I93" s="249"/>
      <c r="J93" s="249"/>
      <c r="K93" s="289"/>
      <c r="L93" s="249"/>
      <c r="M93" s="249"/>
      <c r="N93" s="289"/>
      <c r="O93" s="249"/>
      <c r="P93" s="249"/>
      <c r="Q93" s="289"/>
      <c r="R93" s="249"/>
      <c r="S93" s="249"/>
      <c r="T93" s="289"/>
      <c r="U93" s="249"/>
      <c r="V93" s="249"/>
      <c r="W93" s="289"/>
      <c r="X93" s="249"/>
      <c r="Y93" s="249"/>
      <c r="Z93" s="289"/>
      <c r="AA93" s="249"/>
      <c r="AB93" s="249"/>
      <c r="AC93" s="289"/>
      <c r="AD93" s="289"/>
      <c r="AE93" s="289"/>
      <c r="AF93" s="289"/>
      <c r="AG93" s="289"/>
      <c r="AH93" s="249"/>
      <c r="AI93" s="249"/>
      <c r="AJ93" s="289"/>
      <c r="AK93" s="249"/>
    </row>
    <row r="94" spans="1:37" s="53" customFormat="1" x14ac:dyDescent="0.2">
      <c r="A94" s="267" t="s">
        <v>92</v>
      </c>
      <c r="B94" s="284">
        <v>14</v>
      </c>
      <c r="C94" s="249" t="s">
        <v>93</v>
      </c>
      <c r="D94" s="249"/>
      <c r="E94" s="289"/>
      <c r="F94" s="249"/>
      <c r="G94" s="249"/>
      <c r="H94" s="289"/>
      <c r="I94" s="249"/>
      <c r="J94" s="249"/>
      <c r="K94" s="289"/>
      <c r="L94" s="249"/>
      <c r="M94" s="249"/>
      <c r="N94" s="289"/>
      <c r="O94" s="249"/>
      <c r="P94" s="249"/>
      <c r="Q94" s="289"/>
      <c r="R94" s="249"/>
      <c r="S94" s="249"/>
      <c r="T94" s="289"/>
      <c r="U94" s="249"/>
      <c r="V94" s="249"/>
      <c r="W94" s="289"/>
      <c r="X94" s="249"/>
      <c r="Y94" s="249"/>
      <c r="Z94" s="289"/>
      <c r="AA94" s="249"/>
      <c r="AB94" s="249"/>
      <c r="AC94" s="289"/>
      <c r="AD94" s="289"/>
      <c r="AE94" s="289"/>
      <c r="AF94" s="289"/>
      <c r="AG94" s="289"/>
      <c r="AH94" s="249"/>
      <c r="AI94" s="249"/>
      <c r="AJ94" s="289"/>
      <c r="AK94" s="249"/>
    </row>
    <row r="95" spans="1:37" s="53" customFormat="1" x14ac:dyDescent="0.2">
      <c r="A95" s="262" t="s">
        <v>356</v>
      </c>
      <c r="B95" s="283">
        <v>1</v>
      </c>
      <c r="C95" s="249"/>
      <c r="D95" s="249"/>
      <c r="E95" s="289"/>
      <c r="F95" s="249"/>
      <c r="G95" s="249"/>
      <c r="H95" s="289"/>
      <c r="I95" s="249"/>
      <c r="J95" s="249"/>
      <c r="K95" s="289"/>
      <c r="L95" s="249"/>
      <c r="M95" s="249"/>
      <c r="N95" s="289"/>
      <c r="O95" s="249"/>
      <c r="P95" s="249"/>
      <c r="Q95" s="289"/>
      <c r="R95" s="249"/>
      <c r="S95" s="249"/>
      <c r="T95" s="289"/>
      <c r="U95" s="249"/>
      <c r="V95" s="249"/>
      <c r="W95" s="289"/>
      <c r="X95" s="249"/>
      <c r="Y95" s="249"/>
      <c r="Z95" s="289"/>
      <c r="AA95" s="249"/>
      <c r="AB95" s="249"/>
      <c r="AC95" s="289"/>
      <c r="AD95" s="289"/>
      <c r="AE95" s="289"/>
      <c r="AF95" s="289"/>
      <c r="AG95" s="289"/>
      <c r="AH95" s="249"/>
      <c r="AI95" s="249"/>
      <c r="AJ95" s="289"/>
      <c r="AK95" s="249"/>
    </row>
    <row r="96" spans="1:37" s="53" customFormat="1" x14ac:dyDescent="0.2">
      <c r="A96" s="262" t="s">
        <v>351</v>
      </c>
      <c r="B96" s="283">
        <v>1.752</v>
      </c>
      <c r="C96" s="264" t="s">
        <v>224</v>
      </c>
      <c r="D96" s="249"/>
      <c r="E96" s="289"/>
      <c r="F96" s="249"/>
      <c r="G96" s="249"/>
      <c r="H96" s="289"/>
      <c r="I96" s="249"/>
      <c r="J96" s="249"/>
      <c r="K96" s="289"/>
      <c r="L96" s="249"/>
      <c r="M96" s="249"/>
      <c r="N96" s="289"/>
      <c r="O96" s="249"/>
      <c r="P96" s="249"/>
      <c r="Q96" s="289"/>
      <c r="R96" s="249"/>
      <c r="S96" s="249"/>
      <c r="T96" s="289"/>
      <c r="U96" s="249"/>
      <c r="V96" s="249"/>
      <c r="W96" s="289"/>
      <c r="X96" s="249"/>
      <c r="Y96" s="249"/>
      <c r="Z96" s="289"/>
      <c r="AA96" s="249"/>
      <c r="AB96" s="249"/>
      <c r="AC96" s="289"/>
      <c r="AD96" s="289"/>
      <c r="AE96" s="289"/>
      <c r="AF96" s="289"/>
      <c r="AG96" s="289"/>
      <c r="AH96" s="249"/>
      <c r="AI96" s="249"/>
      <c r="AJ96" s="289"/>
      <c r="AK96" s="249"/>
    </row>
    <row r="97" spans="1:3" s="53" customFormat="1" x14ac:dyDescent="0.2">
      <c r="A97" s="262" t="s">
        <v>352</v>
      </c>
      <c r="B97" s="283">
        <v>16.416</v>
      </c>
      <c r="C97" s="264" t="s">
        <v>224</v>
      </c>
    </row>
    <row r="98" spans="1:3" s="53" customFormat="1" ht="15" x14ac:dyDescent="0.2">
      <c r="A98" s="517" t="s">
        <v>5</v>
      </c>
      <c r="B98" s="517"/>
      <c r="C98" s="517"/>
    </row>
    <row r="99" spans="1:3" s="53" customFormat="1" x14ac:dyDescent="0.2">
      <c r="A99" s="262" t="s">
        <v>358</v>
      </c>
      <c r="B99" s="284">
        <v>10</v>
      </c>
      <c r="C99" s="267" t="s">
        <v>359</v>
      </c>
    </row>
    <row r="100" spans="1:3" s="53" customFormat="1" x14ac:dyDescent="0.2">
      <c r="A100" s="262" t="s">
        <v>360</v>
      </c>
      <c r="B100" s="284">
        <v>20</v>
      </c>
      <c r="C100" s="267" t="s">
        <v>359</v>
      </c>
    </row>
    <row r="101" spans="1:3" s="53" customFormat="1" x14ac:dyDescent="0.2">
      <c r="A101" s="262" t="s">
        <v>305</v>
      </c>
      <c r="B101" s="283">
        <v>0.05</v>
      </c>
      <c r="C101" s="262" t="s">
        <v>361</v>
      </c>
    </row>
    <row r="102" spans="1:3" s="53" customFormat="1" x14ac:dyDescent="0.2">
      <c r="A102" s="262" t="s">
        <v>306</v>
      </c>
      <c r="B102" s="283">
        <v>0.05</v>
      </c>
      <c r="C102" s="262" t="s">
        <v>361</v>
      </c>
    </row>
    <row r="103" spans="1:3" s="53" customFormat="1" x14ac:dyDescent="0.2">
      <c r="A103" s="262" t="s">
        <v>362</v>
      </c>
      <c r="B103" s="284">
        <v>200</v>
      </c>
      <c r="C103" s="263" t="s">
        <v>54</v>
      </c>
    </row>
    <row r="104" spans="1:3" s="53" customFormat="1" x14ac:dyDescent="0.2">
      <c r="A104" s="262" t="s">
        <v>363</v>
      </c>
      <c r="B104" s="284">
        <v>100</v>
      </c>
      <c r="C104" s="263" t="s">
        <v>54</v>
      </c>
    </row>
    <row r="105" spans="1:3" s="53" customFormat="1" x14ac:dyDescent="0.2">
      <c r="A105" s="249" t="s">
        <v>187</v>
      </c>
      <c r="B105" s="284">
        <v>1</v>
      </c>
      <c r="C105" s="249" t="s">
        <v>254</v>
      </c>
    </row>
    <row r="106" spans="1:3" s="53" customFormat="1" x14ac:dyDescent="0.2">
      <c r="A106" s="249" t="s">
        <v>188</v>
      </c>
      <c r="B106" s="284">
        <v>1</v>
      </c>
      <c r="C106" s="249" t="s">
        <v>254</v>
      </c>
    </row>
    <row r="107" spans="1:3" s="53" customFormat="1" x14ac:dyDescent="0.2">
      <c r="A107" s="94" t="s">
        <v>373</v>
      </c>
      <c r="B107" s="283">
        <v>6</v>
      </c>
      <c r="C107" s="270" t="s">
        <v>69</v>
      </c>
    </row>
    <row r="108" spans="1:3" s="53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53" customFormat="1" x14ac:dyDescent="0.2">
      <c r="A109" s="94" t="s">
        <v>59</v>
      </c>
      <c r="B109" s="283">
        <v>26</v>
      </c>
      <c r="C109" s="270" t="s">
        <v>69</v>
      </c>
    </row>
    <row r="110" spans="1:3" s="53" customFormat="1" x14ac:dyDescent="0.2">
      <c r="A110" s="94" t="s">
        <v>371</v>
      </c>
      <c r="B110" s="107">
        <v>75</v>
      </c>
      <c r="C110" s="94" t="s">
        <v>26</v>
      </c>
    </row>
    <row r="111" spans="1:3" s="53" customFormat="1" x14ac:dyDescent="0.2">
      <c r="A111" s="94" t="s">
        <v>370</v>
      </c>
      <c r="B111" s="283">
        <v>75</v>
      </c>
      <c r="C111" s="94" t="s">
        <v>26</v>
      </c>
    </row>
    <row r="112" spans="1:3" s="53" customFormat="1" x14ac:dyDescent="0.2">
      <c r="A112" s="94" t="s">
        <v>157</v>
      </c>
      <c r="B112" s="283">
        <v>75</v>
      </c>
      <c r="C112" s="94" t="s">
        <v>26</v>
      </c>
    </row>
    <row r="113" spans="1:3" s="53" customFormat="1" x14ac:dyDescent="0.2">
      <c r="A113" s="94" t="s">
        <v>105</v>
      </c>
      <c r="B113" s="283">
        <v>1</v>
      </c>
      <c r="C113" s="92" t="s">
        <v>224</v>
      </c>
    </row>
    <row r="114" spans="1:3" s="53" customFormat="1" x14ac:dyDescent="0.2">
      <c r="A114" s="92" t="s">
        <v>368</v>
      </c>
      <c r="B114" s="284">
        <v>1</v>
      </c>
      <c r="C114" s="92" t="s">
        <v>224</v>
      </c>
    </row>
    <row r="115" spans="1:3" s="53" customFormat="1" x14ac:dyDescent="0.2">
      <c r="A115" s="92" t="s">
        <v>369</v>
      </c>
      <c r="B115" s="284">
        <v>1</v>
      </c>
      <c r="C115" s="92" t="s">
        <v>224</v>
      </c>
    </row>
    <row r="116" spans="1:3" s="53" customFormat="1" x14ac:dyDescent="0.2">
      <c r="A116" s="249" t="s">
        <v>366</v>
      </c>
      <c r="B116" s="284">
        <v>1</v>
      </c>
      <c r="C116" s="249" t="s">
        <v>104</v>
      </c>
    </row>
    <row r="117" spans="1:3" s="53" customFormat="1" x14ac:dyDescent="0.2">
      <c r="A117" s="249" t="s">
        <v>367</v>
      </c>
      <c r="B117" s="284">
        <v>1</v>
      </c>
      <c r="C117" s="249" t="s">
        <v>104</v>
      </c>
    </row>
    <row r="118" spans="1:3" s="53" customFormat="1" x14ac:dyDescent="0.2">
      <c r="A118" s="94" t="s">
        <v>364</v>
      </c>
      <c r="B118" s="284">
        <v>1</v>
      </c>
      <c r="C118" s="92" t="s">
        <v>98</v>
      </c>
    </row>
    <row r="119" spans="1:3" s="53" customFormat="1" x14ac:dyDescent="0.2">
      <c r="A119" s="94" t="s">
        <v>365</v>
      </c>
      <c r="B119" s="284">
        <v>1</v>
      </c>
      <c r="C119" s="92" t="s">
        <v>98</v>
      </c>
    </row>
    <row r="120" spans="1:3" s="53" customFormat="1" x14ac:dyDescent="0.2">
      <c r="A120" s="263" t="s">
        <v>192</v>
      </c>
      <c r="B120" s="283">
        <v>1</v>
      </c>
      <c r="C120" s="249" t="s">
        <v>283</v>
      </c>
    </row>
    <row r="121" spans="1:3" s="53" customFormat="1" x14ac:dyDescent="0.2">
      <c r="A121" s="263" t="s">
        <v>189</v>
      </c>
      <c r="B121" s="283">
        <v>1</v>
      </c>
      <c r="C121" s="249" t="s">
        <v>283</v>
      </c>
    </row>
    <row r="122" spans="1:3" s="53" customFormat="1" x14ac:dyDescent="0.2">
      <c r="A122" s="263" t="s">
        <v>190</v>
      </c>
      <c r="B122" s="283">
        <v>1</v>
      </c>
      <c r="C122" s="249" t="s">
        <v>47</v>
      </c>
    </row>
    <row r="123" spans="1:3" s="53" customFormat="1" x14ac:dyDescent="0.2">
      <c r="A123" s="263" t="s">
        <v>191</v>
      </c>
      <c r="B123" s="283">
        <v>1</v>
      </c>
      <c r="C123" s="249" t="s">
        <v>47</v>
      </c>
    </row>
    <row r="124" spans="1:3" s="53" customFormat="1" x14ac:dyDescent="0.2">
      <c r="A124" s="263" t="s">
        <v>199</v>
      </c>
      <c r="B124" s="283">
        <v>1</v>
      </c>
      <c r="C124" s="249" t="s">
        <v>30</v>
      </c>
    </row>
    <row r="125" spans="1:3" s="53" customFormat="1" x14ac:dyDescent="0.2">
      <c r="A125" s="249" t="s">
        <v>193</v>
      </c>
      <c r="B125" s="283">
        <v>1</v>
      </c>
      <c r="C125" s="249" t="s">
        <v>283</v>
      </c>
    </row>
    <row r="126" spans="1:3" s="53" customFormat="1" x14ac:dyDescent="0.2">
      <c r="A126" s="249" t="s">
        <v>196</v>
      </c>
      <c r="B126" s="283">
        <v>1</v>
      </c>
      <c r="C126" s="249" t="s">
        <v>283</v>
      </c>
    </row>
    <row r="127" spans="1:3" s="53" customFormat="1" x14ac:dyDescent="0.2">
      <c r="A127" s="268" t="s">
        <v>197</v>
      </c>
      <c r="B127" s="283">
        <v>1</v>
      </c>
      <c r="C127" s="249" t="s">
        <v>47</v>
      </c>
    </row>
    <row r="128" spans="1:3" s="53" customFormat="1" x14ac:dyDescent="0.2">
      <c r="A128" s="262" t="s">
        <v>198</v>
      </c>
      <c r="B128" s="283">
        <v>1</v>
      </c>
      <c r="C128" s="249" t="s">
        <v>47</v>
      </c>
    </row>
    <row r="129" spans="1:3" s="53" customFormat="1" x14ac:dyDescent="0.2">
      <c r="A129" s="263" t="s">
        <v>200</v>
      </c>
      <c r="B129" s="283">
        <v>1</v>
      </c>
      <c r="C129" s="249" t="s">
        <v>30</v>
      </c>
    </row>
    <row r="130" spans="1:3" s="53" customFormat="1" x14ac:dyDescent="0.2">
      <c r="A130" s="262" t="s">
        <v>255</v>
      </c>
      <c r="B130" s="284">
        <v>1</v>
      </c>
      <c r="C130" s="249"/>
    </row>
    <row r="131" spans="1:3" s="53" customFormat="1" x14ac:dyDescent="0.2">
      <c r="A131" s="249" t="s">
        <v>83</v>
      </c>
      <c r="B131" s="284">
        <v>0.5</v>
      </c>
      <c r="C131" s="249"/>
    </row>
    <row r="132" spans="1:3" s="53" customFormat="1" ht="15" x14ac:dyDescent="0.2">
      <c r="A132" s="518" t="s">
        <v>180</v>
      </c>
      <c r="B132" s="518"/>
      <c r="C132" s="518"/>
    </row>
    <row r="133" spans="1:3" s="53" customFormat="1" x14ac:dyDescent="0.2">
      <c r="A133" s="262" t="s">
        <v>374</v>
      </c>
      <c r="B133" s="283">
        <v>200</v>
      </c>
      <c r="C133" s="263" t="s">
        <v>54</v>
      </c>
    </row>
    <row r="134" spans="1:3" s="53" customFormat="1" x14ac:dyDescent="0.2">
      <c r="A134" s="262" t="s">
        <v>375</v>
      </c>
      <c r="B134" s="283">
        <v>100</v>
      </c>
      <c r="C134" s="263" t="s">
        <v>54</v>
      </c>
    </row>
    <row r="135" spans="1:3" s="53" customFormat="1" x14ac:dyDescent="0.2">
      <c r="A135" s="262" t="s">
        <v>376</v>
      </c>
      <c r="B135" s="283">
        <v>10</v>
      </c>
      <c r="C135" s="267" t="s">
        <v>359</v>
      </c>
    </row>
    <row r="136" spans="1:3" s="53" customFormat="1" x14ac:dyDescent="0.2">
      <c r="A136" s="262" t="s">
        <v>377</v>
      </c>
      <c r="B136" s="283">
        <v>20</v>
      </c>
      <c r="C136" s="267" t="s">
        <v>359</v>
      </c>
    </row>
    <row r="137" spans="1:3" s="53" customFormat="1" x14ac:dyDescent="0.2">
      <c r="A137" s="267" t="s">
        <v>378</v>
      </c>
      <c r="B137" s="284">
        <v>0.78</v>
      </c>
      <c r="C137" s="262" t="s">
        <v>30</v>
      </c>
    </row>
    <row r="138" spans="1:3" s="53" customFormat="1" x14ac:dyDescent="0.2">
      <c r="A138" s="267" t="s">
        <v>379</v>
      </c>
      <c r="B138" s="284">
        <v>2.5</v>
      </c>
      <c r="C138" s="262" t="s">
        <v>30</v>
      </c>
    </row>
    <row r="139" spans="1:3" s="53" customFormat="1" x14ac:dyDescent="0.2">
      <c r="A139" s="262" t="s">
        <v>380</v>
      </c>
      <c r="B139" s="283">
        <v>68.099999999999994</v>
      </c>
      <c r="C139" s="267" t="s">
        <v>254</v>
      </c>
    </row>
    <row r="140" spans="1:3" s="53" customFormat="1" x14ac:dyDescent="0.2">
      <c r="A140" s="262" t="s">
        <v>381</v>
      </c>
      <c r="B140" s="283">
        <v>176.8</v>
      </c>
      <c r="C140" s="267" t="s">
        <v>254</v>
      </c>
    </row>
    <row r="141" spans="1:3" s="53" customFormat="1" x14ac:dyDescent="0.2">
      <c r="A141" s="262" t="s">
        <v>382</v>
      </c>
      <c r="B141" s="283">
        <v>41.7</v>
      </c>
      <c r="C141" s="267" t="s">
        <v>254</v>
      </c>
    </row>
    <row r="142" spans="1:3" s="53" customFormat="1" x14ac:dyDescent="0.2">
      <c r="A142" s="262" t="s">
        <v>383</v>
      </c>
      <c r="B142" s="283">
        <v>125.7</v>
      </c>
      <c r="C142" s="267" t="s">
        <v>254</v>
      </c>
    </row>
    <row r="143" spans="1:3" s="53" customFormat="1" x14ac:dyDescent="0.2">
      <c r="A143" s="262" t="s">
        <v>479</v>
      </c>
      <c r="B143" s="283">
        <v>349.5</v>
      </c>
      <c r="C143" s="267" t="s">
        <v>254</v>
      </c>
    </row>
    <row r="144" spans="1:3" s="53" customFormat="1" x14ac:dyDescent="0.2">
      <c r="A144" s="262" t="s">
        <v>480</v>
      </c>
      <c r="B144" s="283">
        <v>445.6</v>
      </c>
      <c r="C144" s="267" t="s">
        <v>254</v>
      </c>
    </row>
    <row r="145" spans="1:3" s="53" customFormat="1" x14ac:dyDescent="0.2">
      <c r="A145" s="262" t="s">
        <v>481</v>
      </c>
      <c r="B145" s="283">
        <v>40.1</v>
      </c>
      <c r="C145" s="267" t="s">
        <v>254</v>
      </c>
    </row>
    <row r="146" spans="1:3" s="53" customFormat="1" x14ac:dyDescent="0.2">
      <c r="A146" s="262" t="s">
        <v>482</v>
      </c>
      <c r="B146" s="283">
        <v>178</v>
      </c>
      <c r="C146" s="267" t="s">
        <v>254</v>
      </c>
    </row>
    <row r="147" spans="1:3" s="53" customFormat="1" x14ac:dyDescent="0.2">
      <c r="A147" s="262" t="s">
        <v>326</v>
      </c>
      <c r="B147" s="283">
        <v>10.95</v>
      </c>
      <c r="C147" s="262" t="s">
        <v>254</v>
      </c>
    </row>
    <row r="148" spans="1:3" s="53" customFormat="1" x14ac:dyDescent="0.2">
      <c r="A148" s="262" t="s">
        <v>327</v>
      </c>
      <c r="B148" s="283">
        <v>53.4</v>
      </c>
      <c r="C148" s="262" t="s">
        <v>254</v>
      </c>
    </row>
    <row r="149" spans="1:3" s="53" customFormat="1" x14ac:dyDescent="0.2">
      <c r="A149" s="262" t="s">
        <v>483</v>
      </c>
      <c r="B149" s="283">
        <v>32.799999999999997</v>
      </c>
      <c r="C149" s="267" t="s">
        <v>254</v>
      </c>
    </row>
    <row r="150" spans="1:3" s="53" customFormat="1" x14ac:dyDescent="0.2">
      <c r="A150" s="262" t="s">
        <v>484</v>
      </c>
      <c r="B150" s="283">
        <v>155.4</v>
      </c>
      <c r="C150" s="267" t="s">
        <v>254</v>
      </c>
    </row>
    <row r="151" spans="1:3" s="53" customFormat="1" x14ac:dyDescent="0.2">
      <c r="A151" s="262" t="s">
        <v>324</v>
      </c>
      <c r="B151" s="283">
        <v>23.6</v>
      </c>
      <c r="C151" s="262" t="s">
        <v>254</v>
      </c>
    </row>
    <row r="152" spans="1:3" s="53" customFormat="1" x14ac:dyDescent="0.2">
      <c r="A152" s="262" t="s">
        <v>325</v>
      </c>
      <c r="B152" s="283">
        <v>106.6</v>
      </c>
      <c r="C152" s="262" t="s">
        <v>254</v>
      </c>
    </row>
    <row r="153" spans="1:3" s="53" customFormat="1" x14ac:dyDescent="0.2">
      <c r="A153" s="262" t="s">
        <v>328</v>
      </c>
      <c r="B153" s="283">
        <v>18.5</v>
      </c>
      <c r="C153" s="262" t="s">
        <v>254</v>
      </c>
    </row>
    <row r="154" spans="1:3" s="53" customFormat="1" x14ac:dyDescent="0.2">
      <c r="A154" s="262" t="s">
        <v>329</v>
      </c>
      <c r="B154" s="283">
        <v>97.9</v>
      </c>
      <c r="C154" s="262" t="s">
        <v>254</v>
      </c>
    </row>
    <row r="155" spans="1:3" s="53" customFormat="1" x14ac:dyDescent="0.2">
      <c r="A155" s="262" t="s">
        <v>384</v>
      </c>
      <c r="B155" s="284">
        <v>6</v>
      </c>
      <c r="C155" s="93" t="s">
        <v>69</v>
      </c>
    </row>
    <row r="156" spans="1:3" s="53" customFormat="1" x14ac:dyDescent="0.2">
      <c r="A156" s="262" t="s">
        <v>385</v>
      </c>
      <c r="B156" s="284">
        <v>34</v>
      </c>
      <c r="C156" s="93" t="s">
        <v>69</v>
      </c>
    </row>
    <row r="157" spans="1:3" s="53" customFormat="1" x14ac:dyDescent="0.2">
      <c r="A157" s="262" t="s">
        <v>386</v>
      </c>
      <c r="B157" s="284">
        <v>40</v>
      </c>
      <c r="C157" s="93" t="s">
        <v>69</v>
      </c>
    </row>
    <row r="158" spans="1:3" s="53" customFormat="1" x14ac:dyDescent="0.2">
      <c r="A158" s="262" t="s">
        <v>387</v>
      </c>
      <c r="B158" s="284">
        <v>350</v>
      </c>
      <c r="C158" s="262" t="s">
        <v>26</v>
      </c>
    </row>
    <row r="159" spans="1:3" s="53" customFormat="1" x14ac:dyDescent="0.2">
      <c r="A159" s="262" t="s">
        <v>388</v>
      </c>
      <c r="B159" s="284">
        <v>350</v>
      </c>
      <c r="C159" s="262" t="s">
        <v>26</v>
      </c>
    </row>
    <row r="160" spans="1:3" s="53" customFormat="1" x14ac:dyDescent="0.2">
      <c r="A160" s="262" t="s">
        <v>389</v>
      </c>
      <c r="B160" s="283">
        <v>24</v>
      </c>
      <c r="C160" s="263" t="s">
        <v>224</v>
      </c>
    </row>
    <row r="161" spans="1:3" s="53" customFormat="1" x14ac:dyDescent="0.2">
      <c r="A161" s="262" t="s">
        <v>390</v>
      </c>
      <c r="B161" s="283">
        <v>24</v>
      </c>
      <c r="C161" s="263" t="s">
        <v>224</v>
      </c>
    </row>
    <row r="162" spans="1:3" s="53" customFormat="1" x14ac:dyDescent="0.2">
      <c r="A162" s="262" t="s">
        <v>396</v>
      </c>
      <c r="B162" s="283">
        <v>24</v>
      </c>
      <c r="C162" s="263" t="s">
        <v>224</v>
      </c>
    </row>
    <row r="163" spans="1:3" s="53" customFormat="1" x14ac:dyDescent="0.2">
      <c r="A163" s="249" t="s">
        <v>393</v>
      </c>
      <c r="B163" s="283">
        <v>0.54</v>
      </c>
      <c r="C163" s="267" t="s">
        <v>395</v>
      </c>
    </row>
    <row r="164" spans="1:3" s="53" customFormat="1" x14ac:dyDescent="0.2">
      <c r="A164" s="249" t="s">
        <v>394</v>
      </c>
      <c r="B164" s="283">
        <v>0.71</v>
      </c>
      <c r="C164" s="267" t="s">
        <v>395</v>
      </c>
    </row>
    <row r="165" spans="1:3" s="53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53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53" customFormat="1" x14ac:dyDescent="0.2">
      <c r="A167" s="262" t="s">
        <v>397</v>
      </c>
      <c r="B167" s="283">
        <v>1</v>
      </c>
      <c r="C167" s="267" t="s">
        <v>166</v>
      </c>
    </row>
    <row r="168" spans="1:3" s="53" customFormat="1" x14ac:dyDescent="0.2">
      <c r="A168" s="262" t="s">
        <v>398</v>
      </c>
      <c r="B168" s="283">
        <v>1</v>
      </c>
      <c r="C168" s="267" t="s">
        <v>166</v>
      </c>
    </row>
    <row r="169" spans="1:3" s="53" customFormat="1" x14ac:dyDescent="0.2">
      <c r="A169" s="262" t="s">
        <v>103</v>
      </c>
      <c r="B169" s="283">
        <v>0.4</v>
      </c>
      <c r="C169" s="247"/>
    </row>
    <row r="170" spans="1:3" s="53" customFormat="1" x14ac:dyDescent="0.2">
      <c r="A170" s="262" t="s">
        <v>158</v>
      </c>
      <c r="B170" s="283">
        <v>0.4</v>
      </c>
      <c r="C170" s="247"/>
    </row>
    <row r="171" spans="1:3" s="53" customFormat="1" x14ac:dyDescent="0.2">
      <c r="A171" s="262" t="s">
        <v>159</v>
      </c>
      <c r="B171" s="283">
        <v>1</v>
      </c>
      <c r="C171" s="247"/>
    </row>
    <row r="172" spans="1:3" s="53" customFormat="1" x14ac:dyDescent="0.2">
      <c r="A172" s="262" t="s">
        <v>62</v>
      </c>
      <c r="B172" s="283">
        <v>1</v>
      </c>
      <c r="C172" s="247"/>
    </row>
    <row r="173" spans="1:3" s="53" customFormat="1" x14ac:dyDescent="0.2">
      <c r="A173" s="262" t="s">
        <v>255</v>
      </c>
      <c r="B173" s="284">
        <v>1</v>
      </c>
      <c r="C173" s="247"/>
    </row>
    <row r="174" spans="1:3" s="53" customFormat="1" x14ac:dyDescent="0.2">
      <c r="A174" s="267" t="s">
        <v>399</v>
      </c>
      <c r="B174" s="283">
        <v>1</v>
      </c>
      <c r="C174" s="247"/>
    </row>
    <row r="175" spans="1:3" s="53" customFormat="1" x14ac:dyDescent="0.2">
      <c r="A175" s="267" t="s">
        <v>400</v>
      </c>
      <c r="B175" s="283">
        <v>1</v>
      </c>
      <c r="C175" s="247"/>
    </row>
    <row r="176" spans="1:3" s="53" customFormat="1" x14ac:dyDescent="0.2">
      <c r="A176" s="267" t="s">
        <v>401</v>
      </c>
      <c r="B176" s="283">
        <v>1</v>
      </c>
      <c r="C176" s="247"/>
    </row>
    <row r="177" spans="1:3" s="53" customFormat="1" x14ac:dyDescent="0.2">
      <c r="A177" s="267" t="s">
        <v>402</v>
      </c>
      <c r="B177" s="283">
        <v>1</v>
      </c>
      <c r="C177" s="247"/>
    </row>
    <row r="178" spans="1:3" s="53" customFormat="1" x14ac:dyDescent="0.2">
      <c r="A178" s="267" t="s">
        <v>403</v>
      </c>
      <c r="B178" s="283">
        <v>1</v>
      </c>
      <c r="C178" s="247"/>
    </row>
    <row r="179" spans="1:3" s="53" customFormat="1" x14ac:dyDescent="0.2">
      <c r="A179" s="267" t="s">
        <v>404</v>
      </c>
      <c r="B179" s="283">
        <v>1</v>
      </c>
      <c r="C179" s="247"/>
    </row>
    <row r="180" spans="1:3" s="53" customFormat="1" x14ac:dyDescent="0.2">
      <c r="A180" s="267" t="s">
        <v>405</v>
      </c>
      <c r="B180" s="284">
        <v>1</v>
      </c>
      <c r="C180" s="247"/>
    </row>
    <row r="181" spans="1:3" s="53" customFormat="1" x14ac:dyDescent="0.2">
      <c r="A181" s="262" t="s">
        <v>41</v>
      </c>
      <c r="B181" s="284">
        <v>3.62</v>
      </c>
      <c r="C181" s="249" t="s">
        <v>42</v>
      </c>
    </row>
    <row r="182" spans="1:3" s="53" customFormat="1" x14ac:dyDescent="0.2">
      <c r="A182" s="262" t="s">
        <v>46</v>
      </c>
      <c r="B182" s="284">
        <v>0.25</v>
      </c>
      <c r="C182" s="249" t="s">
        <v>47</v>
      </c>
    </row>
    <row r="183" spans="1:3" s="53" customFormat="1" x14ac:dyDescent="0.2">
      <c r="A183" s="267" t="s">
        <v>60</v>
      </c>
      <c r="B183" s="284">
        <v>10950</v>
      </c>
      <c r="C183" s="249" t="s">
        <v>61</v>
      </c>
    </row>
    <row r="184" spans="1:3" s="53" customFormat="1" x14ac:dyDescent="0.2">
      <c r="A184" s="267" t="s">
        <v>65</v>
      </c>
      <c r="B184" s="284">
        <v>240</v>
      </c>
      <c r="C184" s="249" t="s">
        <v>66</v>
      </c>
    </row>
    <row r="185" spans="1:3" s="53" customFormat="1" x14ac:dyDescent="0.2">
      <c r="A185" s="267" t="s">
        <v>76</v>
      </c>
      <c r="B185" s="284">
        <v>0.42</v>
      </c>
      <c r="C185" s="249" t="s">
        <v>47</v>
      </c>
    </row>
    <row r="186" spans="1:3" s="53" customFormat="1" x14ac:dyDescent="0.2">
      <c r="A186" s="267" t="s">
        <v>85</v>
      </c>
      <c r="B186" s="284">
        <v>60</v>
      </c>
      <c r="C186" s="262" t="s">
        <v>61</v>
      </c>
    </row>
    <row r="187" spans="1:3" s="53" customFormat="1" x14ac:dyDescent="0.2">
      <c r="A187" s="267" t="s">
        <v>87</v>
      </c>
      <c r="B187" s="284">
        <v>2</v>
      </c>
      <c r="C187" s="262" t="s">
        <v>66</v>
      </c>
    </row>
    <row r="188" spans="1:3" s="53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53" customFormat="1" x14ac:dyDescent="0.2">
      <c r="A189" s="267" t="s">
        <v>91</v>
      </c>
      <c r="B189" s="284">
        <v>1</v>
      </c>
      <c r="C189" s="249" t="s">
        <v>47</v>
      </c>
    </row>
    <row r="190" spans="1:3" s="53" customFormat="1" x14ac:dyDescent="0.2">
      <c r="A190" s="267" t="s">
        <v>92</v>
      </c>
      <c r="B190" s="284">
        <v>14</v>
      </c>
      <c r="C190" s="249" t="s">
        <v>93</v>
      </c>
    </row>
    <row r="191" spans="1:3" s="53" customFormat="1" x14ac:dyDescent="0.2">
      <c r="A191" s="262" t="s">
        <v>29</v>
      </c>
      <c r="B191" s="284">
        <v>92</v>
      </c>
      <c r="C191" s="262" t="s">
        <v>30</v>
      </c>
    </row>
    <row r="192" spans="1:3" s="53" customFormat="1" x14ac:dyDescent="0.2">
      <c r="A192" s="249" t="s">
        <v>287</v>
      </c>
      <c r="B192" s="283">
        <v>1.03</v>
      </c>
      <c r="C192" s="249" t="s">
        <v>288</v>
      </c>
    </row>
    <row r="193" spans="1:3" s="53" customFormat="1" x14ac:dyDescent="0.2">
      <c r="A193" s="262" t="s">
        <v>406</v>
      </c>
      <c r="B193" s="284">
        <v>20.3</v>
      </c>
      <c r="C193" s="249" t="s">
        <v>283</v>
      </c>
    </row>
    <row r="194" spans="1:3" s="53" customFormat="1" x14ac:dyDescent="0.2">
      <c r="A194" s="262" t="s">
        <v>407</v>
      </c>
      <c r="B194" s="284">
        <v>0.4</v>
      </c>
      <c r="C194" s="249" t="s">
        <v>283</v>
      </c>
    </row>
    <row r="195" spans="1:3" s="53" customFormat="1" x14ac:dyDescent="0.2">
      <c r="A195" s="262" t="s">
        <v>408</v>
      </c>
      <c r="B195" s="284">
        <v>1</v>
      </c>
      <c r="C195" s="247"/>
    </row>
    <row r="196" spans="1:3" s="53" customFormat="1" x14ac:dyDescent="0.2">
      <c r="A196" s="262" t="s">
        <v>409</v>
      </c>
      <c r="B196" s="284">
        <v>1</v>
      </c>
      <c r="C196" s="247"/>
    </row>
    <row r="197" spans="1:3" s="53" customFormat="1" x14ac:dyDescent="0.2">
      <c r="A197" s="262" t="s">
        <v>31</v>
      </c>
      <c r="B197" s="284">
        <v>53</v>
      </c>
      <c r="C197" s="262" t="s">
        <v>30</v>
      </c>
    </row>
    <row r="198" spans="1:3" s="53" customFormat="1" x14ac:dyDescent="0.2">
      <c r="A198" s="262" t="s">
        <v>410</v>
      </c>
      <c r="B198" s="284">
        <v>11.77</v>
      </c>
      <c r="C198" s="249" t="s">
        <v>283</v>
      </c>
    </row>
    <row r="199" spans="1:3" s="53" customFormat="1" x14ac:dyDescent="0.2">
      <c r="A199" s="262" t="s">
        <v>411</v>
      </c>
      <c r="B199" s="284">
        <v>0.5</v>
      </c>
      <c r="C199" s="249" t="s">
        <v>283</v>
      </c>
    </row>
    <row r="200" spans="1:3" s="53" customFormat="1" x14ac:dyDescent="0.2">
      <c r="A200" s="262" t="s">
        <v>412</v>
      </c>
      <c r="B200" s="284">
        <v>1</v>
      </c>
      <c r="C200" s="247"/>
    </row>
    <row r="201" spans="1:3" s="53" customFormat="1" x14ac:dyDescent="0.2">
      <c r="A201" s="262" t="s">
        <v>413</v>
      </c>
      <c r="B201" s="284">
        <v>1</v>
      </c>
      <c r="C201" s="247"/>
    </row>
    <row r="202" spans="1:3" s="53" customFormat="1" x14ac:dyDescent="0.2">
      <c r="A202" s="262" t="s">
        <v>173</v>
      </c>
      <c r="B202" s="283">
        <v>0.4</v>
      </c>
      <c r="C202" s="262" t="s">
        <v>30</v>
      </c>
    </row>
    <row r="203" spans="1:3" s="53" customFormat="1" x14ac:dyDescent="0.2">
      <c r="A203" s="262" t="s">
        <v>177</v>
      </c>
      <c r="B203" s="284">
        <v>0.2</v>
      </c>
      <c r="C203" s="249" t="s">
        <v>283</v>
      </c>
    </row>
    <row r="204" spans="1:3" s="53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53" customFormat="1" x14ac:dyDescent="0.2">
      <c r="A205" s="262" t="s">
        <v>178</v>
      </c>
      <c r="B205" s="283">
        <v>1</v>
      </c>
      <c r="C205" s="247"/>
    </row>
    <row r="206" spans="1:3" s="53" customFormat="1" x14ac:dyDescent="0.2">
      <c r="A206" s="262" t="s">
        <v>179</v>
      </c>
      <c r="B206" s="283">
        <v>1</v>
      </c>
      <c r="C206" s="247"/>
    </row>
    <row r="207" spans="1:3" s="53" customFormat="1" x14ac:dyDescent="0.2">
      <c r="A207" s="262" t="s">
        <v>414</v>
      </c>
      <c r="B207" s="283">
        <v>0.4</v>
      </c>
      <c r="C207" s="262" t="s">
        <v>30</v>
      </c>
    </row>
    <row r="208" spans="1:3" s="53" customFormat="1" x14ac:dyDescent="0.2">
      <c r="A208" s="262" t="s">
        <v>415</v>
      </c>
      <c r="B208" s="284">
        <v>0.2</v>
      </c>
      <c r="C208" s="249" t="s">
        <v>283</v>
      </c>
    </row>
    <row r="209" spans="1:3" s="53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53" customFormat="1" x14ac:dyDescent="0.2">
      <c r="A210" s="262" t="s">
        <v>417</v>
      </c>
      <c r="B210" s="284">
        <v>1</v>
      </c>
      <c r="C210" s="247"/>
    </row>
    <row r="211" spans="1:3" s="53" customFormat="1" x14ac:dyDescent="0.2">
      <c r="A211" s="262" t="s">
        <v>418</v>
      </c>
      <c r="B211" s="284">
        <v>1</v>
      </c>
      <c r="C211" s="247"/>
    </row>
    <row r="212" spans="1:3" s="53" customFormat="1" x14ac:dyDescent="0.2">
      <c r="A212" s="262" t="s">
        <v>174</v>
      </c>
      <c r="B212" s="284">
        <v>11.4</v>
      </c>
      <c r="C212" s="262" t="s">
        <v>30</v>
      </c>
    </row>
    <row r="213" spans="1:3" s="53" customFormat="1" x14ac:dyDescent="0.2">
      <c r="A213" s="262" t="s">
        <v>419</v>
      </c>
      <c r="B213" s="284">
        <v>4.7</v>
      </c>
      <c r="C213" s="249" t="s">
        <v>283</v>
      </c>
    </row>
    <row r="214" spans="1:3" s="53" customFormat="1" x14ac:dyDescent="0.2">
      <c r="A214" s="262" t="s">
        <v>420</v>
      </c>
      <c r="B214" s="284">
        <v>0.37</v>
      </c>
      <c r="C214" s="249" t="s">
        <v>283</v>
      </c>
    </row>
    <row r="215" spans="1:3" s="53" customFormat="1" x14ac:dyDescent="0.2">
      <c r="A215" s="262" t="s">
        <v>421</v>
      </c>
      <c r="B215" s="284">
        <v>1</v>
      </c>
      <c r="C215" s="247"/>
    </row>
    <row r="216" spans="1:3" s="53" customFormat="1" x14ac:dyDescent="0.2">
      <c r="A216" s="262" t="s">
        <v>422</v>
      </c>
      <c r="B216" s="284">
        <v>1</v>
      </c>
      <c r="C216" s="247"/>
    </row>
    <row r="217" spans="1:3" s="53" customFormat="1" x14ac:dyDescent="0.2">
      <c r="A217" s="249" t="s">
        <v>83</v>
      </c>
      <c r="B217" s="284">
        <v>0.5</v>
      </c>
      <c r="C217" s="249"/>
    </row>
    <row r="218" spans="1:3" s="53" customFormat="1" x14ac:dyDescent="0.2">
      <c r="A218" s="558" t="s">
        <v>423</v>
      </c>
      <c r="B218" s="558"/>
      <c r="C218" s="558"/>
    </row>
    <row r="219" spans="1:3" s="53" customFormat="1" x14ac:dyDescent="0.2">
      <c r="A219" s="249" t="s">
        <v>424</v>
      </c>
      <c r="B219" s="283">
        <v>60</v>
      </c>
      <c r="C219" s="263" t="s">
        <v>359</v>
      </c>
    </row>
    <row r="220" spans="1:3" s="53" customFormat="1" x14ac:dyDescent="0.2">
      <c r="A220" s="262" t="s">
        <v>425</v>
      </c>
      <c r="B220" s="283">
        <v>250</v>
      </c>
      <c r="C220" s="249" t="s">
        <v>26</v>
      </c>
    </row>
    <row r="221" spans="1:3" s="53" customFormat="1" x14ac:dyDescent="0.2">
      <c r="A221" s="262" t="s">
        <v>75</v>
      </c>
      <c r="B221" s="284">
        <v>25</v>
      </c>
      <c r="C221" s="249" t="s">
        <v>69</v>
      </c>
    </row>
    <row r="222" spans="1:3" s="53" customFormat="1" x14ac:dyDescent="0.2">
      <c r="A222" s="262" t="s">
        <v>426</v>
      </c>
      <c r="B222" s="283">
        <v>100</v>
      </c>
      <c r="C222" s="263" t="s">
        <v>54</v>
      </c>
    </row>
    <row r="223" spans="1:3" s="53" customFormat="1" x14ac:dyDescent="0.2">
      <c r="A223" s="249" t="s">
        <v>353</v>
      </c>
      <c r="B223" s="284">
        <v>1</v>
      </c>
      <c r="C223" s="247"/>
    </row>
    <row r="224" spans="1:3" s="53" customFormat="1" x14ac:dyDescent="0.2">
      <c r="A224" s="262" t="s">
        <v>56</v>
      </c>
      <c r="B224" s="284">
        <v>1</v>
      </c>
      <c r="C224" s="247"/>
    </row>
    <row r="225" spans="1:3" s="53" customFormat="1" x14ac:dyDescent="0.2">
      <c r="A225" s="262" t="s">
        <v>52</v>
      </c>
      <c r="B225" s="284">
        <v>0.4</v>
      </c>
      <c r="C225" s="247"/>
    </row>
    <row r="226" spans="1:3" s="53" customFormat="1" x14ac:dyDescent="0.2">
      <c r="A226" s="262" t="s">
        <v>62</v>
      </c>
      <c r="B226" s="284">
        <v>1</v>
      </c>
      <c r="C226" s="247"/>
    </row>
    <row r="227" spans="1:3" s="53" customFormat="1" x14ac:dyDescent="0.2">
      <c r="A227" s="262" t="s">
        <v>467</v>
      </c>
      <c r="B227" s="283">
        <v>4</v>
      </c>
      <c r="C227" s="249" t="s">
        <v>224</v>
      </c>
    </row>
    <row r="228" spans="1:3" s="53" customFormat="1" x14ac:dyDescent="0.2">
      <c r="A228" s="262" t="s">
        <v>468</v>
      </c>
      <c r="B228" s="283">
        <v>4</v>
      </c>
      <c r="C228" s="249" t="s">
        <v>224</v>
      </c>
    </row>
    <row r="229" spans="1:3" s="53" customFormat="1" x14ac:dyDescent="0.2">
      <c r="A229" s="262" t="s">
        <v>103</v>
      </c>
      <c r="B229" s="283">
        <v>0.4</v>
      </c>
      <c r="C229" s="247"/>
    </row>
    <row r="230" spans="1:3" s="53" customFormat="1" x14ac:dyDescent="0.2">
      <c r="A230" s="558" t="s">
        <v>427</v>
      </c>
      <c r="B230" s="558"/>
      <c r="C230" s="558"/>
    </row>
    <row r="231" spans="1:3" s="53" customFormat="1" x14ac:dyDescent="0.2">
      <c r="A231" s="249" t="s">
        <v>428</v>
      </c>
      <c r="B231" s="283">
        <v>60</v>
      </c>
      <c r="C231" s="263" t="s">
        <v>359</v>
      </c>
    </row>
    <row r="232" spans="1:3" s="53" customFormat="1" x14ac:dyDescent="0.2">
      <c r="A232" s="262" t="s">
        <v>40</v>
      </c>
      <c r="B232" s="283">
        <v>250</v>
      </c>
      <c r="C232" s="249" t="s">
        <v>26</v>
      </c>
    </row>
    <row r="233" spans="1:3" s="53" customFormat="1" x14ac:dyDescent="0.2">
      <c r="A233" s="262" t="s">
        <v>429</v>
      </c>
      <c r="B233" s="284">
        <v>25</v>
      </c>
      <c r="C233" s="249" t="s">
        <v>69</v>
      </c>
    </row>
    <row r="234" spans="1:3" s="53" customFormat="1" x14ac:dyDescent="0.2">
      <c r="A234" s="262" t="s">
        <v>79</v>
      </c>
      <c r="B234" s="283">
        <v>50</v>
      </c>
      <c r="C234" s="263" t="s">
        <v>54</v>
      </c>
    </row>
    <row r="235" spans="1:3" s="53" customFormat="1" x14ac:dyDescent="0.2">
      <c r="A235" s="249" t="s">
        <v>353</v>
      </c>
      <c r="B235" s="284">
        <v>1</v>
      </c>
      <c r="C235" s="247"/>
    </row>
    <row r="236" spans="1:3" s="53" customFormat="1" x14ac:dyDescent="0.2">
      <c r="A236" s="262" t="s">
        <v>56</v>
      </c>
      <c r="B236" s="284">
        <v>1</v>
      </c>
      <c r="C236" s="247"/>
    </row>
    <row r="237" spans="1:3" s="53" customFormat="1" x14ac:dyDescent="0.2">
      <c r="A237" s="262" t="s">
        <v>52</v>
      </c>
      <c r="B237" s="284">
        <v>0.4</v>
      </c>
      <c r="C237" s="247"/>
    </row>
    <row r="238" spans="1:3" s="53" customFormat="1" x14ac:dyDescent="0.2">
      <c r="A238" s="262" t="s">
        <v>62</v>
      </c>
      <c r="B238" s="284">
        <v>1</v>
      </c>
      <c r="C238" s="247"/>
    </row>
    <row r="239" spans="1:3" s="53" customFormat="1" x14ac:dyDescent="0.2">
      <c r="A239" s="262" t="s">
        <v>469</v>
      </c>
      <c r="B239" s="283">
        <v>0</v>
      </c>
      <c r="C239" s="249" t="s">
        <v>224</v>
      </c>
    </row>
    <row r="240" spans="1:3" s="53" customFormat="1" x14ac:dyDescent="0.2">
      <c r="A240" s="262" t="s">
        <v>470</v>
      </c>
      <c r="B240" s="283">
        <v>8</v>
      </c>
      <c r="C240" s="249" t="s">
        <v>224</v>
      </c>
    </row>
    <row r="241" spans="1:3" s="53" customFormat="1" x14ac:dyDescent="0.2">
      <c r="A241" s="262" t="s">
        <v>103</v>
      </c>
      <c r="B241" s="283">
        <v>0.4</v>
      </c>
      <c r="C241" s="247"/>
    </row>
    <row r="242" spans="1:3" s="53" customFormat="1" x14ac:dyDescent="0.2">
      <c r="A242" s="558" t="s">
        <v>430</v>
      </c>
      <c r="B242" s="558"/>
      <c r="C242" s="558"/>
    </row>
    <row r="243" spans="1:3" s="53" customFormat="1" x14ac:dyDescent="0.2">
      <c r="A243" s="249" t="s">
        <v>58</v>
      </c>
      <c r="B243" s="283">
        <v>60</v>
      </c>
      <c r="C243" s="263" t="s">
        <v>359</v>
      </c>
    </row>
    <row r="244" spans="1:3" s="53" customFormat="1" x14ac:dyDescent="0.2">
      <c r="A244" s="262" t="s">
        <v>431</v>
      </c>
      <c r="B244" s="283">
        <v>225</v>
      </c>
      <c r="C244" s="249" t="s">
        <v>26</v>
      </c>
    </row>
    <row r="245" spans="1:3" s="53" customFormat="1" x14ac:dyDescent="0.2">
      <c r="A245" s="262" t="s">
        <v>432</v>
      </c>
      <c r="B245" s="284">
        <v>25</v>
      </c>
      <c r="C245" s="249" t="s">
        <v>69</v>
      </c>
    </row>
    <row r="246" spans="1:3" s="53" customFormat="1" x14ac:dyDescent="0.2">
      <c r="A246" s="262" t="s">
        <v>433</v>
      </c>
      <c r="B246" s="283">
        <v>100</v>
      </c>
      <c r="C246" s="263" t="s">
        <v>54</v>
      </c>
    </row>
    <row r="247" spans="1:3" s="53" customFormat="1" x14ac:dyDescent="0.2">
      <c r="A247" s="249" t="s">
        <v>353</v>
      </c>
      <c r="B247" s="284">
        <v>1</v>
      </c>
      <c r="C247" s="247"/>
    </row>
    <row r="248" spans="1:3" s="53" customFormat="1" x14ac:dyDescent="0.2">
      <c r="A248" s="262" t="s">
        <v>56</v>
      </c>
      <c r="B248" s="284">
        <v>1</v>
      </c>
      <c r="C248" s="247"/>
    </row>
    <row r="249" spans="1:3" s="53" customFormat="1" x14ac:dyDescent="0.2">
      <c r="A249" s="262" t="s">
        <v>52</v>
      </c>
      <c r="B249" s="284">
        <v>0.4</v>
      </c>
      <c r="C249" s="247"/>
    </row>
    <row r="250" spans="1:3" s="53" customFormat="1" x14ac:dyDescent="0.2">
      <c r="A250" s="262" t="s">
        <v>62</v>
      </c>
      <c r="B250" s="284">
        <v>1</v>
      </c>
      <c r="C250" s="247"/>
    </row>
    <row r="251" spans="1:3" s="53" customFormat="1" x14ac:dyDescent="0.2">
      <c r="A251" s="262" t="s">
        <v>466</v>
      </c>
      <c r="B251" s="283">
        <v>8</v>
      </c>
      <c r="C251" s="249" t="s">
        <v>224</v>
      </c>
    </row>
    <row r="252" spans="1:3" s="53" customFormat="1" x14ac:dyDescent="0.2">
      <c r="A252" s="262" t="s">
        <v>465</v>
      </c>
      <c r="B252" s="283">
        <v>0</v>
      </c>
      <c r="C252" s="249" t="s">
        <v>224</v>
      </c>
    </row>
    <row r="253" spans="1:3" s="53" customFormat="1" x14ac:dyDescent="0.2">
      <c r="A253" s="262" t="s">
        <v>103</v>
      </c>
      <c r="B253" s="283">
        <v>0.4</v>
      </c>
      <c r="C253" s="247"/>
    </row>
    <row r="254" spans="1:3" s="53" customFormat="1" x14ac:dyDescent="0.2">
      <c r="A254" s="558" t="s">
        <v>434</v>
      </c>
      <c r="B254" s="558"/>
      <c r="C254" s="558"/>
    </row>
    <row r="255" spans="1:3" s="53" customFormat="1" x14ac:dyDescent="0.2">
      <c r="A255" s="249" t="s">
        <v>435</v>
      </c>
      <c r="B255" s="283">
        <v>60</v>
      </c>
      <c r="C255" s="263" t="s">
        <v>359</v>
      </c>
    </row>
    <row r="256" spans="1:3" s="53" customFormat="1" x14ac:dyDescent="0.2">
      <c r="A256" s="262" t="s">
        <v>221</v>
      </c>
      <c r="B256" s="283">
        <v>130</v>
      </c>
      <c r="C256" s="249" t="s">
        <v>26</v>
      </c>
    </row>
    <row r="257" spans="1:3" s="53" customFormat="1" x14ac:dyDescent="0.2">
      <c r="A257" s="262" t="s">
        <v>186</v>
      </c>
      <c r="B257" s="284">
        <v>1</v>
      </c>
      <c r="C257" s="249" t="s">
        <v>69</v>
      </c>
    </row>
    <row r="258" spans="1:3" s="53" customFormat="1" x14ac:dyDescent="0.2">
      <c r="A258" s="262" t="s">
        <v>436</v>
      </c>
      <c r="B258" s="283">
        <v>330</v>
      </c>
      <c r="C258" s="263" t="s">
        <v>54</v>
      </c>
    </row>
    <row r="259" spans="1:3" s="53" customFormat="1" x14ac:dyDescent="0.2">
      <c r="A259" s="249" t="s">
        <v>353</v>
      </c>
      <c r="B259" s="284">
        <v>1</v>
      </c>
      <c r="C259" s="247"/>
    </row>
    <row r="260" spans="1:3" s="53" customFormat="1" x14ac:dyDescent="0.2">
      <c r="A260" s="262" t="s">
        <v>56</v>
      </c>
      <c r="B260" s="284">
        <v>1</v>
      </c>
      <c r="C260" s="247"/>
    </row>
    <row r="261" spans="1:3" s="53" customFormat="1" x14ac:dyDescent="0.2">
      <c r="A261" s="262" t="s">
        <v>52</v>
      </c>
      <c r="B261" s="284">
        <v>0.4</v>
      </c>
      <c r="C261" s="247"/>
    </row>
    <row r="262" spans="1:3" s="53" customFormat="1" x14ac:dyDescent="0.2">
      <c r="A262" s="262" t="s">
        <v>62</v>
      </c>
      <c r="B262" s="284">
        <v>1</v>
      </c>
      <c r="C262" s="247"/>
    </row>
    <row r="263" spans="1:3" s="53" customFormat="1" x14ac:dyDescent="0.2">
      <c r="A263" s="262" t="s">
        <v>471</v>
      </c>
      <c r="B263" s="283">
        <v>8</v>
      </c>
      <c r="C263" s="249" t="s">
        <v>224</v>
      </c>
    </row>
    <row r="264" spans="1:3" s="53" customFormat="1" x14ac:dyDescent="0.2">
      <c r="A264" s="262" t="s">
        <v>472</v>
      </c>
      <c r="B264" s="283">
        <v>0</v>
      </c>
      <c r="C264" s="249" t="s">
        <v>224</v>
      </c>
    </row>
    <row r="265" spans="1:3" s="53" customFormat="1" x14ac:dyDescent="0.2">
      <c r="A265" s="262" t="s">
        <v>103</v>
      </c>
      <c r="B265" s="283">
        <v>0.4</v>
      </c>
      <c r="C265" s="247"/>
    </row>
    <row r="266" spans="1:3" s="53" customFormat="1" x14ac:dyDescent="0.2">
      <c r="A266" s="262" t="s">
        <v>220</v>
      </c>
      <c r="B266" s="283">
        <v>5</v>
      </c>
      <c r="C266" s="249" t="s">
        <v>129</v>
      </c>
    </row>
    <row r="267" spans="1:3" s="53" customFormat="1" x14ac:dyDescent="0.2">
      <c r="A267" s="262" t="s">
        <v>219</v>
      </c>
      <c r="B267" s="283">
        <v>26</v>
      </c>
      <c r="C267" s="249" t="s">
        <v>130</v>
      </c>
    </row>
    <row r="268" spans="1:3" s="53" customFormat="1" x14ac:dyDescent="0.2">
      <c r="A268" s="558" t="s">
        <v>437</v>
      </c>
      <c r="B268" s="558"/>
      <c r="C268" s="558"/>
    </row>
    <row r="269" spans="1:3" s="53" customFormat="1" x14ac:dyDescent="0.2">
      <c r="A269" s="249" t="s">
        <v>435</v>
      </c>
      <c r="B269" s="283">
        <v>60</v>
      </c>
      <c r="C269" s="263" t="s">
        <v>359</v>
      </c>
    </row>
    <row r="270" spans="1:3" s="53" customFormat="1" x14ac:dyDescent="0.2">
      <c r="A270" s="262" t="s">
        <v>221</v>
      </c>
      <c r="B270" s="283">
        <v>130</v>
      </c>
      <c r="C270" s="249" t="s">
        <v>26</v>
      </c>
    </row>
    <row r="271" spans="1:3" s="53" customFormat="1" x14ac:dyDescent="0.2">
      <c r="A271" s="262" t="s">
        <v>186</v>
      </c>
      <c r="B271" s="284">
        <v>1</v>
      </c>
      <c r="C271" s="249" t="s">
        <v>69</v>
      </c>
    </row>
    <row r="272" spans="1:3" s="53" customFormat="1" x14ac:dyDescent="0.2">
      <c r="A272" s="262" t="s">
        <v>436</v>
      </c>
      <c r="B272" s="283">
        <v>330</v>
      </c>
      <c r="C272" s="263" t="s">
        <v>54</v>
      </c>
    </row>
    <row r="273" spans="1:3" s="53" customFormat="1" x14ac:dyDescent="0.2">
      <c r="A273" s="262" t="s">
        <v>56</v>
      </c>
      <c r="B273" s="284">
        <v>1</v>
      </c>
      <c r="C273" s="247"/>
    </row>
    <row r="274" spans="1:3" s="53" customFormat="1" x14ac:dyDescent="0.2">
      <c r="A274" s="262" t="s">
        <v>52</v>
      </c>
      <c r="B274" s="284">
        <v>0.4</v>
      </c>
      <c r="C274" s="247"/>
    </row>
    <row r="275" spans="1:3" s="53" customFormat="1" x14ac:dyDescent="0.2">
      <c r="A275" s="262" t="s">
        <v>62</v>
      </c>
      <c r="B275" s="284">
        <v>1</v>
      </c>
      <c r="C275" s="247"/>
    </row>
    <row r="276" spans="1:3" s="53" customFormat="1" x14ac:dyDescent="0.2">
      <c r="A276" s="262" t="s">
        <v>471</v>
      </c>
      <c r="B276" s="283">
        <v>8</v>
      </c>
      <c r="C276" s="249" t="s">
        <v>224</v>
      </c>
    </row>
    <row r="277" spans="1:3" s="53" customFormat="1" x14ac:dyDescent="0.2">
      <c r="A277" s="262" t="s">
        <v>472</v>
      </c>
      <c r="B277" s="283">
        <v>0</v>
      </c>
      <c r="C277" s="249" t="s">
        <v>224</v>
      </c>
    </row>
    <row r="278" spans="1:3" s="53" customFormat="1" x14ac:dyDescent="0.2">
      <c r="A278" s="262" t="s">
        <v>103</v>
      </c>
      <c r="B278" s="283">
        <v>0.4</v>
      </c>
      <c r="C278" s="247"/>
    </row>
    <row r="279" spans="1:3" s="53" customFormat="1" x14ac:dyDescent="0.2">
      <c r="A279" s="262" t="s">
        <v>220</v>
      </c>
      <c r="B279" s="283">
        <v>5</v>
      </c>
      <c r="C279" s="249" t="s">
        <v>129</v>
      </c>
    </row>
    <row r="280" spans="1:3" s="53" customFormat="1" x14ac:dyDescent="0.2">
      <c r="A280" s="262" t="s">
        <v>219</v>
      </c>
      <c r="B280" s="283">
        <v>26</v>
      </c>
      <c r="C280" s="249" t="s">
        <v>130</v>
      </c>
    </row>
    <row r="281" spans="1:3" s="53" customFormat="1" x14ac:dyDescent="0.2">
      <c r="A281" s="663" t="s">
        <v>576</v>
      </c>
      <c r="B281" s="663"/>
      <c r="C281" s="663"/>
    </row>
    <row r="282" spans="1:3" s="53" customFormat="1" x14ac:dyDescent="0.2">
      <c r="A282" s="263" t="s">
        <v>577</v>
      </c>
      <c r="B282" s="283">
        <v>1.5</v>
      </c>
      <c r="C282" s="249"/>
    </row>
    <row r="283" spans="1:3" s="53" customFormat="1" x14ac:dyDescent="0.2">
      <c r="A283" s="249" t="s">
        <v>100</v>
      </c>
      <c r="B283" s="283">
        <v>0.3</v>
      </c>
      <c r="C283" s="249"/>
    </row>
    <row r="284" spans="1:3" s="53" customFormat="1" x14ac:dyDescent="0.2">
      <c r="A284" s="249" t="s">
        <v>107</v>
      </c>
      <c r="B284" s="283">
        <v>26</v>
      </c>
      <c r="C284" s="249" t="s">
        <v>69</v>
      </c>
    </row>
    <row r="285" spans="1:3" s="53" customFormat="1" x14ac:dyDescent="0.2">
      <c r="A285" s="263" t="s">
        <v>39</v>
      </c>
      <c r="B285" s="283">
        <v>70</v>
      </c>
      <c r="C285" s="249" t="s">
        <v>69</v>
      </c>
    </row>
    <row r="286" spans="1:3" s="53" customFormat="1" x14ac:dyDescent="0.2">
      <c r="A286" s="263" t="s">
        <v>83</v>
      </c>
      <c r="B286" s="283">
        <v>1</v>
      </c>
      <c r="C286" s="249" t="s">
        <v>108</v>
      </c>
    </row>
    <row r="287" spans="1:3" s="53" customFormat="1" x14ac:dyDescent="0.2">
      <c r="A287" s="249" t="s">
        <v>109</v>
      </c>
      <c r="B287" s="283">
        <v>1</v>
      </c>
      <c r="C287" s="249" t="s">
        <v>110</v>
      </c>
    </row>
    <row r="288" spans="1:3" s="53" customFormat="1" x14ac:dyDescent="0.2">
      <c r="A288" s="249" t="s">
        <v>114</v>
      </c>
      <c r="B288" s="283">
        <v>0.18</v>
      </c>
      <c r="C288" s="249" t="s">
        <v>108</v>
      </c>
    </row>
    <row r="289" spans="1:3" s="53" customFormat="1" x14ac:dyDescent="0.2">
      <c r="A289" s="249" t="s">
        <v>116</v>
      </c>
      <c r="B289" s="283">
        <v>1</v>
      </c>
      <c r="C289" s="249" t="s">
        <v>113</v>
      </c>
    </row>
    <row r="290" spans="1:3" s="53" customFormat="1" x14ac:dyDescent="0.2">
      <c r="A290" s="249" t="s">
        <v>118</v>
      </c>
      <c r="B290" s="283">
        <v>1</v>
      </c>
      <c r="C290" s="249" t="s">
        <v>113</v>
      </c>
    </row>
    <row r="291" spans="1:3" s="53" customFormat="1" x14ac:dyDescent="0.2">
      <c r="A291" s="249" t="s">
        <v>119</v>
      </c>
      <c r="B291" s="283">
        <v>1</v>
      </c>
      <c r="C291" s="249" t="s">
        <v>113</v>
      </c>
    </row>
    <row r="293" spans="1:3" s="53" customFormat="1" x14ac:dyDescent="0.2">
      <c r="A293" s="95" t="s">
        <v>299</v>
      </c>
      <c r="B293" s="284">
        <v>27.027027027027</v>
      </c>
      <c r="C293" s="249"/>
    </row>
  </sheetData>
  <mergeCells count="336">
    <mergeCell ref="A281:C281"/>
    <mergeCell ref="FW1:FY1"/>
    <mergeCell ref="D41:F41"/>
    <mergeCell ref="BN21:BN23"/>
    <mergeCell ref="BO21:BO23"/>
    <mergeCell ref="HD21:HF21"/>
    <mergeCell ref="V23:X23"/>
    <mergeCell ref="Y23:AA23"/>
    <mergeCell ref="BF21:BF23"/>
    <mergeCell ref="BJ21:BJ23"/>
    <mergeCell ref="BK21:BK23"/>
    <mergeCell ref="BL21:BL23"/>
    <mergeCell ref="BM21:BM23"/>
    <mergeCell ref="BA21:BA23"/>
    <mergeCell ref="BB21:BB23"/>
    <mergeCell ref="BC21:BC23"/>
    <mergeCell ref="BD21:BD23"/>
    <mergeCell ref="BE21:BE23"/>
    <mergeCell ref="AS21:AS23"/>
    <mergeCell ref="AT21:AT23"/>
    <mergeCell ref="AU21:AU23"/>
    <mergeCell ref="AV21:AV23"/>
    <mergeCell ref="AW21:AW23"/>
    <mergeCell ref="BD20:BF20"/>
    <mergeCell ref="BJ20:BL20"/>
    <mergeCell ref="BM20:BO20"/>
    <mergeCell ref="M21:M23"/>
    <mergeCell ref="N21:N23"/>
    <mergeCell ref="O21:O23"/>
    <mergeCell ref="P21:P23"/>
    <mergeCell ref="Q21:Q23"/>
    <mergeCell ref="R21:R23"/>
    <mergeCell ref="AI21:AI23"/>
    <mergeCell ref="AJ21:AJ23"/>
    <mergeCell ref="AK21:AK23"/>
    <mergeCell ref="AL21:AL23"/>
    <mergeCell ref="AM21:AM23"/>
    <mergeCell ref="AN21:AN23"/>
    <mergeCell ref="AR21:AR23"/>
    <mergeCell ref="AI20:AK20"/>
    <mergeCell ref="AL20:AN20"/>
    <mergeCell ref="AR20:AT20"/>
    <mergeCell ref="AU20:AW20"/>
    <mergeCell ref="BA20:BC20"/>
    <mergeCell ref="CO19:CO21"/>
    <mergeCell ref="CP19:CP21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CB19:CB21"/>
    <mergeCell ref="CC19:CC21"/>
    <mergeCell ref="CD19:CD21"/>
    <mergeCell ref="CE19:CE21"/>
    <mergeCell ref="CF19:CF21"/>
    <mergeCell ref="HA2:HA4"/>
    <mergeCell ref="HB2:HB4"/>
    <mergeCell ref="HC2:HC4"/>
    <mergeCell ref="CB18:CD18"/>
    <mergeCell ref="CE18:CG18"/>
    <mergeCell ref="CK18:CM18"/>
    <mergeCell ref="CN18:CP18"/>
    <mergeCell ref="CQ18:CS18"/>
    <mergeCell ref="GV2:GV4"/>
    <mergeCell ref="GW2:GW4"/>
    <mergeCell ref="GX2:GX4"/>
    <mergeCell ref="GY2:GY4"/>
    <mergeCell ref="GZ2:GZ4"/>
    <mergeCell ref="GQ2:GQ4"/>
    <mergeCell ref="GR2:GR4"/>
    <mergeCell ref="GS2:GS4"/>
    <mergeCell ref="GT2:GT4"/>
    <mergeCell ref="GU2:GU4"/>
    <mergeCell ref="GL2:GL4"/>
    <mergeCell ref="GM2:GM4"/>
    <mergeCell ref="GN2:GN4"/>
    <mergeCell ref="GO2:GO4"/>
    <mergeCell ref="GP2:GP4"/>
    <mergeCell ref="GG2:GG4"/>
    <mergeCell ref="GH2:GH4"/>
    <mergeCell ref="GI2:GI4"/>
    <mergeCell ref="GJ2:GJ4"/>
    <mergeCell ref="GK2:GK4"/>
    <mergeCell ref="GB2:GB4"/>
    <mergeCell ref="GC2:GC4"/>
    <mergeCell ref="GD2:GD4"/>
    <mergeCell ref="GE2:GE4"/>
    <mergeCell ref="GF2:GF4"/>
    <mergeCell ref="FW2:FW4"/>
    <mergeCell ref="FX2:FX4"/>
    <mergeCell ref="FY2:FY4"/>
    <mergeCell ref="FZ2:FZ4"/>
    <mergeCell ref="GA2:GA4"/>
    <mergeCell ref="FR2:FR4"/>
    <mergeCell ref="FS2:FS4"/>
    <mergeCell ref="FT2:FT4"/>
    <mergeCell ref="FU2:FU4"/>
    <mergeCell ref="FV2:FV4"/>
    <mergeCell ref="FM2:FM4"/>
    <mergeCell ref="FN2:FN4"/>
    <mergeCell ref="FO2:FO4"/>
    <mergeCell ref="FP2:FP4"/>
    <mergeCell ref="FQ2:FQ4"/>
    <mergeCell ref="FH2:FH4"/>
    <mergeCell ref="FI2:FI4"/>
    <mergeCell ref="FJ2:FJ4"/>
    <mergeCell ref="FK2:FK4"/>
    <mergeCell ref="FL2:FL4"/>
    <mergeCell ref="FC2:FC4"/>
    <mergeCell ref="FD2:FD4"/>
    <mergeCell ref="FE2:FE4"/>
    <mergeCell ref="FF2:FF4"/>
    <mergeCell ref="FG2:FG4"/>
    <mergeCell ref="EX2:EX4"/>
    <mergeCell ref="EY2:EY4"/>
    <mergeCell ref="EZ2:EZ4"/>
    <mergeCell ref="FA2:FA4"/>
    <mergeCell ref="FB2:FB4"/>
    <mergeCell ref="ES2:ES4"/>
    <mergeCell ref="ET2:ET4"/>
    <mergeCell ref="EU2:EU4"/>
    <mergeCell ref="EV2:EV4"/>
    <mergeCell ref="EW2:EW4"/>
    <mergeCell ref="EN2:EN4"/>
    <mergeCell ref="EO2:EO4"/>
    <mergeCell ref="EP2:EP4"/>
    <mergeCell ref="EQ2:EQ4"/>
    <mergeCell ref="ER2:ER4"/>
    <mergeCell ref="EI2:EI4"/>
    <mergeCell ref="EJ2:EJ4"/>
    <mergeCell ref="EK2:EK4"/>
    <mergeCell ref="EL2:EL4"/>
    <mergeCell ref="EM2:EM4"/>
    <mergeCell ref="ED2:ED4"/>
    <mergeCell ref="EE2:EE4"/>
    <mergeCell ref="EF2:EF4"/>
    <mergeCell ref="EG2:EG4"/>
    <mergeCell ref="EH2:EH4"/>
    <mergeCell ref="DY2:DY4"/>
    <mergeCell ref="DZ2:DZ4"/>
    <mergeCell ref="EA2:EA4"/>
    <mergeCell ref="EB2:EB4"/>
    <mergeCell ref="EC2:EC4"/>
    <mergeCell ref="DT2:DT4"/>
    <mergeCell ref="DU2:DU4"/>
    <mergeCell ref="DV2:DV4"/>
    <mergeCell ref="DW2:DW4"/>
    <mergeCell ref="DX2:DX4"/>
    <mergeCell ref="DO2:DO4"/>
    <mergeCell ref="DP2:DP4"/>
    <mergeCell ref="DQ2:DQ4"/>
    <mergeCell ref="DR2:DR4"/>
    <mergeCell ref="DS2:DS4"/>
    <mergeCell ref="DJ2:DJ4"/>
    <mergeCell ref="DK2:DK4"/>
    <mergeCell ref="DL2:DL4"/>
    <mergeCell ref="DM2:DM4"/>
    <mergeCell ref="DN2:DN4"/>
    <mergeCell ref="DE2:DE4"/>
    <mergeCell ref="DF2:DF4"/>
    <mergeCell ref="DG2:DG4"/>
    <mergeCell ref="DH2:DH4"/>
    <mergeCell ref="DI2:DI4"/>
    <mergeCell ref="CQ2:CQ4"/>
    <mergeCell ref="CR2:CR4"/>
    <mergeCell ref="CS2:CS4"/>
    <mergeCell ref="DC2:DC4"/>
    <mergeCell ref="DD2:DD4"/>
    <mergeCell ref="CL2:CL4"/>
    <mergeCell ref="CM2:CM4"/>
    <mergeCell ref="CN2:CN4"/>
    <mergeCell ref="CO2:CO4"/>
    <mergeCell ref="CP2:CP4"/>
    <mergeCell ref="CG2:CG4"/>
    <mergeCell ref="CH2:CH4"/>
    <mergeCell ref="CI2:CI4"/>
    <mergeCell ref="CJ2:CJ4"/>
    <mergeCell ref="CK2:CK4"/>
    <mergeCell ref="CB2:CB4"/>
    <mergeCell ref="CC2:CC4"/>
    <mergeCell ref="CD2:CD4"/>
    <mergeCell ref="CE2:CE4"/>
    <mergeCell ref="CF2:CF4"/>
    <mergeCell ref="BW2:BW4"/>
    <mergeCell ref="BX2:BX4"/>
    <mergeCell ref="BY2:BY4"/>
    <mergeCell ref="BZ2:BZ4"/>
    <mergeCell ref="CA2:CA4"/>
    <mergeCell ref="BO2:BO4"/>
    <mergeCell ref="BP2:BP4"/>
    <mergeCell ref="BQ2:BQ4"/>
    <mergeCell ref="BR2:BR4"/>
    <mergeCell ref="BV2:BV4"/>
    <mergeCell ref="BJ2:BJ4"/>
    <mergeCell ref="BK2:BK4"/>
    <mergeCell ref="BL2:BL4"/>
    <mergeCell ref="BM2:BM4"/>
    <mergeCell ref="BN2:BN4"/>
    <mergeCell ref="BE2:BE4"/>
    <mergeCell ref="BF2:BF4"/>
    <mergeCell ref="BG2:BG4"/>
    <mergeCell ref="BH2:BH4"/>
    <mergeCell ref="BI2:BI4"/>
    <mergeCell ref="AZ2:AZ4"/>
    <mergeCell ref="BA2:BA4"/>
    <mergeCell ref="BB2:BB4"/>
    <mergeCell ref="BC2:BC4"/>
    <mergeCell ref="BD2:BD4"/>
    <mergeCell ref="AU2:AU4"/>
    <mergeCell ref="AV2:AV4"/>
    <mergeCell ref="AW2:AW4"/>
    <mergeCell ref="AX2:AX4"/>
    <mergeCell ref="AY2:AY4"/>
    <mergeCell ref="AP2:AP4"/>
    <mergeCell ref="AQ2:AQ4"/>
    <mergeCell ref="AR2:AR4"/>
    <mergeCell ref="AS2:AS4"/>
    <mergeCell ref="AT2:AT4"/>
    <mergeCell ref="GX1:GZ1"/>
    <mergeCell ref="HA1:HC1"/>
    <mergeCell ref="HD1:HF1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N2:AN4"/>
    <mergeCell ref="AO2:AO4"/>
    <mergeCell ref="GI1:GK1"/>
    <mergeCell ref="GL1:GN1"/>
    <mergeCell ref="GO1:GQ1"/>
    <mergeCell ref="GR1:GT1"/>
    <mergeCell ref="GU1:GW1"/>
    <mergeCell ref="FT1:FV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BD1:BF1"/>
    <mergeCell ref="BG1:BI1"/>
    <mergeCell ref="BJ1:BL1"/>
    <mergeCell ref="BM1:BO1"/>
    <mergeCell ref="BP1:BR1"/>
    <mergeCell ref="AO1:AQ1"/>
    <mergeCell ref="AR1:AT1"/>
    <mergeCell ref="AU1:AW1"/>
    <mergeCell ref="AX1:AZ1"/>
    <mergeCell ref="BA1:BC1"/>
    <mergeCell ref="AL1:AN1"/>
    <mergeCell ref="U2:U4"/>
    <mergeCell ref="M20:O20"/>
    <mergeCell ref="P20:R20"/>
    <mergeCell ref="P1:R1"/>
    <mergeCell ref="S1:U1"/>
    <mergeCell ref="P2:P4"/>
    <mergeCell ref="Q2:Q4"/>
    <mergeCell ref="R2:R4"/>
    <mergeCell ref="S2:S4"/>
    <mergeCell ref="T2:T4"/>
    <mergeCell ref="K2:K4"/>
    <mergeCell ref="L2:L4"/>
    <mergeCell ref="M2:M4"/>
    <mergeCell ref="N2:N4"/>
    <mergeCell ref="O2:O4"/>
    <mergeCell ref="V1:X1"/>
    <mergeCell ref="Y1:AA1"/>
    <mergeCell ref="AB1:AB4"/>
    <mergeCell ref="AI1:AK1"/>
    <mergeCell ref="CC35:CG38"/>
    <mergeCell ref="BK40:BO43"/>
    <mergeCell ref="AF42:AH44"/>
    <mergeCell ref="A1:C1"/>
    <mergeCell ref="A14:C17"/>
    <mergeCell ref="A2:C2"/>
    <mergeCell ref="A5:C5"/>
    <mergeCell ref="A98:C98"/>
    <mergeCell ref="A268:C268"/>
    <mergeCell ref="D1:F1"/>
    <mergeCell ref="G1:I1"/>
    <mergeCell ref="J1:L1"/>
    <mergeCell ref="M1:O1"/>
    <mergeCell ref="D29:F29"/>
    <mergeCell ref="A132:C132"/>
    <mergeCell ref="A218:C218"/>
    <mergeCell ref="A230:C230"/>
    <mergeCell ref="A242:C242"/>
    <mergeCell ref="A254:C254"/>
    <mergeCell ref="A50:C50"/>
    <mergeCell ref="G2:G4"/>
    <mergeCell ref="H2:H4"/>
    <mergeCell ref="I2:I4"/>
    <mergeCell ref="J2:J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3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13" style="249" bestFit="1" customWidth="1"/>
    <col min="3" max="3" width="20.140625" style="249" bestFit="1" customWidth="1"/>
    <col min="4" max="4" width="10" style="249" bestFit="1" customWidth="1"/>
    <col min="5" max="5" width="13" style="289" bestFit="1" customWidth="1"/>
    <col min="6" max="6" width="20.140625" style="249" bestFit="1" customWidth="1"/>
    <col min="7" max="7" width="15" style="249" bestFit="1" customWidth="1"/>
    <col min="8" max="8" width="9.85546875" style="289" bestFit="1" customWidth="1"/>
    <col min="9" max="9" width="14.42578125" style="249" bestFit="1" customWidth="1"/>
    <col min="10" max="10" width="15" style="249" bestFit="1" customWidth="1"/>
    <col min="11" max="11" width="13" style="289" bestFit="1" customWidth="1"/>
    <col min="12" max="12" width="17.140625" style="249" bestFit="1" customWidth="1"/>
    <col min="13" max="13" width="11" style="249" bestFit="1" customWidth="1"/>
    <col min="14" max="14" width="13" style="289" bestFit="1" customWidth="1"/>
    <col min="15" max="15" width="21.28515625" style="249" bestFit="1" customWidth="1"/>
    <col min="16" max="16" width="12.42578125" style="249" bestFit="1" customWidth="1"/>
    <col min="17" max="17" width="13" style="289" bestFit="1" customWidth="1"/>
    <col min="18" max="18" width="18.7109375" style="249" bestFit="1" customWidth="1"/>
    <col min="19" max="19" width="13.5703125" style="249" bestFit="1" customWidth="1"/>
    <col min="20" max="20" width="13" style="289" bestFit="1" customWidth="1"/>
    <col min="21" max="21" width="18.7109375" style="249" bestFit="1" customWidth="1"/>
    <col min="22" max="22" width="10" style="249" bestFit="1" customWidth="1"/>
    <col min="23" max="23" width="13" style="289" bestFit="1" customWidth="1"/>
    <col min="24" max="24" width="17.42578125" style="249" bestFit="1" customWidth="1"/>
    <col min="25" max="25" width="10" style="249" bestFit="1" customWidth="1"/>
    <col min="26" max="26" width="13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13" style="289" bestFit="1" customWidth="1"/>
    <col min="37" max="37" width="17.42578125" style="249" bestFit="1" customWidth="1"/>
    <col min="38" max="38" width="11" style="249" bestFit="1" customWidth="1"/>
    <col min="39" max="39" width="13" style="289" bestFit="1" customWidth="1"/>
    <col min="40" max="40" width="16.42578125" style="249" bestFit="1" customWidth="1"/>
    <col min="41" max="41" width="12.7109375" style="249" bestFit="1" customWidth="1"/>
    <col min="42" max="42" width="13" style="289" bestFit="1" customWidth="1"/>
    <col min="43" max="43" width="16.42578125" style="249" bestFit="1" customWidth="1"/>
    <col min="44" max="44" width="9.5703125" style="249" bestFit="1" customWidth="1"/>
    <col min="45" max="45" width="13" style="289" bestFit="1" customWidth="1"/>
    <col min="46" max="46" width="17.42578125" style="249" bestFit="1" customWidth="1"/>
    <col min="47" max="47" width="11" style="249" bestFit="1" customWidth="1"/>
    <col min="48" max="48" width="13" style="289" bestFit="1" customWidth="1"/>
    <col min="49" max="49" width="16.42578125" style="249" bestFit="1" customWidth="1"/>
    <col min="50" max="50" width="12.7109375" style="249" bestFit="1" customWidth="1"/>
    <col min="51" max="51" width="13" style="289" bestFit="1" customWidth="1"/>
    <col min="52" max="52" width="16.42578125" style="249" bestFit="1" customWidth="1"/>
    <col min="53" max="53" width="9.5703125" style="249" bestFit="1" customWidth="1"/>
    <col min="54" max="54" width="13" style="289" bestFit="1" customWidth="1"/>
    <col min="55" max="55" width="17.42578125" style="249" bestFit="1" customWidth="1"/>
    <col min="56" max="56" width="11" style="249" bestFit="1" customWidth="1"/>
    <col min="57" max="57" width="13" style="289" bestFit="1" customWidth="1"/>
    <col min="58" max="58" width="16.42578125" style="249" bestFit="1" customWidth="1"/>
    <col min="59" max="59" width="12.7109375" style="249" bestFit="1" customWidth="1"/>
    <col min="60" max="60" width="13" style="289" bestFit="1" customWidth="1"/>
    <col min="61" max="61" width="16.42578125" style="249" bestFit="1" customWidth="1"/>
    <col min="62" max="62" width="11" style="249" bestFit="1" customWidth="1"/>
    <col min="63" max="63" width="13" style="289" bestFit="1" customWidth="1"/>
    <col min="64" max="64" width="17.42578125" style="249" bestFit="1" customWidth="1"/>
    <col min="65" max="65" width="12.42578125" style="249" bestFit="1" customWidth="1"/>
    <col min="66" max="66" width="13" style="289" bestFit="1" customWidth="1"/>
    <col min="67" max="67" width="16.42578125" style="249" bestFit="1" customWidth="1"/>
    <col min="68" max="68" width="13.5703125" style="249" bestFit="1" customWidth="1"/>
    <col min="69" max="69" width="13" style="289" bestFit="1" customWidth="1"/>
    <col min="70" max="70" width="16.42578125" style="249" bestFit="1" customWidth="1"/>
    <col min="71" max="71" width="10" style="249" bestFit="1" customWidth="1"/>
    <col min="72" max="72" width="13" style="289" bestFit="1" customWidth="1"/>
    <col min="73" max="73" width="17.42578125" style="249" bestFit="1" customWidth="1"/>
    <col min="74" max="74" width="11.5703125" style="249" bestFit="1" customWidth="1"/>
    <col min="75" max="75" width="13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13" style="289" bestFit="1" customWidth="1"/>
    <col min="82" max="82" width="17.42578125" style="249" bestFit="1" customWidth="1"/>
    <col min="83" max="83" width="12.42578125" style="249" bestFit="1" customWidth="1"/>
    <col min="84" max="84" width="13" style="289" bestFit="1" customWidth="1"/>
    <col min="85" max="85" width="16.42578125" style="249" bestFit="1" customWidth="1"/>
    <col min="86" max="86" width="13.5703125" style="249" bestFit="1" customWidth="1"/>
    <col min="87" max="87" width="13" style="289" bestFit="1" customWidth="1"/>
    <col min="88" max="88" width="16.42578125" style="249" bestFit="1" customWidth="1"/>
    <col min="89" max="89" width="8.7109375" style="249" bestFit="1" customWidth="1"/>
    <col min="90" max="90" width="13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" style="249" bestFit="1" customWidth="1"/>
    <col min="98" max="98" width="14.5703125" style="249" bestFit="1" customWidth="1"/>
    <col min="99" max="99" width="13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13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5.57031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13" style="289" bestFit="1" customWidth="1"/>
    <col min="124" max="124" width="10" style="249" bestFit="1" customWidth="1"/>
    <col min="125" max="125" width="9.85546875" style="249" bestFit="1" customWidth="1"/>
    <col min="126" max="126" width="8.85546875" style="289" bestFit="1" customWidth="1"/>
    <col min="127" max="127" width="6" style="249" bestFit="1" customWidth="1"/>
    <col min="128" max="128" width="12" style="249" bestFit="1" customWidth="1"/>
    <col min="129" max="129" width="8.85546875" style="289" bestFit="1" customWidth="1"/>
    <col min="130" max="130" width="5.57031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8.85546875" style="289" bestFit="1" customWidth="1"/>
    <col min="142" max="142" width="6" style="249" bestFit="1" customWidth="1"/>
    <col min="143" max="143" width="12" style="249" bestFit="1" customWidth="1"/>
    <col min="144" max="144" width="8.85546875" style="289" bestFit="1" customWidth="1"/>
    <col min="145" max="145" width="5.5703125" style="249" bestFit="1" customWidth="1"/>
    <col min="146" max="146" width="12" style="249" bestFit="1" customWidth="1"/>
    <col min="147" max="147" width="8.85546875" style="289" bestFit="1" customWidth="1"/>
    <col min="148" max="148" width="5.57031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" style="249" bestFit="1" customWidth="1"/>
    <col min="158" max="158" width="8.5703125" style="249" bestFit="1" customWidth="1"/>
    <col min="159" max="159" width="8.85546875" style="289" bestFit="1" customWidth="1"/>
    <col min="160" max="160" width="5.5703125" style="249" bestFit="1" customWidth="1"/>
    <col min="161" max="161" width="10.140625" style="249" bestFit="1" customWidth="1"/>
    <col min="162" max="162" width="8.8554687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5.5703125" style="249" bestFit="1" customWidth="1"/>
    <col min="173" max="173" width="4.85546875" style="249" bestFit="1" customWidth="1"/>
    <col min="174" max="174" width="9.28515625" style="289" bestFit="1" customWidth="1"/>
    <col min="175" max="175" width="5.5703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" style="249" bestFit="1" customWidth="1"/>
    <col min="188" max="188" width="12" style="249" bestFit="1" customWidth="1"/>
    <col min="189" max="189" width="9.28515625" style="289" bestFit="1" customWidth="1"/>
    <col min="190" max="190" width="5.5703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8.85546875" style="289" bestFit="1" customWidth="1"/>
    <col min="202" max="202" width="6" style="249" bestFit="1" customWidth="1"/>
    <col min="203" max="203" width="12" style="249" bestFit="1" customWidth="1"/>
    <col min="204" max="204" width="8.85546875" style="289" bestFit="1" customWidth="1"/>
    <col min="205" max="205" width="5.5703125" style="249" bestFit="1" customWidth="1"/>
    <col min="206" max="206" width="12" style="249" bestFit="1" customWidth="1"/>
    <col min="207" max="207" width="8.8554687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customHeight="1" thickTop="1" thickBot="1" x14ac:dyDescent="0.25">
      <c r="A1" s="682" t="s">
        <v>8</v>
      </c>
      <c r="B1" s="683"/>
      <c r="C1" s="684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4"/>
      <c r="P1" s="645" t="s">
        <v>512</v>
      </c>
      <c r="Q1" s="613"/>
      <c r="R1" s="614"/>
      <c r="S1" s="645" t="s">
        <v>513</v>
      </c>
      <c r="T1" s="613"/>
      <c r="U1" s="646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1/((1/H10)+(1/H12)+(1/H13))</f>
        <v>4.4128886115829345E-2</v>
      </c>
      <c r="I2" s="625" t="s">
        <v>304</v>
      </c>
      <c r="J2" s="619" t="s">
        <v>507</v>
      </c>
      <c r="K2" s="623">
        <f>1/((1/K14)+(1/K15)+(1/K16)+(1/K17))</f>
        <v>1.7256750215202327E-3</v>
      </c>
      <c r="L2" s="621" t="s">
        <v>303</v>
      </c>
      <c r="M2" s="617" t="s">
        <v>516</v>
      </c>
      <c r="N2" s="647">
        <f>((N5*N6*N7)/((1-EXP(-N7*N6))*N10*N15*(N9/365)*N13*(((N14/24)*N12)+((N16/24)*N11))))/N17</f>
        <v>2.2444977811285952E-3</v>
      </c>
      <c r="O2" s="689" t="s">
        <v>303</v>
      </c>
      <c r="P2" s="639" t="s">
        <v>516</v>
      </c>
      <c r="Q2" s="647">
        <f>((Q5*Q6*Q7)/((1-EXP(-Q7*Q6))*Q10*Q15*(Q9/365)*Q13*(((Q14/24)*Q12)+((Q16/24)*Q11))))/Q17</f>
        <v>1.0989531103450028E-2</v>
      </c>
      <c r="R2" s="637" t="s">
        <v>303</v>
      </c>
      <c r="S2" s="639" t="s">
        <v>516</v>
      </c>
      <c r="T2" s="647">
        <f>((T5*T6*T7)/((1-EXP(-T7*T6))*T10*T15*(T9/365)*T13*(((T14/24)*T12)+((T16/24)*T11))))/T17</f>
        <v>2.5105980335304399E-3</v>
      </c>
      <c r="U2" s="643" t="s">
        <v>303</v>
      </c>
      <c r="V2" s="55"/>
      <c r="W2" s="357"/>
      <c r="X2" s="56"/>
      <c r="Y2" s="57"/>
      <c r="Z2" s="357"/>
      <c r="AA2" s="58"/>
      <c r="AB2" s="650"/>
      <c r="AC2" s="660">
        <f>1/((1/AC32)+(1/AC33)+(1/AC34))</f>
        <v>3.3583803393972427E-3</v>
      </c>
      <c r="AD2" s="657">
        <f>1/((1/AD32)+(1/AD33)+(1/AD34))</f>
        <v>8.3930637448524411E-3</v>
      </c>
      <c r="AE2" s="657">
        <f>1/((1/AE32)+(1/AE33)+(1/AE34))</f>
        <v>3.7315337104413802E-3</v>
      </c>
      <c r="AF2" s="657">
        <f>1/((1/AF32)+(1/AF33)+(1/AF34))</f>
        <v>1.8049100570681729</v>
      </c>
      <c r="AG2" s="654">
        <f>1/((1/AG32)+(1/AG33)+(1/AG34))</f>
        <v>1.8376903865711776</v>
      </c>
      <c r="AH2" s="652" t="s">
        <v>303</v>
      </c>
      <c r="AI2" s="381" t="s">
        <v>516</v>
      </c>
      <c r="AJ2" s="387">
        <f>((AJ5*AJ6*AJ7)/((1-EXP(-AJ7*AJ6))*AJ15*(AJ9/365)*AJ10*(AJ16/24)*AJ11*AJ13))/AJ17</f>
        <v>8.4074890878590713E-3</v>
      </c>
      <c r="AK2" s="629" t="s">
        <v>303</v>
      </c>
      <c r="AL2" s="383" t="s">
        <v>516</v>
      </c>
      <c r="AM2" s="387">
        <f>((AM5*AM6*AM7)/((1-EXP(-AM7*AM6))*AM15*(AM9/365)*AM10*(AM16/24)*AM11*AM13))/AM17</f>
        <v>4.1164826987035621E-2</v>
      </c>
      <c r="AN2" s="629" t="s">
        <v>303</v>
      </c>
      <c r="AO2" s="383" t="s">
        <v>516</v>
      </c>
      <c r="AP2" s="387">
        <f>((AP5*AP6*AP7)/((1-EXP(-AP7*AP6))*AP15*(AP9/365)*AP10*(AP16/24)*AP11*AP13))/AP17</f>
        <v>9.4042532580691698E-3</v>
      </c>
      <c r="AQ2" s="635" t="s">
        <v>303</v>
      </c>
      <c r="AR2" s="381" t="s">
        <v>516</v>
      </c>
      <c r="AS2" s="387">
        <f>((AS5*AS6*AS7)/((1-EXP(-AS7*AS6))*AS15*(AS9/365)*AS10*(AS14/24)*AS12*AS13))/AS17</f>
        <v>3.7366618168262538E-3</v>
      </c>
      <c r="AT2" s="391" t="s">
        <v>303</v>
      </c>
      <c r="AU2" s="383" t="s">
        <v>516</v>
      </c>
      <c r="AV2" s="387">
        <f>((AV5*AV6*AV7)/((1-EXP(-AV7*AV6))*AV15*(AV9/365)*AV10*(AV14/24)*AV12*AV13))/AV17</f>
        <v>1.829547866090472E-2</v>
      </c>
      <c r="AW2" s="391" t="s">
        <v>303</v>
      </c>
      <c r="AX2" s="383" t="s">
        <v>516</v>
      </c>
      <c r="AY2" s="387">
        <f>((AY5*AY6*AY7)/((1-EXP(-AY7*AY6))*AY15*(AY9/365)*AY10*(AY14/24)*AY12*AY13))/AY17</f>
        <v>4.1796681146974079E-3</v>
      </c>
      <c r="AZ2" s="385" t="s">
        <v>303</v>
      </c>
      <c r="BA2" s="381" t="s">
        <v>516</v>
      </c>
      <c r="BB2" s="387">
        <f>((BB5*BB6*BB7)/((1-EXP(-BB7*BB6))*BB15*(BB9/365)*BB10*((BB14+BB16)/24)*BB12*BB13))/BB17</f>
        <v>3.3629956351436288E-3</v>
      </c>
      <c r="BC2" s="391" t="s">
        <v>303</v>
      </c>
      <c r="BD2" s="383" t="s">
        <v>516</v>
      </c>
      <c r="BE2" s="387">
        <f>((BE5*BE6*BE7)/((1-EXP(-BE7*BE6))*BE15*(BE9/365)*BE10*((BE14+BE16)/24)*BE12*BE13))/BE17</f>
        <v>1.6465930794814249E-2</v>
      </c>
      <c r="BF2" s="391" t="s">
        <v>303</v>
      </c>
      <c r="BG2" s="383" t="s">
        <v>516</v>
      </c>
      <c r="BH2" s="387">
        <f>((BH5*BH6*BH7)/((1-EXP(-BH7*BH6))*BH15*(BH9/365)*BH10*((BH14+BH16)/24)*BH12*BH13))/BH17</f>
        <v>3.7617013032276683E-3</v>
      </c>
      <c r="BI2" s="385" t="s">
        <v>303</v>
      </c>
      <c r="BJ2" s="381" t="s">
        <v>558</v>
      </c>
      <c r="BK2" s="389">
        <f>((BK5*BK6*BK7)/((1-EXP(-BK7*BK6))*BK12*BK16*(BK9/365)*BK14*(BK15/24)*BK13))/BK17</f>
        <v>1.9703907844737258</v>
      </c>
      <c r="BL2" s="391" t="s">
        <v>303</v>
      </c>
      <c r="BM2" s="383" t="s">
        <v>559</v>
      </c>
      <c r="BN2" s="389">
        <f>((BN5*BN6*BN7)/((1-EXP(-BN7*BN6))*BN12*BN16*(BN9/365)*BN14*(BN15/24)*BN13))/BN17</f>
        <v>21.54491264223094</v>
      </c>
      <c r="BO2" s="391" t="s">
        <v>303</v>
      </c>
      <c r="BP2" s="383" t="s">
        <v>560</v>
      </c>
      <c r="BQ2" s="389">
        <f>((BQ5*BQ6*BQ7)/((1-EXP(-BQ7*BQ6))*BQ12*BQ16*(BQ9/365)*BQ14*(BQ15/24)*BQ13))/BQ17</f>
        <v>2.6117250610369847</v>
      </c>
      <c r="BR2" s="385" t="s">
        <v>303</v>
      </c>
      <c r="BS2" s="59"/>
      <c r="BT2" s="110"/>
      <c r="BU2" s="250"/>
      <c r="BV2" s="402" t="s">
        <v>563</v>
      </c>
      <c r="BW2" s="400">
        <f>1/((1/BW10)+(1/BW11))</f>
        <v>12.442291152421523</v>
      </c>
      <c r="BX2" s="404" t="s">
        <v>304</v>
      </c>
      <c r="BY2" s="402" t="s">
        <v>563</v>
      </c>
      <c r="BZ2" s="400">
        <f>1/((1/BZ13)+(1/BZ14)+(1/BZ15))</f>
        <v>1.0723631902450654</v>
      </c>
      <c r="CA2" s="398" t="s">
        <v>303</v>
      </c>
      <c r="CB2" s="410" t="s">
        <v>558</v>
      </c>
      <c r="CC2" s="400">
        <f>((CC5*CC6*CC7)/((1-EXP(-CC7*CC6))*CC10*CC14*(CC9/365)*CC12*(CC13/24)*CC11))/CC15</f>
        <v>1.3798513286285545</v>
      </c>
      <c r="CD2" s="404" t="s">
        <v>303</v>
      </c>
      <c r="CE2" s="402" t="s">
        <v>559</v>
      </c>
      <c r="CF2" s="400">
        <f>((CF5*CF6*CF7)/((1-EXP(-CF7*CF6))*CF10*CF14*(CF9/365)*CF12*(CF13/24)*CF11))/CF15</f>
        <v>15.087756484056438</v>
      </c>
      <c r="CG2" s="404" t="s">
        <v>303</v>
      </c>
      <c r="CH2" s="402" t="s">
        <v>560</v>
      </c>
      <c r="CI2" s="400">
        <f>((CI5*CI6*CI7)/((1-EXP(-CI7*CI6))*CI10*CI14*(CI9/365)*CI12*(CI13/24)*CI11))/CI15</f>
        <v>1.8289733812609754</v>
      </c>
      <c r="CJ2" s="398" t="s">
        <v>303</v>
      </c>
      <c r="CK2" s="410" t="s">
        <v>510</v>
      </c>
      <c r="CL2" s="400">
        <f>(CL5/(CL6*CL7*CL8*CL9))/CL10</f>
        <v>0.50774308200050822</v>
      </c>
      <c r="CM2" s="404" t="s">
        <v>303</v>
      </c>
      <c r="CN2" s="402" t="s">
        <v>7</v>
      </c>
      <c r="CO2" s="400">
        <f>(CL2/(CO5*((CO10*CO12*CO13*(CO6+CO7))+(CO11*CO12))))*CL13</f>
        <v>87.817834953377741</v>
      </c>
      <c r="CP2" s="412" t="s">
        <v>303</v>
      </c>
      <c r="CQ2" s="402" t="s">
        <v>6</v>
      </c>
      <c r="CR2" s="400">
        <f>CL2/(CR5*CR6*(1/CR7))</f>
        <v>188.05299333352156</v>
      </c>
      <c r="CS2" s="415" t="s">
        <v>304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((DD5)/(DD6*(DD7+DD10)*DD20))/DD23</f>
        <v>2.5848921891873306E-4</v>
      </c>
      <c r="DE2" s="672" t="s">
        <v>303</v>
      </c>
      <c r="DF2" s="670" t="s">
        <v>510</v>
      </c>
      <c r="DG2" s="668">
        <f>(DD2/((1/DG24)*(DG5+DG6+DG7)))</f>
        <v>2.3227582046277079E-2</v>
      </c>
      <c r="DH2" s="666" t="s">
        <v>304</v>
      </c>
      <c r="DI2" s="680" t="s">
        <v>510</v>
      </c>
      <c r="DJ2" s="668">
        <f>(DD2/(DJ5+DJ6))*CU11</f>
        <v>1.3855016978286199E-3</v>
      </c>
      <c r="DK2" s="666" t="s">
        <v>304</v>
      </c>
      <c r="DL2" s="680" t="s">
        <v>554</v>
      </c>
      <c r="DM2" s="668">
        <f>(DD2/(DM5+DM6))*((DM9*DD21)/(1-EXP(-DD21*DM9)))</f>
        <v>1.3855016978286199E-3</v>
      </c>
      <c r="DN2" s="666" t="s">
        <v>304</v>
      </c>
      <c r="DO2" s="680" t="s">
        <v>553</v>
      </c>
      <c r="DP2" s="668">
        <f>-(DP5+DP6+DP7)/(DP23+DP24)</f>
        <v>-39.016043743831744</v>
      </c>
      <c r="DQ2" s="678" t="s">
        <v>19</v>
      </c>
      <c r="DR2" s="556" t="s">
        <v>510</v>
      </c>
      <c r="DS2" s="460">
        <f>(DS5/(DS6*DS7*DS16))/DS20</f>
        <v>1.6401627572867978E-4</v>
      </c>
      <c r="DT2" s="466" t="s">
        <v>303</v>
      </c>
      <c r="DU2" s="464" t="s">
        <v>510</v>
      </c>
      <c r="DV2" s="462">
        <f>DS2/(DV5*(1/DV8)*DV6*(1/DV7))</f>
        <v>0.39918895085193801</v>
      </c>
      <c r="DW2" s="480" t="s">
        <v>304</v>
      </c>
      <c r="DX2" s="478" t="s">
        <v>510</v>
      </c>
      <c r="DY2" s="462">
        <f>(DS2/(DY9*(1/DY14)*((DY10*DY12*DY13*(DY5+DY6))+(DY11*DY12))))*CU11</f>
        <v>9.2595197586955794E-3</v>
      </c>
      <c r="DZ2" s="480" t="s">
        <v>304</v>
      </c>
      <c r="EA2" s="478" t="s">
        <v>554</v>
      </c>
      <c r="EB2" s="462">
        <f>(DS2/(EB9*(1/EB14)*((EB10*EB12*EB13*(EB5+EB6))+(EB11*EB12))))*((EB15*DS18)/(1-EXP(-DS18*EB15)))</f>
        <v>9.2595197586955794E-3</v>
      </c>
      <c r="EC2" s="480" t="s">
        <v>304</v>
      </c>
      <c r="ED2" s="478" t="s">
        <v>553</v>
      </c>
      <c r="EE2" s="462">
        <f>-EE15/((EE10*EE12*EE13*(EE5+EE6))+(EE11*EE12))</f>
        <v>-15.172254564045053</v>
      </c>
      <c r="EF2" s="476" t="s">
        <v>19</v>
      </c>
      <c r="EG2" s="474" t="s">
        <v>510</v>
      </c>
      <c r="EH2" s="472">
        <f>(EH5/(EH6*EH7*EH16))/EH20</f>
        <v>4.4955254012694771E-4</v>
      </c>
      <c r="EI2" s="470" t="s">
        <v>303</v>
      </c>
      <c r="EJ2" s="468" t="s">
        <v>510</v>
      </c>
      <c r="EK2" s="502">
        <f>EH2/(EK5*EK6*(1/EK7))</f>
        <v>0.38555106357371161</v>
      </c>
      <c r="EL2" s="500" t="s">
        <v>304</v>
      </c>
      <c r="EM2" s="504" t="s">
        <v>510</v>
      </c>
      <c r="EN2" s="502">
        <f>(EH2/(EN9*((EN10*EN12*EN13*(EN5+EN6))+(EN11*EN12))))*CU11</f>
        <v>8.256309959550942E-3</v>
      </c>
      <c r="EO2" s="500" t="s">
        <v>303</v>
      </c>
      <c r="EP2" s="504" t="s">
        <v>554</v>
      </c>
      <c r="EQ2" s="502">
        <f>(EH2/(EQ9*((EQ10*EQ12*EQ13*(EQ5+EQ6))+(EQ11*EQ12))))*((EQ14*EH18)/(1-EXP(-EH18*EQ14)))</f>
        <v>8.256309959550942E-3</v>
      </c>
      <c r="ER2" s="500" t="s">
        <v>304</v>
      </c>
      <c r="ES2" s="504" t="s">
        <v>553</v>
      </c>
      <c r="ET2" s="502">
        <f>-ET15/((ET10*ET12*ET13*(ET5+ET6))+(ET11*ET12))</f>
        <v>-14.006971771987642</v>
      </c>
      <c r="EU2" s="514" t="s">
        <v>19</v>
      </c>
      <c r="EV2" s="512" t="s">
        <v>510</v>
      </c>
      <c r="EW2" s="510">
        <f>(EW5/(EW6*EW7*EW16))/EW20</f>
        <v>1.503669969703307E-3</v>
      </c>
      <c r="EX2" s="508" t="s">
        <v>303</v>
      </c>
      <c r="EY2" s="506" t="s">
        <v>510</v>
      </c>
      <c r="EZ2" s="494">
        <f>EW2/(EZ5*EZ6*(1/EZ7))</f>
        <v>9.3979373106456663</v>
      </c>
      <c r="FA2" s="498" t="s">
        <v>304</v>
      </c>
      <c r="FB2" s="496" t="s">
        <v>510</v>
      </c>
      <c r="FC2" s="494">
        <f>(EW2/(FC9*((FC10*FC12*FC13*(FC5+FC6))+(FC11*FC12))))*CU11</f>
        <v>7.3870794170988435E-2</v>
      </c>
      <c r="FD2" s="498" t="s">
        <v>303</v>
      </c>
      <c r="FE2" s="496" t="s">
        <v>554</v>
      </c>
      <c r="FF2" s="494">
        <f>(EW2/(FF9*((FF10*FF12*FF13*(FF5+FF6))+(FF11*FF12))))*((FF14*EW18)/(1-EXP(-EW18*FF14)))</f>
        <v>7.3870794170988435E-2</v>
      </c>
      <c r="FG2" s="498" t="s">
        <v>304</v>
      </c>
      <c r="FH2" s="496" t="s">
        <v>553</v>
      </c>
      <c r="FI2" s="494">
        <f>-FI15/((FI10*FI12*FI13*(FI5+FI6))+(FI11*FI12))</f>
        <v>-5.1413881748071981</v>
      </c>
      <c r="FJ2" s="492" t="s">
        <v>19</v>
      </c>
      <c r="FK2" s="490" t="s">
        <v>510</v>
      </c>
      <c r="FL2" s="488">
        <f>(FL5/(FL6*FL7*FL16))/FL20</f>
        <v>5.1617661375133776E-4</v>
      </c>
      <c r="FM2" s="486" t="s">
        <v>303</v>
      </c>
      <c r="FN2" s="484" t="s">
        <v>510</v>
      </c>
      <c r="FO2" s="430">
        <f>FL2/(FO5*(1/FO6))</f>
        <v>2.064706455005351E-4</v>
      </c>
      <c r="FP2" s="428" t="s">
        <v>304</v>
      </c>
      <c r="FQ2" s="482" t="s">
        <v>510</v>
      </c>
      <c r="FR2" s="430">
        <f>((FL2*FR6)/FR5)*CU11</f>
        <v>3.1565897761471158E-6</v>
      </c>
      <c r="FS2" s="428" t="s">
        <v>303</v>
      </c>
      <c r="FT2" s="426" t="s">
        <v>554</v>
      </c>
      <c r="FU2" s="430">
        <f>((FL2*FU6)/FU5)*((FU7*FL18)/(1-EXP(-FL18*FU7)))</f>
        <v>3.1565897761471158E-6</v>
      </c>
      <c r="FV2" s="428" t="s">
        <v>304</v>
      </c>
      <c r="FW2" s="426" t="s">
        <v>553</v>
      </c>
      <c r="FX2" s="430">
        <f>-FX5/FX6</f>
        <v>-0.01</v>
      </c>
      <c r="FY2" s="438" t="s">
        <v>19</v>
      </c>
      <c r="FZ2" s="436" t="s">
        <v>510</v>
      </c>
      <c r="GA2" s="434">
        <f>(GA5/(GA6*GA7*GA16))/GA20</f>
        <v>7.5115621720733719E-4</v>
      </c>
      <c r="GB2" s="432" t="s">
        <v>303</v>
      </c>
      <c r="GC2" s="458" t="s">
        <v>510</v>
      </c>
      <c r="GD2" s="417">
        <f>(GA2/(GD5*GD6*(1/GD7)))</f>
        <v>0.69551501593271958</v>
      </c>
      <c r="GE2" s="421" t="s">
        <v>304</v>
      </c>
      <c r="GF2" s="419" t="s">
        <v>510</v>
      </c>
      <c r="GG2" s="417">
        <f>(GA2/((GG9)*((GG10*GG12*GG13*(GG5+GG6))+(GG11*GG12))))*CU11</f>
        <v>5.4669705581668572E-3</v>
      </c>
      <c r="GH2" s="421" t="s">
        <v>303</v>
      </c>
      <c r="GI2" s="419" t="s">
        <v>554</v>
      </c>
      <c r="GJ2" s="417">
        <f>(GA2/((GJ9)*((GJ10*GJ12*GJ13*(GJ5+GJ6))+(GJ11*GJ12))))*((GJ14*GA18)/(1-EXP(-GA18*GJ14)))</f>
        <v>5.4669705581668572E-3</v>
      </c>
      <c r="GK2" s="421" t="s">
        <v>304</v>
      </c>
      <c r="GL2" s="419" t="s">
        <v>553</v>
      </c>
      <c r="GM2" s="417">
        <f>-GM15/((GM10*GM12*GM13*(GM5+GM6))+(GM11*GM12))</f>
        <v>-5.1413881748071981</v>
      </c>
      <c r="GN2" s="456" t="s">
        <v>19</v>
      </c>
      <c r="GO2" s="454" t="s">
        <v>510</v>
      </c>
      <c r="GP2" s="452">
        <f>(GP5/(GP6*GP7*GP15))/GP19</f>
        <v>8.2243700255926007E-4</v>
      </c>
      <c r="GQ2" s="450" t="s">
        <v>303</v>
      </c>
      <c r="GR2" s="448" t="s">
        <v>510</v>
      </c>
      <c r="GS2" s="442">
        <f>GP2/(GS5*GS6*(1/GS7))</f>
        <v>0.36071798357862278</v>
      </c>
      <c r="GT2" s="446" t="s">
        <v>304</v>
      </c>
      <c r="GU2" s="444" t="s">
        <v>510</v>
      </c>
      <c r="GV2" s="442">
        <f>(GP2/((GV9)*((GV10*GV12*GV13*(GV5+GV6))+(GV11*GV12))))*CU11</f>
        <v>3.7392737689638886E-3</v>
      </c>
      <c r="GW2" s="446" t="s">
        <v>303</v>
      </c>
      <c r="GX2" s="444" t="s">
        <v>554</v>
      </c>
      <c r="GY2" s="442">
        <f>(GP2/((GY9)*((GY10*GY12*GY13*(GY5+GY6))+(GY11*GY12))))*((GY14*GP17)/(1-EXP(-GP17*GY14)))</f>
        <v>3.7392737689638886E-3</v>
      </c>
      <c r="GZ2" s="446" t="s">
        <v>304</v>
      </c>
      <c r="HA2" s="444" t="s">
        <v>553</v>
      </c>
      <c r="HB2" s="442">
        <f>-HB15/((HB10*HB12*HB13*(HB5+HB6))+(HB11*HB12))</f>
        <v>-6.7804674953904707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54">
        <v>8.5099999999999995E-2</v>
      </c>
      <c r="C3" s="240"/>
      <c r="D3" s="317" t="s">
        <v>15</v>
      </c>
      <c r="E3" s="285">
        <f>1/((1/E20)+(1/E21))</f>
        <v>2.036473118773805E-3</v>
      </c>
      <c r="F3" s="253" t="s">
        <v>302</v>
      </c>
      <c r="G3" s="627"/>
      <c r="H3" s="623"/>
      <c r="I3" s="625"/>
      <c r="J3" s="619"/>
      <c r="K3" s="623"/>
      <c r="L3" s="621"/>
      <c r="M3" s="617"/>
      <c r="N3" s="647"/>
      <c r="O3" s="689"/>
      <c r="P3" s="639"/>
      <c r="Q3" s="647"/>
      <c r="R3" s="637"/>
      <c r="S3" s="639"/>
      <c r="T3" s="647"/>
      <c r="U3" s="643"/>
      <c r="V3" s="319" t="s">
        <v>16</v>
      </c>
      <c r="W3" s="358">
        <f>1/((1/W18)+(1/W19))</f>
        <v>3.8398127517751245E-3</v>
      </c>
      <c r="X3" s="254" t="s">
        <v>302</v>
      </c>
      <c r="Y3" s="321" t="s">
        <v>16</v>
      </c>
      <c r="Z3" s="358">
        <f>1/((1/Z18)+(1/Z19))</f>
        <v>3.455831476597612E-3</v>
      </c>
      <c r="AA3" s="255" t="s">
        <v>302</v>
      </c>
      <c r="AB3" s="650"/>
      <c r="AC3" s="661"/>
      <c r="AD3" s="658"/>
      <c r="AE3" s="658"/>
      <c r="AF3" s="658"/>
      <c r="AG3" s="655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0.22808498930266613</v>
      </c>
      <c r="BU3" s="250" t="s">
        <v>302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1/((1/CU14)+(1/CU15)+(1/CU16)+(1/CU17)+(1/CU18)+(1/CU19)+(1/CU20)+(1/CU21)+(1/CU22)+(1/CU23))</f>
        <v>3.1311528761686234E-6</v>
      </c>
      <c r="CV3" s="71" t="s">
        <v>303</v>
      </c>
      <c r="CW3" s="326" t="s">
        <v>15</v>
      </c>
      <c r="CX3" s="117">
        <f>1/((1/CX20)+(1/CX21))</f>
        <v>1.2660963992586053E-3</v>
      </c>
      <c r="CY3" s="256" t="s">
        <v>302</v>
      </c>
      <c r="CZ3" s="338" t="s">
        <v>285</v>
      </c>
      <c r="DA3" s="336">
        <f>1/((1/DA13)+(1/DA15)+(1/DA16)+(1/DA17)+(1/DA18)+(1/DA19)+(1/DA20)+(1/DA21)+(1/DA22))</f>
        <v>2.0318451756906955E-4</v>
      </c>
      <c r="DB3" s="72" t="s">
        <v>303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0.10025182639345853</v>
      </c>
      <c r="HF3" s="252" t="s">
        <v>303</v>
      </c>
    </row>
    <row r="4" spans="1:214" ht="13.5" customHeight="1" thickBot="1" x14ac:dyDescent="0.25">
      <c r="A4" s="279" t="s">
        <v>457</v>
      </c>
      <c r="B4" s="82">
        <v>0.74199999999999999</v>
      </c>
      <c r="C4" s="242"/>
      <c r="D4" s="318" t="s">
        <v>16</v>
      </c>
      <c r="E4" s="286">
        <f>1/((1/E22)+(1/E23))</f>
        <v>2.7048217461328426E-3</v>
      </c>
      <c r="F4" s="257" t="s">
        <v>302</v>
      </c>
      <c r="G4" s="628"/>
      <c r="H4" s="624"/>
      <c r="I4" s="626"/>
      <c r="J4" s="620"/>
      <c r="K4" s="624"/>
      <c r="L4" s="622"/>
      <c r="M4" s="618"/>
      <c r="N4" s="648"/>
      <c r="O4" s="690"/>
      <c r="P4" s="640"/>
      <c r="Q4" s="648"/>
      <c r="R4" s="638"/>
      <c r="S4" s="640"/>
      <c r="T4" s="648"/>
      <c r="U4" s="644"/>
      <c r="V4" s="320" t="s">
        <v>15</v>
      </c>
      <c r="W4" s="359">
        <f>1/((1/W16)+(1/W17))</f>
        <v>2.9211519195698169E-3</v>
      </c>
      <c r="X4" s="258" t="s">
        <v>302</v>
      </c>
      <c r="Y4" s="322" t="s">
        <v>15</v>
      </c>
      <c r="Z4" s="359">
        <f>1/((1/Z16)+(1/Z17))</f>
        <v>2.6290367276128358E-3</v>
      </c>
      <c r="AA4" s="259" t="s">
        <v>302</v>
      </c>
      <c r="AB4" s="651"/>
      <c r="AC4" s="662"/>
      <c r="AD4" s="659"/>
      <c r="AE4" s="659"/>
      <c r="AF4" s="659"/>
      <c r="AG4" s="656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0.30294003556687837</v>
      </c>
      <c r="BU4" s="260" t="s">
        <v>302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5.3174451428858449E-4</v>
      </c>
      <c r="CV4" s="73" t="s">
        <v>303</v>
      </c>
      <c r="CW4" s="327" t="s">
        <v>16</v>
      </c>
      <c r="CX4" s="106">
        <f>1/((1/CX22)+(1/CX23))</f>
        <v>1.9356489828507035E-3</v>
      </c>
      <c r="CY4" s="261" t="s">
        <v>302</v>
      </c>
      <c r="CZ4" s="339" t="s">
        <v>11</v>
      </c>
      <c r="DA4" s="337">
        <f>1/((1/DA15)+(1/DA16)+(1/DA13))</f>
        <v>1.4510391354463369E-2</v>
      </c>
      <c r="DB4" s="74" t="s">
        <v>303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5.9783743321883737E-4</v>
      </c>
      <c r="HF4" s="75" t="s">
        <v>303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2.7</v>
      </c>
      <c r="CQ5" s="262" t="s">
        <v>264</v>
      </c>
      <c r="CR5" s="287">
        <f>CO5</f>
        <v>2.7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0.66252863179360322</v>
      </c>
      <c r="DH5" s="249" t="s">
        <v>19</v>
      </c>
      <c r="DI5" s="262" t="s">
        <v>20</v>
      </c>
      <c r="DJ5" s="305">
        <f>DJ7</f>
        <v>2.5229999999999999E-2</v>
      </c>
      <c r="DK5" s="262"/>
      <c r="DL5" s="262" t="s">
        <v>20</v>
      </c>
      <c r="DM5" s="305">
        <f>DM7</f>
        <v>2.5229999999999999E-2</v>
      </c>
      <c r="DO5" s="249" t="s">
        <v>18</v>
      </c>
      <c r="DP5" s="118">
        <f>(DP8*DP9*DP10*((1-EXP(-DP11*DP12))))/(DP13*DP11)</f>
        <v>0.66252863179360322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4.5999999999999999E-3</v>
      </c>
      <c r="DW5" s="262"/>
      <c r="DX5" s="262" t="s">
        <v>21</v>
      </c>
      <c r="DY5" s="305">
        <f>DY7</f>
        <v>2.9000000000000001E-2</v>
      </c>
      <c r="DZ5" s="262"/>
      <c r="EA5" s="262" t="s">
        <v>21</v>
      </c>
      <c r="EB5" s="305">
        <f>EB7</f>
        <v>2.9000000000000001E-2</v>
      </c>
      <c r="EC5" s="263"/>
      <c r="ED5" s="262" t="s">
        <v>21</v>
      </c>
      <c r="EE5" s="305">
        <f>EE7</f>
        <v>2.9000000000000001E-2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2.1999999999999999E-2</v>
      </c>
      <c r="EL5" s="262"/>
      <c r="EM5" s="262" t="s">
        <v>21</v>
      </c>
      <c r="EN5" s="305">
        <f>EN7</f>
        <v>2.9000000000000001E-2</v>
      </c>
      <c r="EO5" s="262"/>
      <c r="EP5" s="262" t="s">
        <v>21</v>
      </c>
      <c r="EQ5" s="305">
        <f>EQ7</f>
        <v>2.9000000000000001E-2</v>
      </c>
      <c r="ER5" s="263"/>
      <c r="ES5" s="262" t="s">
        <v>21</v>
      </c>
      <c r="ET5" s="305">
        <f>ET7</f>
        <v>2.9000000000000001E-2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0.4</v>
      </c>
      <c r="FA5" s="262"/>
      <c r="FB5" s="262" t="s">
        <v>21</v>
      </c>
      <c r="FC5" s="305">
        <f>FC7</f>
        <v>2.9000000000000001E-2</v>
      </c>
      <c r="FD5" s="262"/>
      <c r="FE5" s="262" t="s">
        <v>21</v>
      </c>
      <c r="FF5" s="305">
        <f>FF7</f>
        <v>2.9000000000000001E-2</v>
      </c>
      <c r="FG5" s="263"/>
      <c r="FH5" s="263" t="s">
        <v>21</v>
      </c>
      <c r="FI5" s="290">
        <f>FI7</f>
        <v>2.9000000000000001E-2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2500</v>
      </c>
      <c r="FP5" s="263"/>
      <c r="FQ5" s="263" t="s">
        <v>122</v>
      </c>
      <c r="FR5" s="298">
        <f>B36</f>
        <v>2500</v>
      </c>
      <c r="FS5" s="263"/>
      <c r="FT5" s="263" t="s">
        <v>122</v>
      </c>
      <c r="FU5" s="298">
        <f>B36</f>
        <v>2500</v>
      </c>
      <c r="FV5" s="263"/>
      <c r="FW5" s="262" t="s">
        <v>181</v>
      </c>
      <c r="FX5" s="305">
        <f>B46</f>
        <v>10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2.7</v>
      </c>
      <c r="GE5" s="262"/>
      <c r="GF5" s="262" t="s">
        <v>21</v>
      </c>
      <c r="GG5" s="305">
        <f>GG7</f>
        <v>2.9000000000000001E-2</v>
      </c>
      <c r="GH5" s="262"/>
      <c r="GI5" s="262" t="s">
        <v>21</v>
      </c>
      <c r="GJ5" s="305">
        <f>GJ7</f>
        <v>2.9000000000000001E-2</v>
      </c>
      <c r="GK5" s="262"/>
      <c r="GL5" s="262" t="s">
        <v>21</v>
      </c>
      <c r="GM5" s="305">
        <f>GM7</f>
        <v>2.9000000000000001E-2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0.2</v>
      </c>
      <c r="GT5" s="262"/>
      <c r="GU5" s="262" t="s">
        <v>21</v>
      </c>
      <c r="GV5" s="305">
        <f>GV7</f>
        <v>2.9000000000000001E-2</v>
      </c>
      <c r="GW5" s="262"/>
      <c r="GX5" s="262" t="s">
        <v>21</v>
      </c>
      <c r="GY5" s="305">
        <f>GY7</f>
        <v>2.9000000000000001E-2</v>
      </c>
      <c r="GZ5" s="262"/>
      <c r="HA5" s="262" t="s">
        <v>21</v>
      </c>
      <c r="HB5" s="305">
        <f>HB7</f>
        <v>2.9000000000000001E-2</v>
      </c>
      <c r="HC5" s="263"/>
      <c r="HD5" s="265" t="s">
        <v>22</v>
      </c>
      <c r="HE5" s="305">
        <f>B47</f>
        <v>7.4000074000074001</v>
      </c>
      <c r="HF5" s="262" t="s">
        <v>304</v>
      </c>
    </row>
    <row r="6" spans="1:214" ht="13.5" thickTop="1" x14ac:dyDescent="0.2">
      <c r="A6" s="278" t="s">
        <v>454</v>
      </c>
      <c r="B6" s="54">
        <v>4.3299999999999998E-2</v>
      </c>
      <c r="C6" s="240"/>
      <c r="D6" s="262" t="s">
        <v>23</v>
      </c>
      <c r="E6" s="288">
        <f>0.693/E7</f>
        <v>2.2972045705420805E-2</v>
      </c>
      <c r="G6" s="262" t="s">
        <v>439</v>
      </c>
      <c r="H6" s="287">
        <f>B20</f>
        <v>3.0487999999999999E-11</v>
      </c>
      <c r="I6" s="262" t="s">
        <v>35</v>
      </c>
      <c r="J6" s="262" t="s">
        <v>316</v>
      </c>
      <c r="K6" s="287">
        <f>B21</f>
        <v>4.2549999999999998E-11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2.2972045705420805E-2</v>
      </c>
      <c r="Y6" s="262" t="s">
        <v>23</v>
      </c>
      <c r="Z6" s="288">
        <f>0.693/Z7</f>
        <v>2.2972045705420805E-2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BK12</f>
        <v>1</v>
      </c>
      <c r="BR6" s="249" t="s">
        <v>69</v>
      </c>
      <c r="BS6" s="262" t="s">
        <v>23</v>
      </c>
      <c r="BT6" s="288">
        <f>0.693/BT7</f>
        <v>2.2972045705420805E-2</v>
      </c>
      <c r="BV6" s="262" t="s">
        <v>163</v>
      </c>
      <c r="BW6" s="287">
        <f>B20</f>
        <v>3.0487999999999999E-11</v>
      </c>
      <c r="BX6" s="262" t="s">
        <v>35</v>
      </c>
      <c r="BY6" s="262" t="s">
        <v>45</v>
      </c>
      <c r="BZ6" s="287">
        <f>B21</f>
        <v>4.2549999999999998E-11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3.7370000000000003E-11</v>
      </c>
      <c r="CM6" s="266" t="s">
        <v>13</v>
      </c>
      <c r="CN6" s="263" t="s">
        <v>21</v>
      </c>
      <c r="CO6" s="290">
        <f>CO8</f>
        <v>2.9000000000000001E-2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4.2549999999999998E-11</v>
      </c>
      <c r="CV6" s="262" t="s">
        <v>35</v>
      </c>
      <c r="CW6" s="262" t="s">
        <v>23</v>
      </c>
      <c r="CX6" s="288">
        <f>0.693/CX7</f>
        <v>2.2972045705420805E-2</v>
      </c>
      <c r="CZ6" s="262" t="s">
        <v>163</v>
      </c>
      <c r="DA6" s="287">
        <f>B20</f>
        <v>3.0487999999999999E-11</v>
      </c>
      <c r="DB6" s="262" t="s">
        <v>35</v>
      </c>
      <c r="DC6" s="262" t="s">
        <v>438</v>
      </c>
      <c r="DD6" s="287">
        <f>B30</f>
        <v>3.7370000000000003E-11</v>
      </c>
      <c r="DE6" s="267" t="s">
        <v>35</v>
      </c>
      <c r="DF6" s="249" t="s">
        <v>27</v>
      </c>
      <c r="DG6" s="118">
        <f>(DG8*DG9*DG14*((1-EXP(-DG11*DG12))))/(DG13*DG11)</f>
        <v>6.8274849094862002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6.8274849094862002</v>
      </c>
      <c r="DQ6" s="249" t="s">
        <v>19</v>
      </c>
      <c r="DR6" s="262" t="s">
        <v>438</v>
      </c>
      <c r="DS6" s="287">
        <f>B30</f>
        <v>3.7370000000000003E-11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3.7370000000000003E-11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3.7370000000000003E-11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3.7370000000000003E-11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10</v>
      </c>
      <c r="FS6" s="249" t="s">
        <v>19</v>
      </c>
      <c r="FT6" s="262" t="s">
        <v>181</v>
      </c>
      <c r="FU6" s="305">
        <f>B46</f>
        <v>10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3.7370000000000003E-11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3.7370000000000003E-11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4.4128886115829345E-2</v>
      </c>
      <c r="HF6" s="262" t="s">
        <v>304</v>
      </c>
    </row>
    <row r="7" spans="1:214" x14ac:dyDescent="0.2">
      <c r="A7" s="279" t="s">
        <v>455</v>
      </c>
      <c r="B7" s="70">
        <v>0.65300000000000002</v>
      </c>
      <c r="C7" s="241"/>
      <c r="D7" s="266" t="s">
        <v>270</v>
      </c>
      <c r="E7" s="287">
        <f>B31</f>
        <v>30.167100000000001</v>
      </c>
      <c r="F7" s="249" t="s">
        <v>69</v>
      </c>
      <c r="G7" s="262" t="s">
        <v>43</v>
      </c>
      <c r="H7" s="290">
        <f>B19</f>
        <v>1.1248E-10</v>
      </c>
      <c r="I7" s="263" t="s">
        <v>35</v>
      </c>
      <c r="J7" s="262" t="s">
        <v>43</v>
      </c>
      <c r="K7" s="290">
        <f>B19</f>
        <v>1.1248E-10</v>
      </c>
      <c r="L7" s="263" t="s">
        <v>35</v>
      </c>
      <c r="M7" s="262" t="s">
        <v>23</v>
      </c>
      <c r="N7" s="288">
        <f>0.693/N8</f>
        <v>2.2972045705420805E-2</v>
      </c>
      <c r="P7" s="262" t="s">
        <v>23</v>
      </c>
      <c r="Q7" s="288">
        <f>0.693/Q8</f>
        <v>2.2972045705420805E-2</v>
      </c>
      <c r="S7" s="262" t="s">
        <v>23</v>
      </c>
      <c r="T7" s="288">
        <f>0.693/T8</f>
        <v>2.2972045705420805E-2</v>
      </c>
      <c r="V7" s="266" t="s">
        <v>270</v>
      </c>
      <c r="W7" s="287">
        <f>B31</f>
        <v>30.167100000000001</v>
      </c>
      <c r="X7" s="249" t="s">
        <v>69</v>
      </c>
      <c r="Y7" s="266" t="s">
        <v>270</v>
      </c>
      <c r="Z7" s="287">
        <f>B31</f>
        <v>30.167100000000001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2.2972045705420805E-2</v>
      </c>
      <c r="AL7" s="262" t="s">
        <v>23</v>
      </c>
      <c r="AM7" s="288">
        <f>0.693/AM8</f>
        <v>2.2972045705420805E-2</v>
      </c>
      <c r="AO7" s="262" t="s">
        <v>23</v>
      </c>
      <c r="AP7" s="288">
        <f>0.693/AP8</f>
        <v>2.2972045705420805E-2</v>
      </c>
      <c r="AR7" s="262" t="s">
        <v>23</v>
      </c>
      <c r="AS7" s="288">
        <f>0.693/AS8</f>
        <v>2.2972045705420805E-2</v>
      </c>
      <c r="AU7" s="262" t="s">
        <v>23</v>
      </c>
      <c r="AV7" s="288">
        <f>0.693/AV8</f>
        <v>2.2972045705420805E-2</v>
      </c>
      <c r="AX7" s="262" t="s">
        <v>23</v>
      </c>
      <c r="AY7" s="288">
        <f>0.693/AY8</f>
        <v>2.2972045705420805E-2</v>
      </c>
      <c r="BA7" s="262" t="s">
        <v>23</v>
      </c>
      <c r="BB7" s="288">
        <f>0.693/BB8</f>
        <v>2.2972045705420805E-2</v>
      </c>
      <c r="BD7" s="262" t="s">
        <v>23</v>
      </c>
      <c r="BE7" s="288">
        <f>0.693/BE8</f>
        <v>2.2972045705420805E-2</v>
      </c>
      <c r="BG7" s="262" t="s">
        <v>23</v>
      </c>
      <c r="BH7" s="288">
        <f>0.693/BH8</f>
        <v>2.2972045705420805E-2</v>
      </c>
      <c r="BJ7" s="262" t="s">
        <v>23</v>
      </c>
      <c r="BK7" s="288">
        <f>0.693/BK8</f>
        <v>2.2972045705420805E-2</v>
      </c>
      <c r="BM7" s="262" t="s">
        <v>23</v>
      </c>
      <c r="BN7" s="288">
        <f>0.693/BN8</f>
        <v>2.2972045705420805E-2</v>
      </c>
      <c r="BP7" s="262" t="s">
        <v>23</v>
      </c>
      <c r="BQ7" s="288">
        <f>0.693/BQ8</f>
        <v>2.2972045705420805E-2</v>
      </c>
      <c r="BS7" s="266" t="s">
        <v>270</v>
      </c>
      <c r="BT7" s="287">
        <f>B31</f>
        <v>30.167100000000001</v>
      </c>
      <c r="BU7" s="249" t="s">
        <v>69</v>
      </c>
      <c r="BV7" s="262" t="s">
        <v>43</v>
      </c>
      <c r="BW7" s="290">
        <f>E10</f>
        <v>1.1248E-10</v>
      </c>
      <c r="BX7" s="263" t="s">
        <v>35</v>
      </c>
      <c r="BY7" s="262" t="s">
        <v>43</v>
      </c>
      <c r="BZ7" s="290">
        <f>B19</f>
        <v>1.1248E-10</v>
      </c>
      <c r="CA7" s="263" t="s">
        <v>35</v>
      </c>
      <c r="CB7" s="262" t="s">
        <v>23</v>
      </c>
      <c r="CC7" s="288">
        <f>0.693/CC8</f>
        <v>2.2972045705420805E-2</v>
      </c>
      <c r="CE7" s="262" t="s">
        <v>23</v>
      </c>
      <c r="CF7" s="288">
        <f>0.693/CF8</f>
        <v>2.2972045705420805E-2</v>
      </c>
      <c r="CH7" s="262" t="s">
        <v>23</v>
      </c>
      <c r="CI7" s="288">
        <f>0.693/CI8</f>
        <v>2.2972045705420805E-2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1.1248E-10</v>
      </c>
      <c r="CV7" s="263" t="s">
        <v>35</v>
      </c>
      <c r="CW7" s="266" t="s">
        <v>270</v>
      </c>
      <c r="CX7" s="287">
        <f>B31</f>
        <v>30.167100000000001</v>
      </c>
      <c r="CY7" s="249" t="s">
        <v>69</v>
      </c>
      <c r="CZ7" s="263" t="s">
        <v>43</v>
      </c>
      <c r="DA7" s="290">
        <f>B19</f>
        <v>1.1248E-10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3.6385326157733249</v>
      </c>
      <c r="DH7" s="249" t="s">
        <v>19</v>
      </c>
      <c r="DI7" s="262" t="s">
        <v>37</v>
      </c>
      <c r="DJ7" s="287">
        <f>B44</f>
        <v>2.5229999999999999E-2</v>
      </c>
      <c r="DL7" s="262" t="s">
        <v>37</v>
      </c>
      <c r="DM7" s="287">
        <f>B44</f>
        <v>2.5229999999999999E-2</v>
      </c>
      <c r="DO7" s="249" t="s">
        <v>36</v>
      </c>
      <c r="DP7" s="118">
        <f>(DP8*DP9*DP15*DP21*((1-EXP(-DP16*DP17))))/(DP18*DP16)</f>
        <v>3.6385326157733249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2.9000000000000001E-2</v>
      </c>
      <c r="EA7" s="262" t="s">
        <v>38</v>
      </c>
      <c r="EB7" s="287">
        <f>B45</f>
        <v>2.9000000000000001E-2</v>
      </c>
      <c r="EC7" s="263"/>
      <c r="ED7" s="262" t="s">
        <v>38</v>
      </c>
      <c r="EE7" s="287">
        <f>B45</f>
        <v>2.9000000000000001E-2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2.9000000000000001E-2</v>
      </c>
      <c r="EP7" s="262" t="s">
        <v>38</v>
      </c>
      <c r="EQ7" s="287">
        <f>B45</f>
        <v>2.9000000000000001E-2</v>
      </c>
      <c r="ER7" s="263"/>
      <c r="ES7" s="262" t="s">
        <v>38</v>
      </c>
      <c r="ET7" s="287">
        <f>B45</f>
        <v>2.9000000000000001E-2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2.9000000000000001E-2</v>
      </c>
      <c r="FD7" s="262"/>
      <c r="FE7" s="262" t="s">
        <v>38</v>
      </c>
      <c r="FF7" s="305">
        <f>B45</f>
        <v>2.9000000000000001E-2</v>
      </c>
      <c r="FG7" s="263"/>
      <c r="FH7" s="263" t="s">
        <v>38</v>
      </c>
      <c r="FI7" s="290">
        <f>B45</f>
        <v>2.9000000000000001E-2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2.9000000000000001E-2</v>
      </c>
      <c r="GH7" s="262"/>
      <c r="GI7" s="262" t="s">
        <v>38</v>
      </c>
      <c r="GJ7" s="305">
        <f>B45</f>
        <v>2.9000000000000001E-2</v>
      </c>
      <c r="GK7" s="262"/>
      <c r="GL7" s="262" t="s">
        <v>38</v>
      </c>
      <c r="GM7" s="305">
        <f>B45</f>
        <v>2.9000000000000001E-2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2.9000000000000001E-2</v>
      </c>
      <c r="GW7" s="262"/>
      <c r="GX7" s="262" t="s">
        <v>38</v>
      </c>
      <c r="GY7" s="305">
        <f>B45</f>
        <v>2.9000000000000001E-2</v>
      </c>
      <c r="GZ7" s="262"/>
      <c r="HA7" s="262" t="s">
        <v>38</v>
      </c>
      <c r="HB7" s="305">
        <f>B45</f>
        <v>2.9000000000000001E-2</v>
      </c>
      <c r="HC7" s="263"/>
      <c r="HD7" s="262" t="s">
        <v>23</v>
      </c>
      <c r="HE7" s="288">
        <f>0.693/HE8</f>
        <v>2.2972045705420805E-2</v>
      </c>
    </row>
    <row r="8" spans="1:214" x14ac:dyDescent="0.2">
      <c r="A8" s="279" t="s">
        <v>458</v>
      </c>
      <c r="B8" s="70">
        <v>5.0099999999999999E-2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5.1609299040000001E-12</v>
      </c>
      <c r="I8" s="263" t="s">
        <v>35</v>
      </c>
      <c r="J8" s="262" t="s">
        <v>71</v>
      </c>
      <c r="K8" s="287">
        <f>B23</f>
        <v>2.5337597040000001E-6</v>
      </c>
      <c r="L8" s="262" t="s">
        <v>445</v>
      </c>
      <c r="M8" s="266" t="s">
        <v>270</v>
      </c>
      <c r="N8" s="287">
        <f>B31</f>
        <v>30.167100000000001</v>
      </c>
      <c r="O8" s="249" t="s">
        <v>69</v>
      </c>
      <c r="P8" s="266" t="s">
        <v>270</v>
      </c>
      <c r="Q8" s="287">
        <f>B31</f>
        <v>30.167100000000001</v>
      </c>
      <c r="R8" s="249" t="s">
        <v>69</v>
      </c>
      <c r="S8" s="266" t="s">
        <v>270</v>
      </c>
      <c r="T8" s="287">
        <f>B31</f>
        <v>30.167100000000001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30.167100000000001</v>
      </c>
      <c r="AK8" s="249" t="s">
        <v>69</v>
      </c>
      <c r="AL8" s="266" t="s">
        <v>270</v>
      </c>
      <c r="AM8" s="287">
        <f>B31</f>
        <v>30.167100000000001</v>
      </c>
      <c r="AN8" s="249" t="s">
        <v>69</v>
      </c>
      <c r="AO8" s="266" t="s">
        <v>270</v>
      </c>
      <c r="AP8" s="287">
        <f>B31</f>
        <v>30.167100000000001</v>
      </c>
      <c r="AQ8" s="249" t="s">
        <v>69</v>
      </c>
      <c r="AR8" s="266" t="s">
        <v>270</v>
      </c>
      <c r="AS8" s="287">
        <f>B31</f>
        <v>30.167100000000001</v>
      </c>
      <c r="AT8" s="249" t="s">
        <v>69</v>
      </c>
      <c r="AU8" s="266" t="s">
        <v>270</v>
      </c>
      <c r="AV8" s="287">
        <f>B31</f>
        <v>30.167100000000001</v>
      </c>
      <c r="AW8" s="249" t="s">
        <v>69</v>
      </c>
      <c r="AX8" s="266" t="s">
        <v>270</v>
      </c>
      <c r="AY8" s="287">
        <f>B31</f>
        <v>30.167100000000001</v>
      </c>
      <c r="AZ8" s="249" t="s">
        <v>69</v>
      </c>
      <c r="BA8" s="266" t="s">
        <v>270</v>
      </c>
      <c r="BB8" s="287">
        <f>B31</f>
        <v>30.167100000000001</v>
      </c>
      <c r="BC8" s="249" t="s">
        <v>69</v>
      </c>
      <c r="BD8" s="266" t="s">
        <v>270</v>
      </c>
      <c r="BE8" s="287">
        <f>B31</f>
        <v>30.167100000000001</v>
      </c>
      <c r="BF8" s="249" t="s">
        <v>69</v>
      </c>
      <c r="BG8" s="266" t="s">
        <v>270</v>
      </c>
      <c r="BH8" s="287">
        <f>B31</f>
        <v>30.167100000000001</v>
      </c>
      <c r="BI8" s="249" t="s">
        <v>69</v>
      </c>
      <c r="BJ8" s="266" t="s">
        <v>270</v>
      </c>
      <c r="BK8" s="287">
        <f>B31</f>
        <v>30.167100000000001</v>
      </c>
      <c r="BL8" s="249" t="s">
        <v>69</v>
      </c>
      <c r="BM8" s="266" t="s">
        <v>270</v>
      </c>
      <c r="BN8" s="287">
        <f>B31</f>
        <v>30.167100000000001</v>
      </c>
      <c r="BO8" s="249" t="s">
        <v>69</v>
      </c>
      <c r="BP8" s="266" t="s">
        <v>270</v>
      </c>
      <c r="BQ8" s="287">
        <f>B31</f>
        <v>30.167100000000001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5.1609299040000001E-12</v>
      </c>
      <c r="BX8" s="263" t="s">
        <v>35</v>
      </c>
      <c r="BY8" s="262" t="s">
        <v>71</v>
      </c>
      <c r="BZ8" s="287">
        <f>B23</f>
        <v>2.5337597040000001E-6</v>
      </c>
      <c r="CA8" s="262" t="s">
        <v>95</v>
      </c>
      <c r="CB8" s="266" t="s">
        <v>270</v>
      </c>
      <c r="CC8" s="287">
        <f>B31</f>
        <v>30.167100000000001</v>
      </c>
      <c r="CD8" s="249" t="s">
        <v>69</v>
      </c>
      <c r="CE8" s="266" t="s">
        <v>270</v>
      </c>
      <c r="CF8" s="287">
        <f>B31</f>
        <v>30.167100000000001</v>
      </c>
      <c r="CG8" s="249" t="s">
        <v>69</v>
      </c>
      <c r="CH8" s="266" t="s">
        <v>270</v>
      </c>
      <c r="CI8" s="287">
        <f>B31</f>
        <v>30.167100000000001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2.9000000000000001E-2</v>
      </c>
      <c r="CT8" s="262" t="s">
        <v>71</v>
      </c>
      <c r="CU8" s="287">
        <f>B23</f>
        <v>2.5337597040000001E-6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5.1609299040000001E-12</v>
      </c>
      <c r="DB8" s="262" t="s">
        <v>35</v>
      </c>
      <c r="DC8" s="262" t="s">
        <v>380</v>
      </c>
      <c r="DD8" s="311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30.167100000000001</v>
      </c>
      <c r="HF8" s="249" t="s">
        <v>69</v>
      </c>
    </row>
    <row r="9" spans="1:214" x14ac:dyDescent="0.2">
      <c r="A9" s="279" t="s">
        <v>459</v>
      </c>
      <c r="B9" s="70">
        <v>0.72599999999999998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3.7370000000000003E-11</v>
      </c>
      <c r="I9" s="267" t="s">
        <v>35</v>
      </c>
      <c r="J9" s="262" t="s">
        <v>438</v>
      </c>
      <c r="K9" s="287">
        <f>B30</f>
        <v>3.7370000000000003E-11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3.1782999999999999E-11</v>
      </c>
      <c r="AD9" s="287">
        <f>B22</f>
        <v>3.1782999999999999E-11</v>
      </c>
      <c r="AE9" s="287">
        <f>B22</f>
        <v>3.1782999999999999E-11</v>
      </c>
      <c r="AF9" s="287">
        <f>B22</f>
        <v>3.1782999999999999E-11</v>
      </c>
      <c r="AG9" s="287">
        <f>B22</f>
        <v>3.1782999999999999E-11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3.7370000000000003E-11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3.7370000000000003E-11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3.7370000000000003E-11</v>
      </c>
      <c r="DB9" s="263" t="s">
        <v>35</v>
      </c>
      <c r="DC9" s="262" t="s">
        <v>381</v>
      </c>
      <c r="DD9" s="311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4.5999999999999999E-3</v>
      </c>
      <c r="EA9" s="262" t="s">
        <v>278</v>
      </c>
      <c r="EB9" s="287">
        <f>B37</f>
        <v>4.5999999999999999E-3</v>
      </c>
      <c r="EC9" s="263"/>
      <c r="ED9" s="262" t="s">
        <v>278</v>
      </c>
      <c r="EE9" s="287">
        <f>B37</f>
        <v>4.5999999999999999E-3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2.1999999999999999E-2</v>
      </c>
      <c r="EP9" s="262" t="s">
        <v>275</v>
      </c>
      <c r="EQ9" s="310">
        <f>B38</f>
        <v>2.1999999999999999E-2</v>
      </c>
      <c r="ER9" s="263"/>
      <c r="ES9" s="262" t="s">
        <v>275</v>
      </c>
      <c r="ET9" s="310">
        <f>B38</f>
        <v>2.1999999999999999E-2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0.4</v>
      </c>
      <c r="FD9" s="262"/>
      <c r="FE9" s="262" t="s">
        <v>201</v>
      </c>
      <c r="FF9" s="310">
        <f>B40</f>
        <v>0.4</v>
      </c>
      <c r="FG9" s="263"/>
      <c r="FH9" s="262" t="s">
        <v>201</v>
      </c>
      <c r="FI9" s="310">
        <f>B40</f>
        <v>0.4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2.7</v>
      </c>
      <c r="GH9" s="262"/>
      <c r="GI9" s="262" t="s">
        <v>276</v>
      </c>
      <c r="GJ9" s="310">
        <f>B39</f>
        <v>2.7</v>
      </c>
      <c r="GK9" s="262"/>
      <c r="GL9" s="262" t="s">
        <v>276</v>
      </c>
      <c r="GM9" s="310">
        <f>B39</f>
        <v>2.7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0.2</v>
      </c>
      <c r="GW9" s="262"/>
      <c r="GX9" s="262" t="s">
        <v>277</v>
      </c>
      <c r="GY9" s="310">
        <f>B41</f>
        <v>0.2</v>
      </c>
      <c r="GZ9" s="262"/>
      <c r="HA9" s="262" t="s">
        <v>277</v>
      </c>
      <c r="HB9" s="310">
        <f>B41</f>
        <v>0.2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7.2400000000000006E-2</v>
      </c>
      <c r="C10" s="241"/>
      <c r="D10" s="88" t="s">
        <v>43</v>
      </c>
      <c r="E10" s="187">
        <f>B19</f>
        <v>1.1248E-10</v>
      </c>
      <c r="F10" s="188" t="s">
        <v>35</v>
      </c>
      <c r="G10" s="266" t="s">
        <v>80</v>
      </c>
      <c r="H10" s="294">
        <f>(H5/(H6*H15))/H68</f>
        <v>6.3412698976366921E-2</v>
      </c>
      <c r="I10" s="271" t="s">
        <v>304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1.1248E-10</v>
      </c>
      <c r="X10" s="263" t="s">
        <v>44</v>
      </c>
      <c r="Y10" s="249" t="s">
        <v>43</v>
      </c>
      <c r="Z10" s="290">
        <f>B19</f>
        <v>1.1248E-10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1.1248E-10</v>
      </c>
      <c r="BU10" s="263" t="s">
        <v>35</v>
      </c>
      <c r="BV10" s="266" t="s">
        <v>80</v>
      </c>
      <c r="BW10" s="294">
        <f>(BW5/(BW6*BW12))/BW32</f>
        <v>12.447099825740617</v>
      </c>
      <c r="BX10" s="271" t="s">
        <v>304</v>
      </c>
      <c r="BY10" s="188" t="s">
        <v>16</v>
      </c>
      <c r="BZ10" s="191">
        <f>(BZ33*BZ11)/(1-EXP(-BZ11*BZ33))</f>
        <v>1.3281892705568645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299</v>
      </c>
      <c r="CL10" s="289">
        <f>B293</f>
        <v>27.027027027027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1.1248E-10</v>
      </c>
      <c r="CY10" s="263" t="s">
        <v>35</v>
      </c>
      <c r="CZ10" s="263" t="s">
        <v>16</v>
      </c>
      <c r="DA10" s="288">
        <f>(DA38*DA11)/(1-EXP(-DA11*DA38))</f>
        <v>1.5288322310877529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2.5229999999999999E-2</v>
      </c>
      <c r="DL10" s="267"/>
      <c r="DO10" s="267" t="s">
        <v>37</v>
      </c>
      <c r="DP10" s="287">
        <f>B44</f>
        <v>2.5229999999999999E-2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0.73599999999999999</v>
      </c>
      <c r="C11" s="241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(H5/(H7*H16*H28))/H68</f>
        <v>4.0863027133050062E-3</v>
      </c>
      <c r="I11" s="271" t="s">
        <v>304</v>
      </c>
      <c r="J11" s="188" t="s">
        <v>16</v>
      </c>
      <c r="K11" s="109">
        <f>(K46*K12)/(1-EXP(-K12*K46))</f>
        <v>1.3281892705568645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(BW5/(BW8*(1/BW31)*BW15))/BW32</f>
        <v>32206.479783141185</v>
      </c>
      <c r="BX11" s="271" t="s">
        <v>304</v>
      </c>
      <c r="BY11" s="266" t="s">
        <v>23</v>
      </c>
      <c r="BZ11" s="109">
        <f>0.693/BZ12</f>
        <v>2.2972045705420805E-2</v>
      </c>
      <c r="CA11" s="88"/>
      <c r="CB11" s="249" t="s">
        <v>456</v>
      </c>
      <c r="CC11" s="287">
        <f>B3</f>
        <v>8.5099999999999995E-2</v>
      </c>
      <c r="CE11" s="249" t="s">
        <v>454</v>
      </c>
      <c r="CF11" s="287">
        <f>B6</f>
        <v>4.3299999999999998E-2</v>
      </c>
      <c r="CH11" s="249" t="s">
        <v>460</v>
      </c>
      <c r="CI11" s="287">
        <f>B10</f>
        <v>7.2400000000000006E-2</v>
      </c>
      <c r="CK11" s="266" t="s">
        <v>270</v>
      </c>
      <c r="CL11" s="287">
        <f>B31</f>
        <v>30.167100000000001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1.5288322310877529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2.2972045705420805E-2</v>
      </c>
      <c r="DC11" s="262" t="s">
        <v>382</v>
      </c>
      <c r="DD11" s="311">
        <f>B141</f>
        <v>41.7</v>
      </c>
      <c r="DE11" s="267" t="s">
        <v>254</v>
      </c>
      <c r="DF11" s="267" t="s">
        <v>55</v>
      </c>
      <c r="DG11" s="288">
        <f>DG19+DG20</f>
        <v>8.9999999999999992E-5</v>
      </c>
      <c r="DL11" s="267"/>
      <c r="DO11" s="267" t="s">
        <v>55</v>
      </c>
      <c r="DP11" s="288">
        <f>DP19+DP20</f>
        <v>8.9999999999999992E-5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2.6599999999999999E-2</v>
      </c>
      <c r="C12" s="241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(H5/(H8*(1/H45)*H21))/H68</f>
        <v>10288.76729638357</v>
      </c>
      <c r="I12" s="271" t="s">
        <v>304</v>
      </c>
      <c r="J12" s="266" t="s">
        <v>23</v>
      </c>
      <c r="K12" s="109">
        <f>0.693/K13</f>
        <v>2.2972045705420805E-2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30.167100000000001</v>
      </c>
      <c r="CA12" s="88" t="s">
        <v>69</v>
      </c>
      <c r="CB12" s="249" t="s">
        <v>457</v>
      </c>
      <c r="CC12" s="287">
        <f>B4</f>
        <v>0.74199999999999999</v>
      </c>
      <c r="CE12" s="249" t="s">
        <v>455</v>
      </c>
      <c r="CF12" s="287">
        <f>B7</f>
        <v>0.65300000000000002</v>
      </c>
      <c r="CH12" s="249" t="s">
        <v>461</v>
      </c>
      <c r="CI12" s="287">
        <f>B11</f>
        <v>0.73599999999999999</v>
      </c>
      <c r="CK12" s="249" t="s">
        <v>23</v>
      </c>
      <c r="CL12" s="288">
        <f>693/CL11</f>
        <v>22.972045705420804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2.2972045705420805E-2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30.167100000000001</v>
      </c>
      <c r="DB12" s="249" t="s">
        <v>69</v>
      </c>
      <c r="DC12" s="262" t="s">
        <v>383</v>
      </c>
      <c r="DD12" s="311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0.46500000000000002</v>
      </c>
      <c r="C13" s="242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>
        <f>(H14/((1/H42)*(H50+H51+H52)))</f>
        <v>0.14511503819035632</v>
      </c>
      <c r="I13" s="271" t="s">
        <v>304</v>
      </c>
      <c r="J13" s="266" t="s">
        <v>270</v>
      </c>
      <c r="K13" s="189">
        <f>B31</f>
        <v>30.167100000000001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8.5099999999999995E-2</v>
      </c>
      <c r="BM13" s="249" t="s">
        <v>454</v>
      </c>
      <c r="BN13" s="287">
        <f>B6</f>
        <v>4.3299999999999998E-2</v>
      </c>
      <c r="BP13" s="249" t="s">
        <v>460</v>
      </c>
      <c r="BQ13" s="287">
        <f>B10</f>
        <v>7.2400000000000006E-2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>
        <f>((BZ5/(BZ6*BZ16*(1/BZ36)))*BZ10)/BZ37</f>
        <v>4.8122799657857458</v>
      </c>
      <c r="CA13" s="271" t="s">
        <v>303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597.27318834094092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30.167100000000001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>
        <f>(DA5/(DA6*DA23))/DA50</f>
        <v>3.8664210303609975E-2</v>
      </c>
      <c r="DB13" s="266" t="s">
        <v>304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>
        <f>(H5/(H9*(H22+H25)*H43))/H68</f>
        <v>1.6149194005839079E-3</v>
      </c>
      <c r="I14" s="271" t="s">
        <v>303</v>
      </c>
      <c r="J14" s="266" t="s">
        <v>80</v>
      </c>
      <c r="K14" s="294">
        <f>((K5/(K6*K19*(1/K49)))*K11)/K54</f>
        <v>1.0312028498112313</v>
      </c>
      <c r="L14" s="271" t="s">
        <v>303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2.381967648E-9</v>
      </c>
      <c r="X14" s="262" t="s">
        <v>64</v>
      </c>
      <c r="Y14" s="262" t="s">
        <v>63</v>
      </c>
      <c r="Z14" s="287">
        <f>B28</f>
        <v>2.381967648E-9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0.74199999999999999</v>
      </c>
      <c r="BM14" s="249" t="s">
        <v>455</v>
      </c>
      <c r="BN14" s="287">
        <f>B7</f>
        <v>0.65300000000000002</v>
      </c>
      <c r="BP14" s="249" t="s">
        <v>461</v>
      </c>
      <c r="BQ14" s="287">
        <f>B11</f>
        <v>0.73599999999999999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((BZ5/(BZ7*BZ17*(1/BZ9)*BZ35))*BZ10)/BZ37</f>
        <v>413150.28485163191</v>
      </c>
      <c r="CA14" s="271" t="s">
        <v>303</v>
      </c>
      <c r="CB14" s="249" t="s">
        <v>71</v>
      </c>
      <c r="CC14" s="290">
        <f>B23</f>
        <v>2.5337597040000001E-6</v>
      </c>
      <c r="CD14" s="263" t="s">
        <v>72</v>
      </c>
      <c r="CE14" s="249" t="s">
        <v>71</v>
      </c>
      <c r="CF14" s="290">
        <f>B25</f>
        <v>5.1749414784E-7</v>
      </c>
      <c r="CG14" s="263" t="s">
        <v>72</v>
      </c>
      <c r="CH14" s="249" t="s">
        <v>71</v>
      </c>
      <c r="CI14" s="290">
        <f>B27</f>
        <v>2.2652045279999998E-6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((CU5/(CU6*CU24*(1/CU47)))*CU11)/CU48</f>
        <v>0.82572629278301624</v>
      </c>
      <c r="CV14" s="271" t="s">
        <v>303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(DA5/(DA7*DA24*DA46))/DA50</f>
        <v>2.5401341190814902E-3</v>
      </c>
      <c r="DB14" s="266" t="s">
        <v>304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((K5/(K7*K20*(1/K10)*K48))*K11)/K54</f>
        <v>3688.841829032428</v>
      </c>
      <c r="L15" s="271" t="s">
        <v>303</v>
      </c>
      <c r="M15" s="249" t="s">
        <v>448</v>
      </c>
      <c r="N15" s="290">
        <f>B23</f>
        <v>2.5337597040000001E-6</v>
      </c>
      <c r="O15" s="263" t="s">
        <v>446</v>
      </c>
      <c r="P15" s="249" t="s">
        <v>449</v>
      </c>
      <c r="Q15" s="290">
        <f>B25</f>
        <v>5.1749414784E-7</v>
      </c>
      <c r="R15" s="263" t="s">
        <v>446</v>
      </c>
      <c r="S15" s="249" t="s">
        <v>453</v>
      </c>
      <c r="T15" s="290">
        <f>B27</f>
        <v>2.2652045279999998E-6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2.5337597040000001E-6</v>
      </c>
      <c r="AK15" s="263" t="s">
        <v>72</v>
      </c>
      <c r="AL15" s="262" t="s">
        <v>449</v>
      </c>
      <c r="AM15" s="290">
        <f>B25</f>
        <v>5.1749414784E-7</v>
      </c>
      <c r="AN15" s="263" t="s">
        <v>72</v>
      </c>
      <c r="AO15" s="262" t="s">
        <v>452</v>
      </c>
      <c r="AP15" s="290">
        <f>B27</f>
        <v>2.2652045279999998E-6</v>
      </c>
      <c r="AQ15" s="263" t="s">
        <v>72</v>
      </c>
      <c r="AR15" s="249" t="s">
        <v>448</v>
      </c>
      <c r="AS15" s="290">
        <f>B23</f>
        <v>2.5337597040000001E-6</v>
      </c>
      <c r="AT15" s="263" t="s">
        <v>72</v>
      </c>
      <c r="AU15" s="262" t="s">
        <v>449</v>
      </c>
      <c r="AV15" s="290">
        <f>B25</f>
        <v>5.1749414784E-7</v>
      </c>
      <c r="AW15" s="263" t="s">
        <v>72</v>
      </c>
      <c r="AX15" s="262" t="s">
        <v>452</v>
      </c>
      <c r="AY15" s="290">
        <f>B27</f>
        <v>2.2652045279999998E-6</v>
      </c>
      <c r="AZ15" s="263" t="s">
        <v>72</v>
      </c>
      <c r="BA15" s="249" t="s">
        <v>448</v>
      </c>
      <c r="BB15" s="290">
        <f>B23</f>
        <v>2.5337597040000001E-6</v>
      </c>
      <c r="BC15" s="263" t="s">
        <v>72</v>
      </c>
      <c r="BD15" s="262" t="s">
        <v>449</v>
      </c>
      <c r="BE15" s="290">
        <f>B25</f>
        <v>5.1749414784E-7</v>
      </c>
      <c r="BF15" s="263" t="s">
        <v>72</v>
      </c>
      <c r="BG15" s="262" t="s">
        <v>452</v>
      </c>
      <c r="BH15" s="290">
        <f>B27</f>
        <v>2.2652045279999998E-6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(((BZ5)/(BZ8*BZ22*(1/BZ34)*BZ25*BZ28*(1/24)*BZ31*BZ32))*BZ10)/BZ37</f>
        <v>1.3798513286285545</v>
      </c>
      <c r="CA15" s="271" t="s">
        <v>303</v>
      </c>
      <c r="CB15" s="95" t="s">
        <v>299</v>
      </c>
      <c r="CC15" s="289">
        <f>B293</f>
        <v>27.027027027027</v>
      </c>
      <c r="CE15" s="95" t="s">
        <v>299</v>
      </c>
      <c r="CF15" s="289">
        <f>B293</f>
        <v>27.027027027027</v>
      </c>
      <c r="CH15" s="95" t="s">
        <v>299</v>
      </c>
      <c r="CI15" s="289">
        <f>B293</f>
        <v>27.027027027027</v>
      </c>
      <c r="CT15" s="266" t="s">
        <v>74</v>
      </c>
      <c r="CU15" s="295">
        <f>((CU5/(CU7*CU25*(1/CU10)*CU46))*CU11)/CU48</f>
        <v>2639.465612124457</v>
      </c>
      <c r="CV15" s="271" t="s">
        <v>303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(DA5/(DA8*DA25*(DA47/DA48)))/DA50</f>
        <v>6553.5464444459258</v>
      </c>
      <c r="DB15" s="266" t="s">
        <v>304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x14ac:dyDescent="0.2">
      <c r="A16" s="585"/>
      <c r="B16" s="586"/>
      <c r="C16" s="6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((K5/(K8*K45*((K40*K44*(1/24))+(K41*K43*(1/24)))*K32*(1/K47)*K34))*K11)/K54</f>
        <v>2.2444977811285952E-3</v>
      </c>
      <c r="L16" s="271" t="s">
        <v>303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((W5)/((W11/W12)*W8*W9*W10*W13))/W20</f>
        <v>2.9239766081871374E-3</v>
      </c>
      <c r="X16" s="88" t="s">
        <v>15</v>
      </c>
      <c r="Y16" s="88" t="s">
        <v>74</v>
      </c>
      <c r="Z16" s="294">
        <f>((Z5)/((Z11/Z12)*Z8*Z9*Z10*Z13))/Z20</f>
        <v>2.631578947368424E-3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8.5099999999999995E-2</v>
      </c>
      <c r="AG16" s="305">
        <f>B3</f>
        <v>8.5099999999999995E-2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2.5337597040000001E-6</v>
      </c>
      <c r="BL16" s="263" t="s">
        <v>72</v>
      </c>
      <c r="BM16" s="262" t="s">
        <v>449</v>
      </c>
      <c r="BN16" s="290">
        <f>B25</f>
        <v>5.1749414784E-7</v>
      </c>
      <c r="BO16" s="263" t="s">
        <v>72</v>
      </c>
      <c r="BP16" s="262" t="s">
        <v>452</v>
      </c>
      <c r="BQ16" s="290">
        <f>B27</f>
        <v>2.2652045279999998E-6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2"/>
      <c r="CC16" s="293"/>
      <c r="CD16" s="262"/>
      <c r="CE16" s="262"/>
      <c r="CF16" s="293"/>
      <c r="CG16" s="262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((CU5*CU44*CU12)/((1-EXP(-CU12*CU44))*CU8*CU31*(1/365)*CU32*((CU38*(1/24)*CU42)+(CU39*(1/24)*CU41))*CU43))/CU48</f>
        <v>8.6383331891928014E-4</v>
      </c>
      <c r="CV16" s="271" t="s">
        <v>303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>
        <f>DG2</f>
        <v>2.3227582046277079E-2</v>
      </c>
      <c r="DB16" s="266" t="s">
        <v>304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4.9562999999999996E-2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4.9562999999999996E-2</v>
      </c>
      <c r="DQ16" s="262" t="s">
        <v>82</v>
      </c>
      <c r="DR16" s="267" t="s">
        <v>400</v>
      </c>
      <c r="DS16" s="297">
        <f>B175</f>
        <v>1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4.9562999999999996E-2</v>
      </c>
      <c r="EF16" s="262" t="s">
        <v>82</v>
      </c>
      <c r="EG16" s="267" t="s">
        <v>401</v>
      </c>
      <c r="EH16" s="297">
        <f>B176</f>
        <v>1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4.9562999999999996E-2</v>
      </c>
      <c r="EU16" s="262" t="s">
        <v>82</v>
      </c>
      <c r="EV16" s="267" t="s">
        <v>402</v>
      </c>
      <c r="EW16" s="297">
        <f>B177</f>
        <v>1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4.9562999999999996E-2</v>
      </c>
      <c r="FJ16" s="262" t="s">
        <v>82</v>
      </c>
      <c r="FK16" s="267" t="s">
        <v>403</v>
      </c>
      <c r="FL16" s="297">
        <f>B178</f>
        <v>1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4.9562999999999996E-2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4.9562999999999996E-2</v>
      </c>
      <c r="HC16" s="262" t="s">
        <v>82</v>
      </c>
      <c r="HD16" s="262"/>
      <c r="HE16" s="293"/>
      <c r="HF16" s="262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>
        <f>(K18/(K50+K51))*K11</f>
        <v>7.5199615070983758E-3</v>
      </c>
      <c r="L17" s="271" t="s">
        <v>303</v>
      </c>
      <c r="M17" s="95" t="s">
        <v>299</v>
      </c>
      <c r="N17" s="293">
        <f>B293</f>
        <v>27.027027027027</v>
      </c>
      <c r="O17" s="262"/>
      <c r="P17" s="95" t="s">
        <v>299</v>
      </c>
      <c r="Q17" s="293">
        <f>B293</f>
        <v>27.027027027027</v>
      </c>
      <c r="R17" s="262"/>
      <c r="S17" s="95" t="s">
        <v>299</v>
      </c>
      <c r="T17" s="293">
        <f>B293</f>
        <v>27.027027027027</v>
      </c>
      <c r="U17" s="262"/>
      <c r="V17" s="88" t="s">
        <v>78</v>
      </c>
      <c r="W17" s="296">
        <f>((W5)/((W11/W12)*W8*W9*W14*(1/365)))/W20</f>
        <v>3.0238306018615897</v>
      </c>
      <c r="X17" s="88" t="s">
        <v>15</v>
      </c>
      <c r="Y17" s="88" t="s">
        <v>78</v>
      </c>
      <c r="Z17" s="296">
        <f>((Z5)/((Z11/Z12)*Z8*Z9*Z14*(1/365)))/Z20</f>
        <v>2.7214475416754307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95" t="s">
        <v>299</v>
      </c>
      <c r="AJ17" s="293">
        <f>B293</f>
        <v>27.027027027027</v>
      </c>
      <c r="AK17" s="262"/>
      <c r="AL17" s="95" t="s">
        <v>299</v>
      </c>
      <c r="AM17" s="293">
        <f>B293</f>
        <v>27.027027027027</v>
      </c>
      <c r="AN17" s="262"/>
      <c r="AO17" s="95" t="s">
        <v>299</v>
      </c>
      <c r="AP17" s="293">
        <f>B293</f>
        <v>27.027027027027</v>
      </c>
      <c r="AQ17" s="262"/>
      <c r="AR17" s="95" t="s">
        <v>299</v>
      </c>
      <c r="AS17" s="293">
        <f>B293</f>
        <v>27.027027027027</v>
      </c>
      <c r="AT17" s="262"/>
      <c r="AU17" s="95" t="s">
        <v>299</v>
      </c>
      <c r="AV17" s="293">
        <f>B293</f>
        <v>27.027027027027</v>
      </c>
      <c r="AW17" s="262"/>
      <c r="AX17" s="95" t="s">
        <v>299</v>
      </c>
      <c r="AY17" s="293">
        <f>B293</f>
        <v>27.027027027027</v>
      </c>
      <c r="AZ17" s="262"/>
      <c r="BA17" s="95" t="s">
        <v>299</v>
      </c>
      <c r="BB17" s="293">
        <f>B293</f>
        <v>27.027027027027</v>
      </c>
      <c r="BC17" s="262"/>
      <c r="BD17" s="95" t="s">
        <v>299</v>
      </c>
      <c r="BE17" s="293">
        <f>B293</f>
        <v>27.027027027027</v>
      </c>
      <c r="BF17" s="262"/>
      <c r="BG17" s="95" t="s">
        <v>299</v>
      </c>
      <c r="BH17" s="293">
        <f>B293</f>
        <v>27.027027027027</v>
      </c>
      <c r="BI17" s="262"/>
      <c r="BJ17" s="95" t="s">
        <v>299</v>
      </c>
      <c r="BK17" s="293">
        <f>B293</f>
        <v>27.027027027027</v>
      </c>
      <c r="BL17" s="262"/>
      <c r="BM17" s="95" t="s">
        <v>299</v>
      </c>
      <c r="BN17" s="293">
        <f>B293</f>
        <v>27.027027027027</v>
      </c>
      <c r="BO17" s="262"/>
      <c r="BP17" s="95" t="s">
        <v>299</v>
      </c>
      <c r="BQ17" s="293">
        <f>B293</f>
        <v>27.027027027027</v>
      </c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1.3855016978286199E-3</v>
      </c>
      <c r="CV17" s="271" t="s">
        <v>303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>
        <f>EZ2</f>
        <v>9.3979373106456663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2.2972045705420805E-2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2.381967648E-9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>
        <f>(K5/(K9*(K25+K28)*K39))/K54</f>
        <v>1.6149194005839079E-3</v>
      </c>
      <c r="L18" s="271" t="s">
        <v>303</v>
      </c>
      <c r="V18" s="88" t="s">
        <v>74</v>
      </c>
      <c r="W18" s="294">
        <f>((W5*W6*W9)/((W11/W12)*(1-EXP(-W6*W9))*W10*W13*W8*W9))/W20</f>
        <v>3.8435257648847536E-3</v>
      </c>
      <c r="X18" s="88" t="s">
        <v>16</v>
      </c>
      <c r="Y18" s="88" t="s">
        <v>74</v>
      </c>
      <c r="Z18" s="294">
        <f>((Z5*Z6*Z9)/((Z11/Z12)*(1-EXP(-Z6*Z9))*Z10*Z13*Z8*Z9))/Z20</f>
        <v>3.4591731883962776E-3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>
        <f>FC2</f>
        <v>7.3870794170988435E-2</v>
      </c>
      <c r="CV18" s="271" t="s">
        <v>303</v>
      </c>
      <c r="CW18" s="266" t="s">
        <v>63</v>
      </c>
      <c r="CX18" s="189">
        <f>B28</f>
        <v>2.381967648E-9</v>
      </c>
      <c r="CY18" s="266" t="s">
        <v>64</v>
      </c>
      <c r="CZ18" s="266" t="s">
        <v>258</v>
      </c>
      <c r="DA18" s="295">
        <f>GS2</f>
        <v>0.36071798357862278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2.2972045705420805E-2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2.2972045705420805E-2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2.2972045705420805E-2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2.2972045705420805E-2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2.2972045705420805E-2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30.167100000000001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1.1248E-10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((W5*W6*W9)/((W11/W12)*(1-EXP(-W6*W9))*W14*W8*W9*(1/365)))/W20</f>
        <v>3.9747824228004767</v>
      </c>
      <c r="X19" s="88" t="s">
        <v>16</v>
      </c>
      <c r="Y19" s="88" t="s">
        <v>78</v>
      </c>
      <c r="Z19" s="296">
        <f>((Z5*Z6*Z9)/((Z11/Z12)*(1-EXP(-Z6*Z9))*Z14*Z8*Z9*(1/365)))/Z20</f>
        <v>3.5773041805204282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0.74199999999999999</v>
      </c>
      <c r="AG19" s="305">
        <f>B4</f>
        <v>0.74199999999999999</v>
      </c>
      <c r="AH19" s="267"/>
      <c r="BS19" s="262" t="s">
        <v>63</v>
      </c>
      <c r="BT19" s="287">
        <f>E18</f>
        <v>2.381967648E-9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((CC22*CC23*CC24)/((1-EXP(-CC24*CC23))*CC27*CC31*(CC26/365)*CC29*(CC30/24)*CC28))/CC32</f>
        <v>35.22095895593305</v>
      </c>
      <c r="CD19" s="404" t="s">
        <v>307</v>
      </c>
      <c r="CE19" s="402" t="s">
        <v>562</v>
      </c>
      <c r="CF19" s="400">
        <f>((CF22*CF23*CF24)/((1-EXP(-CF24*CF23))*CF27*CF31*(CF26/365)*CF29*(CF30/24)*CF28))/CF32</f>
        <v>4.1652067486719062</v>
      </c>
      <c r="CG19" s="398" t="s">
        <v>303</v>
      </c>
      <c r="CK19" s="410" t="s">
        <v>510</v>
      </c>
      <c r="CL19" s="400">
        <f>(CL22/(CL23*CL24*CL25*CL26))/CL27</f>
        <v>0.50774308200050822</v>
      </c>
      <c r="CM19" s="404" t="s">
        <v>303</v>
      </c>
      <c r="CN19" s="402" t="s">
        <v>7</v>
      </c>
      <c r="CO19" s="400">
        <f>(CL19/(CO22*((CO27*CO29*CO30*(CO23+CO24))+(CO28*CO29))))*CL30</f>
        <v>10777.643380641814</v>
      </c>
      <c r="CP19" s="412" t="s">
        <v>303</v>
      </c>
      <c r="CQ19" s="402" t="s">
        <v>6</v>
      </c>
      <c r="CR19" s="400">
        <f>CL19/(CR22*CR23*(1/CR24))</f>
        <v>23079.231000023101</v>
      </c>
      <c r="CS19" s="415" t="s">
        <v>304</v>
      </c>
      <c r="CT19" s="266" t="s">
        <v>258</v>
      </c>
      <c r="CU19" s="295">
        <f>GV2</f>
        <v>3.7392737689638886E-3</v>
      </c>
      <c r="CV19" s="271" t="s">
        <v>303</v>
      </c>
      <c r="CW19" s="266" t="s">
        <v>255</v>
      </c>
      <c r="CX19" s="304">
        <f>B173</f>
        <v>1</v>
      </c>
      <c r="CY19" s="88"/>
      <c r="CZ19" s="266" t="s">
        <v>184</v>
      </c>
      <c r="DA19" s="295">
        <f>EK2</f>
        <v>0.38555106357371161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30.167100000000001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30.167100000000001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30.167100000000001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30.167100000000001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30.167100000000001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299</v>
      </c>
      <c r="GP19" s="344">
        <f>B293</f>
        <v>27.027027027027</v>
      </c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3.0487999999999999E-11</v>
      </c>
      <c r="C20" s="263" t="s">
        <v>35</v>
      </c>
      <c r="D20" s="88" t="s">
        <v>74</v>
      </c>
      <c r="E20" s="294">
        <f>((E5)/(E10*E11))/E26</f>
        <v>2.0431513566525031E-3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299</v>
      </c>
      <c r="W20" s="289">
        <f>B293</f>
        <v>27.027027027027</v>
      </c>
      <c r="Y20" s="95" t="s">
        <v>299</v>
      </c>
      <c r="Z20" s="289">
        <f>B293</f>
        <v>27.027027027027</v>
      </c>
      <c r="AB20" s="262" t="s">
        <v>71</v>
      </c>
      <c r="AC20" s="287">
        <f>B23</f>
        <v>2.5337597040000001E-6</v>
      </c>
      <c r="AD20" s="287">
        <f>B23</f>
        <v>2.5337597040000001E-6</v>
      </c>
      <c r="AE20" s="287">
        <f>B23</f>
        <v>2.5337597040000001E-6</v>
      </c>
      <c r="AF20" s="287">
        <f>B23</f>
        <v>2.5337597040000001E-6</v>
      </c>
      <c r="AG20" s="287">
        <f>B23</f>
        <v>2.5337597040000001E-6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8.256309959550942E-3</v>
      </c>
      <c r="CV20" s="271" t="s">
        <v>303</v>
      </c>
      <c r="CW20" s="88" t="s">
        <v>74</v>
      </c>
      <c r="CX20" s="294">
        <f>((CX5)/((CX14/CX15)*CX10*CX11))/CX26</f>
        <v>1.2700670595407451E-3</v>
      </c>
      <c r="CY20" s="88" t="s">
        <v>15</v>
      </c>
      <c r="CZ20" s="266" t="s">
        <v>493</v>
      </c>
      <c r="DA20" s="295">
        <f>DV2</f>
        <v>0.39918895085193801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6.3E-5</v>
      </c>
      <c r="DH20" s="249" t="s">
        <v>82</v>
      </c>
      <c r="DL20" s="267"/>
      <c r="DO20" s="267" t="s">
        <v>90</v>
      </c>
      <c r="DP20" s="288">
        <f>0.693/B35</f>
        <v>6.3E-5</v>
      </c>
      <c r="DQ20" s="249" t="s">
        <v>82</v>
      </c>
      <c r="DR20" s="95" t="s">
        <v>299</v>
      </c>
      <c r="DS20" s="289">
        <f>B293</f>
        <v>27.027027027027</v>
      </c>
      <c r="DU20" s="267"/>
      <c r="EA20" s="267"/>
      <c r="EB20" s="307"/>
      <c r="EC20" s="263"/>
      <c r="ED20" s="267" t="s">
        <v>90</v>
      </c>
      <c r="EE20" s="299">
        <f>0.693/B35</f>
        <v>6.3E-5</v>
      </c>
      <c r="EF20" s="263" t="s">
        <v>82</v>
      </c>
      <c r="EG20" s="95" t="s">
        <v>299</v>
      </c>
      <c r="EH20" s="345">
        <f>B293</f>
        <v>27.027027027027</v>
      </c>
      <c r="EJ20" s="267"/>
      <c r="EP20" s="267"/>
      <c r="EQ20" s="307"/>
      <c r="ER20" s="263"/>
      <c r="ES20" s="267" t="s">
        <v>90</v>
      </c>
      <c r="ET20" s="299">
        <f>0.693/B35</f>
        <v>6.3E-5</v>
      </c>
      <c r="EU20" s="263" t="s">
        <v>82</v>
      </c>
      <c r="EV20" s="95" t="s">
        <v>299</v>
      </c>
      <c r="EW20" s="345">
        <f>B293</f>
        <v>27.027027027027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6.3E-5</v>
      </c>
      <c r="FJ20" s="263" t="s">
        <v>82</v>
      </c>
      <c r="FK20" s="95" t="s">
        <v>299</v>
      </c>
      <c r="FL20" s="345">
        <f>B293</f>
        <v>27.027027027027</v>
      </c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299</v>
      </c>
      <c r="GA20" s="344">
        <f>B293</f>
        <v>27.027027027027</v>
      </c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6.3E-5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6.3E-5</v>
      </c>
      <c r="HC20" s="263" t="s">
        <v>82</v>
      </c>
    </row>
    <row r="21" spans="1:214" ht="15" thickTop="1" thickBot="1" x14ac:dyDescent="0.25">
      <c r="A21" s="262" t="s">
        <v>316</v>
      </c>
      <c r="B21" s="315">
        <v>4.2549999999999998E-11</v>
      </c>
      <c r="C21" s="262" t="s">
        <v>35</v>
      </c>
      <c r="D21" s="88" t="s">
        <v>78</v>
      </c>
      <c r="E21" s="295">
        <f>((E5)/((E14/E15)*E8*E9*E18*(1/365)*E19))/E26</f>
        <v>0.62304201961433836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((N24*N25*N26)/((1-EXP(-N26*N25))*N29*N34*(N28/365)*N32*(((N33/24)*N31)+((N35/24)*N30))))/N36</f>
        <v>1.1222488905642976E-2</v>
      </c>
      <c r="O21" s="637" t="s">
        <v>307</v>
      </c>
      <c r="P21" s="639" t="s">
        <v>516</v>
      </c>
      <c r="Q21" s="647">
        <f>((Q24*Q25*Q26)/((1-EXP(-Q26*Q25))*Q29*Q34*(Q28/365)*Q32*(((Q33/24)*Q31)+((Q35/24)*Q30))))/Q36</f>
        <v>3.9026924559687919E-3</v>
      </c>
      <c r="R21" s="643" t="s">
        <v>303</v>
      </c>
      <c r="AB21" s="262" t="s">
        <v>43</v>
      </c>
      <c r="AC21" s="290">
        <f>B19</f>
        <v>1.1248E-10</v>
      </c>
      <c r="AD21" s="290">
        <f>B19</f>
        <v>1.1248E-10</v>
      </c>
      <c r="AE21" s="290">
        <f>B19</f>
        <v>1.1248E-10</v>
      </c>
      <c r="AF21" s="290">
        <f>B19</f>
        <v>1.1248E-10</v>
      </c>
      <c r="AG21" s="290">
        <f>B19</f>
        <v>1.1248E-10</v>
      </c>
      <c r="AH21" s="263" t="s">
        <v>35</v>
      </c>
      <c r="AI21" s="381" t="s">
        <v>516</v>
      </c>
      <c r="AJ21" s="387">
        <f>((AJ24*AJ25*AJ26)/((1-EXP(-AJ26*AJ25))*AJ34*(AJ28/365)*AJ29*(AJ35/24)*AJ30*AJ32))/AJ36</f>
        <v>4.2037445439295357E-2</v>
      </c>
      <c r="AK21" s="629" t="s">
        <v>307</v>
      </c>
      <c r="AL21" s="383" t="s">
        <v>516</v>
      </c>
      <c r="AM21" s="387">
        <f>((AM24*AM25*AM26)/((1-EXP(-AM26*AM25))*AM34*(AM28/365)*AM29*(AM35/24)*AM30*AM32))/AM36</f>
        <v>1.4618791122319058E-2</v>
      </c>
      <c r="AN21" s="635" t="s">
        <v>303</v>
      </c>
      <c r="AR21" s="381" t="s">
        <v>516</v>
      </c>
      <c r="AS21" s="387">
        <f>((AS24*AS25*AS26)/((1-EXP(-AS26*AS25))*AS34*(AS28/365)*AS29*(AS33/24)*AS31*AS32))/AS36</f>
        <v>1.868330908413127E-2</v>
      </c>
      <c r="AT21" s="391" t="s">
        <v>307</v>
      </c>
      <c r="AU21" s="383" t="s">
        <v>516</v>
      </c>
      <c r="AV21" s="387">
        <f>((AV24*AV25*AV26)/((1-EXP(-AV26*AV25))*AV34*(AV28/365)*AV29*(AV33/24)*AV31*AV32))/AV36</f>
        <v>6.4972404988084707E-3</v>
      </c>
      <c r="AW21" s="385" t="s">
        <v>303</v>
      </c>
      <c r="BA21" s="381" t="s">
        <v>516</v>
      </c>
      <c r="BB21" s="387">
        <f>((BB24*BB25*BB26)/((1-EXP(-BB26*BB25))*BB34*(BB28/365)*BB29*((BB33+BB35)/24)*BB31*BB32))/BB36</f>
        <v>1.6814978175718146E-2</v>
      </c>
      <c r="BC21" s="391" t="s">
        <v>307</v>
      </c>
      <c r="BD21" s="383" t="s">
        <v>516</v>
      </c>
      <c r="BE21" s="387">
        <f>((BE24*BE25*BE26)/((1-EXP(-BE26*BE25))*BE34*(BE28/365)*BE29*((BE33+BE35)/24)*BE31*BE32))/BE36</f>
        <v>5.8475164489276239E-3</v>
      </c>
      <c r="BF21" s="385" t="s">
        <v>303</v>
      </c>
      <c r="BJ21" s="381" t="s">
        <v>561</v>
      </c>
      <c r="BK21" s="389">
        <f>((BK24*BK25*BK26)/((1-EXP(-BK26*BK25))*BK31*BK35*(BK28/365)*BK33*(BK34/24)*BK32))/BK36</f>
        <v>50.294587182862735</v>
      </c>
      <c r="BL21" s="391" t="s">
        <v>307</v>
      </c>
      <c r="BM21" s="383" t="s">
        <v>562</v>
      </c>
      <c r="BN21" s="389">
        <f>((BN24*BN25*BN26)/((1-EXP(-BN26*BN25))*BN31*BN35*(BN28/365)*BN33*(BN34/24)*BN32))/BN36</f>
        <v>5.9478038124353443</v>
      </c>
      <c r="BO21" s="385" t="s">
        <v>303</v>
      </c>
      <c r="BS21" s="88" t="s">
        <v>74</v>
      </c>
      <c r="BT21" s="294">
        <f>((BT5)/(BT10*BT11))/BT29</f>
        <v>0.22883295194508033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9.2595197586955794E-3</v>
      </c>
      <c r="CV21" s="271" t="s">
        <v>303</v>
      </c>
      <c r="CW21" s="88" t="s">
        <v>78</v>
      </c>
      <c r="CX21" s="296">
        <f>((CX5)/((CX14/CX15)*CX8*CX9*CX18*(1/365)*CX19))/CX26</f>
        <v>0.40497731274931997</v>
      </c>
      <c r="CY21" s="88" t="s">
        <v>15</v>
      </c>
      <c r="CZ21" s="266" t="s">
        <v>492</v>
      </c>
      <c r="DA21" s="295">
        <f>GD2</f>
        <v>0.69551501593271958</v>
      </c>
      <c r="DB21" s="88"/>
      <c r="DC21" s="249" t="s">
        <v>23</v>
      </c>
      <c r="DD21" s="287">
        <f>0.693/DD22</f>
        <v>2.2972045705420805E-2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3.1782999999999999E-11</v>
      </c>
      <c r="C22" s="262" t="s">
        <v>35</v>
      </c>
      <c r="D22" s="88" t="s">
        <v>74</v>
      </c>
      <c r="E22" s="295">
        <f>((E5*E9*E6)/((1-EXP(-E6*E9))*E10*E11))/E26</f>
        <v>2.7136917100295558E-3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((BT5)/((BT14/24)*(BT8/365)*BT9*BT19*BT20))/BT29</f>
        <v>69.780706196805895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2.1999999999999999E-2</v>
      </c>
      <c r="CQ22" s="262" t="s">
        <v>265</v>
      </c>
      <c r="CR22" s="287">
        <f>CO22</f>
        <v>2.1999999999999999E-2</v>
      </c>
      <c r="CT22" s="266" t="s">
        <v>492</v>
      </c>
      <c r="CU22" s="295">
        <f>GG2</f>
        <v>5.4669705581668572E-3</v>
      </c>
      <c r="CV22" s="271" t="s">
        <v>303</v>
      </c>
      <c r="CW22" s="88" t="s">
        <v>74</v>
      </c>
      <c r="CX22" s="294">
        <f>((CX5*CX9*CX6)/((CX14/CX15)*(1-EXP(-CX6*CX9))*CX10*CX11))/CX26</f>
        <v>1.9417194562687391E-3</v>
      </c>
      <c r="CY22" s="88" t="s">
        <v>16</v>
      </c>
      <c r="CZ22" s="266" t="s">
        <v>183</v>
      </c>
      <c r="DA22" s="296">
        <f>FO2</f>
        <v>2.064706455005351E-4</v>
      </c>
      <c r="DB22" s="88"/>
      <c r="DC22" s="266" t="s">
        <v>270</v>
      </c>
      <c r="DD22" s="287">
        <f>B31</f>
        <v>30.167100000000001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2.5337597040000001E-6</v>
      </c>
      <c r="C23" s="262" t="s">
        <v>95</v>
      </c>
      <c r="D23" s="88" t="s">
        <v>78</v>
      </c>
      <c r="E23" s="296">
        <f>((E5*E9*E6)/((E14/E15)*E8*E9*(1-EXP(-E6*E9))*E18*(1/365)*E19))/E26</f>
        <v>0.82751772555784386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((BT5*BT28*BT6)/((1-EXP(-BT6*BT28))*BT10*BT11))/BT29</f>
        <v>0.30393347152331024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3.7370000000000003E-11</v>
      </c>
      <c r="CM23" s="266" t="s">
        <v>13</v>
      </c>
      <c r="CN23" s="249" t="s">
        <v>21</v>
      </c>
      <c r="CO23" s="290">
        <f>CO25</f>
        <v>2.9000000000000001E-2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3.1565897761471158E-6</v>
      </c>
      <c r="CV23" s="271" t="s">
        <v>303</v>
      </c>
      <c r="CW23" s="88" t="s">
        <v>78</v>
      </c>
      <c r="CX23" s="296">
        <f>((CX5*CX9*CX6)/((CX14/CX15)*CX8*CX9*(1-EXP(-CX6*CX9))*CX18*(1/365)*CX19))/CX26</f>
        <v>0.61914236859046545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C23" s="95" t="s">
        <v>299</v>
      </c>
      <c r="DD23" s="345">
        <f>B293</f>
        <v>27.027027027027</v>
      </c>
      <c r="DF23" s="262" t="s">
        <v>17</v>
      </c>
      <c r="DG23" s="287">
        <f>B35</f>
        <v>11000</v>
      </c>
      <c r="DH23" s="249" t="s">
        <v>257</v>
      </c>
      <c r="DO23" s="262" t="s">
        <v>20</v>
      </c>
      <c r="DP23" s="305">
        <f>DP25</f>
        <v>2.5229999999999999E-2</v>
      </c>
      <c r="EA23" s="262"/>
      <c r="EB23" s="293"/>
      <c r="EC23" s="263"/>
      <c r="ED23" s="262" t="s">
        <v>20</v>
      </c>
      <c r="EE23" s="305">
        <f>EE25</f>
        <v>2.9000000000000001E-2</v>
      </c>
      <c r="EF23" s="263"/>
      <c r="EP23" s="262"/>
      <c r="EQ23" s="293"/>
      <c r="ER23" s="263"/>
      <c r="ES23" s="262" t="s">
        <v>20</v>
      </c>
      <c r="ET23" s="305">
        <f>ET25</f>
        <v>2.9000000000000001E-2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2.5229999999999999E-2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2.5229999999999999E-2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2.5229999999999999E-2</v>
      </c>
      <c r="HC23" s="263"/>
      <c r="HD23" s="219" t="s">
        <v>574</v>
      </c>
      <c r="HE23" s="348">
        <f>(HE25*HE33*HE38*HE32*10^-3*HE31*HE27)/(HE30*HE41*(1-EXP(-HE27*HE31)))</f>
        <v>0.20665760048401779</v>
      </c>
      <c r="HF23" s="252" t="s">
        <v>303</v>
      </c>
    </row>
    <row r="24" spans="1:214" ht="14.25" thickTop="1" thickBot="1" x14ac:dyDescent="0.25">
      <c r="A24" s="262" t="s">
        <v>450</v>
      </c>
      <c r="B24" s="315">
        <v>5.0675194079999996E-7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((BT5*BT28*BT6)/((BT14/24)*(BT8/365)*BT9*(1-EXP(-BT6*BT28))*BT19*BT20))/BT29</f>
        <v>92.681985262478491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2.2972045705420805E-2</v>
      </c>
      <c r="CE24" s="262" t="s">
        <v>23</v>
      </c>
      <c r="CF24" s="288">
        <f>0.693/CF25</f>
        <v>2.2972045705420805E-2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1.2323730536702789E-3</v>
      </c>
      <c r="HF24" s="75" t="s">
        <v>303</v>
      </c>
    </row>
    <row r="25" spans="1:214" ht="13.5" thickTop="1" x14ac:dyDescent="0.2">
      <c r="A25" s="262" t="s">
        <v>449</v>
      </c>
      <c r="B25" s="315">
        <v>5.1749414784E-7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3.455831476597612E-3</v>
      </c>
      <c r="X25" s="254" t="s">
        <v>302</v>
      </c>
      <c r="Y25" s="321" t="s">
        <v>16</v>
      </c>
      <c r="Z25" s="358">
        <f>1/((1/Z38)+(1/Z39))</f>
        <v>0.12785334219619762</v>
      </c>
      <c r="AA25" s="255" t="s">
        <v>302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30.167100000000001</v>
      </c>
      <c r="CD25" s="249" t="s">
        <v>69</v>
      </c>
      <c r="CE25" s="266" t="s">
        <v>270</v>
      </c>
      <c r="CF25" s="287">
        <f>B31</f>
        <v>30.167100000000001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2.9000000000000001E-2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2.5229999999999999E-2</v>
      </c>
      <c r="EA25" s="262"/>
      <c r="EC25" s="263"/>
      <c r="ED25" s="262" t="s">
        <v>38</v>
      </c>
      <c r="EE25" s="287">
        <f>B45</f>
        <v>2.9000000000000001E-2</v>
      </c>
      <c r="EF25" s="263"/>
      <c r="EP25" s="262"/>
      <c r="ER25" s="263"/>
      <c r="ES25" s="263" t="s">
        <v>37</v>
      </c>
      <c r="ET25" s="287">
        <f>B45</f>
        <v>2.9000000000000001E-2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2.5229999999999999E-2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2.5229999999999999E-2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2.5229999999999999E-2</v>
      </c>
      <c r="HC25" s="263"/>
      <c r="HD25" s="265" t="s">
        <v>22</v>
      </c>
      <c r="HE25" s="305">
        <f>B47</f>
        <v>7.4000074000074001</v>
      </c>
      <c r="HF25" s="262" t="s">
        <v>304</v>
      </c>
    </row>
    <row r="26" spans="1:214" ht="13.5" thickBot="1" x14ac:dyDescent="0.25">
      <c r="A26" s="262" t="s">
        <v>451</v>
      </c>
      <c r="B26" s="315">
        <v>1.4572037375999999E-6</v>
      </c>
      <c r="C26" s="262" t="s">
        <v>95</v>
      </c>
      <c r="D26" s="95" t="s">
        <v>299</v>
      </c>
      <c r="E26" s="289">
        <f>B293</f>
        <v>27.027027027027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2.2972045705420805E-2</v>
      </c>
      <c r="P26" s="262" t="s">
        <v>23</v>
      </c>
      <c r="Q26" s="288">
        <f>0.693/Q27</f>
        <v>2.2972045705420805E-2</v>
      </c>
      <c r="V26" s="320" t="s">
        <v>15</v>
      </c>
      <c r="W26" s="359">
        <f>1/((1/W38)+(1/W39))</f>
        <v>2.6290367276128358E-3</v>
      </c>
      <c r="X26" s="258" t="s">
        <v>302</v>
      </c>
      <c r="Y26" s="322" t="s">
        <v>15</v>
      </c>
      <c r="Z26" s="360">
        <f>1/((1/Z40)+(1/Z41))</f>
        <v>0.12639599651984784</v>
      </c>
      <c r="AA26" s="259" t="s">
        <v>302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2.2972045705420805E-2</v>
      </c>
      <c r="AL26" s="262" t="s">
        <v>23</v>
      </c>
      <c r="AM26" s="288">
        <f>0.693/AM27</f>
        <v>2.2972045705420805E-2</v>
      </c>
      <c r="AR26" s="262" t="s">
        <v>23</v>
      </c>
      <c r="AS26" s="288">
        <f>0.693/AS27</f>
        <v>2.2972045705420805E-2</v>
      </c>
      <c r="AU26" s="262" t="s">
        <v>23</v>
      </c>
      <c r="AV26" s="288">
        <f>0.693/AV27</f>
        <v>2.2972045705420805E-2</v>
      </c>
      <c r="BA26" s="262" t="s">
        <v>23</v>
      </c>
      <c r="BB26" s="288">
        <f>0.693/BB27</f>
        <v>2.2972045705420805E-2</v>
      </c>
      <c r="BD26" s="262" t="s">
        <v>23</v>
      </c>
      <c r="BE26" s="288">
        <f>0.693/BE27</f>
        <v>2.2972045705420805E-2</v>
      </c>
      <c r="BJ26" s="262" t="s">
        <v>23</v>
      </c>
      <c r="BK26" s="288">
        <f>0.693/BK27</f>
        <v>2.2972045705420805E-2</v>
      </c>
      <c r="BM26" s="262" t="s">
        <v>23</v>
      </c>
      <c r="BN26" s="288">
        <f>0.693/BN27</f>
        <v>2.2972045705420805E-2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95" t="s">
        <v>299</v>
      </c>
      <c r="CX26" s="346">
        <f>B293</f>
        <v>27.027027027027</v>
      </c>
      <c r="CY26" s="88"/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2.9000000000000001E-2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4.4128886115829345E-2</v>
      </c>
      <c r="HF26" s="262" t="s">
        <v>304</v>
      </c>
    </row>
    <row r="27" spans="1:214" ht="15" thickTop="1" x14ac:dyDescent="0.2">
      <c r="A27" s="262" t="s">
        <v>452</v>
      </c>
      <c r="B27" s="315">
        <v>2.2652045279999998E-6</v>
      </c>
      <c r="C27" s="262" t="s">
        <v>95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30.167100000000001</v>
      </c>
      <c r="O27" s="249" t="s">
        <v>69</v>
      </c>
      <c r="P27" s="266" t="s">
        <v>270</v>
      </c>
      <c r="Q27" s="287">
        <f>B31</f>
        <v>30.167100000000001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2.2972045705420805E-2</v>
      </c>
      <c r="AD27" s="288">
        <f>0.693/AD28</f>
        <v>2.2972045705420805E-2</v>
      </c>
      <c r="AE27" s="288">
        <f>0.693/AE28</f>
        <v>2.2972045705420805E-2</v>
      </c>
      <c r="AF27" s="288">
        <f>0.693/AF28</f>
        <v>2.2972045705420805E-2</v>
      </c>
      <c r="AG27" s="288">
        <f>0.693/AG28</f>
        <v>2.2972045705420805E-2</v>
      </c>
      <c r="AI27" s="266" t="s">
        <v>270</v>
      </c>
      <c r="AJ27" s="287">
        <f>B31</f>
        <v>30.167100000000001</v>
      </c>
      <c r="AK27" s="249" t="s">
        <v>69</v>
      </c>
      <c r="AL27" s="266" t="s">
        <v>270</v>
      </c>
      <c r="AM27" s="287">
        <f>B31</f>
        <v>30.167100000000001</v>
      </c>
      <c r="AN27" s="249" t="s">
        <v>69</v>
      </c>
      <c r="AR27" s="266" t="s">
        <v>270</v>
      </c>
      <c r="AS27" s="287">
        <f>B31</f>
        <v>30.167100000000001</v>
      </c>
      <c r="AT27" s="249" t="s">
        <v>69</v>
      </c>
      <c r="AU27" s="266" t="s">
        <v>270</v>
      </c>
      <c r="AV27" s="287">
        <f>B31</f>
        <v>30.167100000000001</v>
      </c>
      <c r="AW27" s="249" t="s">
        <v>69</v>
      </c>
      <c r="BA27" s="266" t="s">
        <v>270</v>
      </c>
      <c r="BB27" s="287">
        <f>B31</f>
        <v>30.167100000000001</v>
      </c>
      <c r="BC27" s="249" t="s">
        <v>69</v>
      </c>
      <c r="BD27" s="266" t="s">
        <v>270</v>
      </c>
      <c r="BE27" s="287">
        <f>B31</f>
        <v>30.167100000000001</v>
      </c>
      <c r="BF27" s="249" t="s">
        <v>69</v>
      </c>
      <c r="BJ27" s="266" t="s">
        <v>270</v>
      </c>
      <c r="BK27" s="287">
        <f>B31</f>
        <v>30.167100000000001</v>
      </c>
      <c r="BL27" s="249" t="s">
        <v>69</v>
      </c>
      <c r="BM27" s="266" t="s">
        <v>270</v>
      </c>
      <c r="BN27" s="287">
        <f>B31</f>
        <v>30.167100000000001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299</v>
      </c>
      <c r="CL27" s="289">
        <f>B293</f>
        <v>27.027027027027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4.5999999999999999E-3</v>
      </c>
      <c r="EP27" s="262"/>
      <c r="EQ27" s="310"/>
      <c r="ES27" s="262" t="s">
        <v>275</v>
      </c>
      <c r="ET27" s="310">
        <f>B38</f>
        <v>2.1999999999999999E-2</v>
      </c>
      <c r="FH27" s="262" t="s">
        <v>201</v>
      </c>
      <c r="FI27" s="310">
        <f>B40</f>
        <v>0.4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2.7</v>
      </c>
      <c r="GS27" s="328"/>
      <c r="GT27" s="264"/>
      <c r="GU27" s="264"/>
      <c r="GV27" s="328"/>
      <c r="GW27" s="264"/>
      <c r="HA27" s="262" t="s">
        <v>277</v>
      </c>
      <c r="HB27" s="310">
        <f>B41</f>
        <v>0.2</v>
      </c>
      <c r="HD27" s="262" t="s">
        <v>23</v>
      </c>
      <c r="HE27" s="288">
        <f>0.693/HE28</f>
        <v>2.2972045705420805E-2</v>
      </c>
    </row>
    <row r="28" spans="1:214" ht="15.75" thickBot="1" x14ac:dyDescent="0.25">
      <c r="A28" s="262" t="s">
        <v>63</v>
      </c>
      <c r="B28" s="315">
        <v>2.381967648E-9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2.2972045705420805E-2</v>
      </c>
      <c r="Y28" s="262" t="s">
        <v>23</v>
      </c>
      <c r="Z28" s="288">
        <f>0.693/Z29</f>
        <v>2.2972045705420805E-2</v>
      </c>
      <c r="AB28" s="266" t="s">
        <v>270</v>
      </c>
      <c r="AC28" s="287">
        <f>B31</f>
        <v>30.167100000000001</v>
      </c>
      <c r="AD28" s="287">
        <f>B31</f>
        <v>30.167100000000001</v>
      </c>
      <c r="AE28" s="287">
        <f>B31</f>
        <v>30.167100000000001</v>
      </c>
      <c r="AF28" s="287">
        <f>B31</f>
        <v>30.167100000000001</v>
      </c>
      <c r="AG28" s="287">
        <f>B31</f>
        <v>30.167100000000001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2.6599999999999999E-2</v>
      </c>
      <c r="CE28" s="249" t="s">
        <v>458</v>
      </c>
      <c r="CF28" s="287">
        <f>B8</f>
        <v>5.0099999999999999E-2</v>
      </c>
      <c r="CK28" s="266" t="s">
        <v>270</v>
      </c>
      <c r="CL28" s="287">
        <f>B31</f>
        <v>30.167100000000001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30.167100000000001</v>
      </c>
      <c r="HF28" s="249" t="s">
        <v>69</v>
      </c>
    </row>
    <row r="29" spans="1:214" ht="18.75" thickTop="1" x14ac:dyDescent="0.2">
      <c r="A29" s="266" t="s">
        <v>161</v>
      </c>
      <c r="B29" s="315">
        <v>5.1609299040000001E-12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30.167100000000001</v>
      </c>
      <c r="X29" s="249" t="s">
        <v>69</v>
      </c>
      <c r="Y29" s="266" t="s">
        <v>270</v>
      </c>
      <c r="Z29" s="287">
        <f>B31</f>
        <v>30.167100000000001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95" t="s">
        <v>299</v>
      </c>
      <c r="BT29" s="313">
        <f>B293</f>
        <v>27.027027027027</v>
      </c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0.46500000000000002</v>
      </c>
      <c r="CE29" s="249" t="s">
        <v>459</v>
      </c>
      <c r="CF29" s="287">
        <f>B9</f>
        <v>0.72599999999999998</v>
      </c>
      <c r="CK29" s="249" t="s">
        <v>23</v>
      </c>
      <c r="CL29" s="288">
        <f>693/CL28</f>
        <v>22.972045705420804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3.7370000000000003E-11</v>
      </c>
      <c r="C30" s="267" t="s">
        <v>35</v>
      </c>
      <c r="D30" s="203" t="s">
        <v>510</v>
      </c>
      <c r="E30" s="204">
        <f>E37</f>
        <v>2.0148535000020168E-3</v>
      </c>
      <c r="F30" s="184" t="s">
        <v>303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354">
        <f>(AC26*AC27)/(1-EXP(-AC27*AC26))</f>
        <v>1.3144858115905844</v>
      </c>
      <c r="AD30" s="354">
        <f>(AD26*AD27)/(1-EXP(-AD27*AD26))</f>
        <v>1.3144858115905844</v>
      </c>
      <c r="AE30" s="354">
        <f>(AE26*AE27)/(1-EXP(-AE27*AE26))</f>
        <v>1.3144858115905844</v>
      </c>
      <c r="AF30" s="354">
        <f>(AF26*AF27)/(1-EXP(-AF27*AF26))</f>
        <v>1.0115299987062558</v>
      </c>
      <c r="AG30" s="354">
        <f>(AG26*AG27)/(1-EXP(-AG27*AG26))</f>
        <v>1.0115299987062558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597.27318834094092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207">
        <v>30.167100000000001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8.5099999999999995E-2</v>
      </c>
      <c r="CB31" s="249" t="s">
        <v>71</v>
      </c>
      <c r="CC31" s="290">
        <f>B24</f>
        <v>5.0675194079999996E-7</v>
      </c>
      <c r="CD31" s="262" t="s">
        <v>282</v>
      </c>
      <c r="CE31" s="249" t="s">
        <v>71</v>
      </c>
      <c r="CF31" s="290">
        <f>B26</f>
        <v>1.4572037375999999E-6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1.1248E-10</v>
      </c>
      <c r="X32" s="263" t="s">
        <v>44</v>
      </c>
      <c r="Y32" s="249" t="s">
        <v>43</v>
      </c>
      <c r="Z32" s="290">
        <f>B19</f>
        <v>1.1248E-10</v>
      </c>
      <c r="AA32" s="263" t="s">
        <v>44</v>
      </c>
      <c r="AB32" s="266" t="s">
        <v>80</v>
      </c>
      <c r="AC32" s="294">
        <f>((AC5/(AC9*AC14*AC8*AC11*(1/AC6)))*AC30)/AC38</f>
        <v>2.448401977351498</v>
      </c>
      <c r="AD32" s="294">
        <f>((AD5/(AD9*AD14*AD8*AD11*(1/AD6)))*AD30)/AD38</f>
        <v>4.896803954702996</v>
      </c>
      <c r="AE32" s="294">
        <f>((AE5/(AE9*AE14*AE8*AE11*(1/AE6)))*AE30)/AE38</f>
        <v>2.7204466415016646</v>
      </c>
      <c r="AF32" s="294">
        <f>((AF5/(AF9*AF14*AF8*AF11*(1/AF6)))*AF30)/AF38</f>
        <v>27.449112745786611</v>
      </c>
      <c r="AG32" s="294">
        <f>((AG5/(AG9*AG14*AG8*AG11*(1/AG6)))*AG30)/AG38</f>
        <v>27.449112745786611</v>
      </c>
      <c r="AH32" s="266" t="s">
        <v>303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2.6599999999999999E-2</v>
      </c>
      <c r="BM32" s="249" t="s">
        <v>458</v>
      </c>
      <c r="BN32" s="287">
        <f>B8</f>
        <v>5.0099999999999999E-2</v>
      </c>
      <c r="BV32" s="95" t="s">
        <v>299</v>
      </c>
      <c r="BW32" s="289">
        <f>B293</f>
        <v>27.027027027027</v>
      </c>
      <c r="BY32" s="262" t="s">
        <v>62</v>
      </c>
      <c r="BZ32" s="305">
        <f>B4</f>
        <v>0.74199999999999999</v>
      </c>
      <c r="CB32" s="95" t="s">
        <v>299</v>
      </c>
      <c r="CC32" s="289">
        <f>B293</f>
        <v>27.027027027027</v>
      </c>
      <c r="CE32" s="95" t="s">
        <v>299</v>
      </c>
      <c r="CF32" s="289">
        <f>B293</f>
        <v>27.027027027027</v>
      </c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70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((AC5/(AC21*AC17*AC8*AC11*(1/AC35)*((8/1)/(24/1))*AC31))*AC30)/AC38</f>
        <v>4702.2079568075487</v>
      </c>
      <c r="AD33" s="295">
        <f>((AD5/(AD21*AD17*AD8*((8/1)/(24/1))*AD11*(1/AD35)*AD31))*AD30)/AD38</f>
        <v>4702.2079568075496</v>
      </c>
      <c r="AE33" s="295">
        <f>((AE5/(AE21*AE17*AE8*((8/1)/(24/1))*AE11*(1/AE35)*AE31))*AE30)/AE38</f>
        <v>5224.675507563943</v>
      </c>
      <c r="AF33" s="295">
        <f>((AF5/(AF21*AF17*AF8*AF11*(1/AF36)*(AF23/24)*AF31))*AF30)/AF38</f>
        <v>99.013434712750026</v>
      </c>
      <c r="AG33" s="295">
        <f>((AG5/(AG21*AG17*AG8*AG11*(1/AG37)*(AG23/24)*AG31))*AG30)/AG38</f>
        <v>4614.3199632162186</v>
      </c>
      <c r="AH33" s="88" t="s">
        <v>303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0.46500000000000002</v>
      </c>
      <c r="BM33" s="249" t="s">
        <v>459</v>
      </c>
      <c r="BN33" s="287">
        <f>B9</f>
        <v>0.72599999999999998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3.7370000000000003E-11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5.0675194079999996E-7</v>
      </c>
      <c r="O34" s="263" t="s">
        <v>447</v>
      </c>
      <c r="P34" s="249" t="s">
        <v>451</v>
      </c>
      <c r="Q34" s="290">
        <f>B26</f>
        <v>1.4572037375999999E-6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((AC5/(AC20*(AC8/365)*AC11*((AC23+AC24)/24)*AC16*AC19))*AC30)/AC38</f>
        <v>3.3629956351436288E-3</v>
      </c>
      <c r="AD34" s="296">
        <f>((AD5/(AD20*(AD8/365)*AD11*(AD24/24)*AD18*AD19))*AD30)/AD38</f>
        <v>8.4074890878590731E-3</v>
      </c>
      <c r="AE34" s="296">
        <f>((AE5/(AE20*(AE8/365)*AE11*(AE23/24)*AE16*AE19))*AE30)/AE38</f>
        <v>3.7366618168262534E-3</v>
      </c>
      <c r="AF34" s="296">
        <f>((AF5/(AF20*(AF8/365)*AF11*(AF23/24)*AF16*AF19))*AF30)/AF38</f>
        <v>1.9703907844737258</v>
      </c>
      <c r="AG34" s="296">
        <f>((AG5/(AG20*(AG8/365)*AG11*(AG23/24)*AG16*AG19))*AG30)/AG38</f>
        <v>1.9703907844737258</v>
      </c>
      <c r="AH34" s="266" t="s">
        <v>303</v>
      </c>
      <c r="AI34" s="262" t="s">
        <v>450</v>
      </c>
      <c r="AJ34" s="290">
        <f>B24</f>
        <v>5.0675194079999996E-7</v>
      </c>
      <c r="AK34" s="262" t="s">
        <v>282</v>
      </c>
      <c r="AL34" s="262" t="s">
        <v>451</v>
      </c>
      <c r="AM34" s="290">
        <f>B26</f>
        <v>1.4572037375999999E-6</v>
      </c>
      <c r="AN34" s="263" t="s">
        <v>72</v>
      </c>
      <c r="AR34" s="262" t="s">
        <v>450</v>
      </c>
      <c r="AS34" s="290">
        <f>B24</f>
        <v>5.0675194079999996E-7</v>
      </c>
      <c r="AT34" s="262" t="s">
        <v>282</v>
      </c>
      <c r="AU34" s="262" t="s">
        <v>451</v>
      </c>
      <c r="AV34" s="290">
        <f>B26</f>
        <v>1.4572037375999999E-6</v>
      </c>
      <c r="AW34" s="263" t="s">
        <v>72</v>
      </c>
      <c r="BA34" s="262" t="s">
        <v>450</v>
      </c>
      <c r="BB34" s="290">
        <f>B24</f>
        <v>5.0675194079999996E-7</v>
      </c>
      <c r="BC34" s="262" t="s">
        <v>282</v>
      </c>
      <c r="BD34" s="262" t="s">
        <v>451</v>
      </c>
      <c r="BE34" s="290">
        <f>B26</f>
        <v>1.4572037375999999E-6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10</v>
      </c>
      <c r="HF34" s="249" t="s">
        <v>19</v>
      </c>
    </row>
    <row r="35" spans="1:214" ht="12.75" customHeight="1" x14ac:dyDescent="0.2">
      <c r="A35" s="266" t="s">
        <v>270</v>
      </c>
      <c r="B35" s="315">
        <v>11000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5.0675194079999996E-7</v>
      </c>
      <c r="BL35" s="262" t="s">
        <v>282</v>
      </c>
      <c r="BM35" s="262" t="s">
        <v>451</v>
      </c>
      <c r="BN35" s="290">
        <f>B26</f>
        <v>1.4572037375999999E-6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x14ac:dyDescent="0.2">
      <c r="A36" s="262" t="s">
        <v>122</v>
      </c>
      <c r="B36" s="315">
        <v>2500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95" t="s">
        <v>299</v>
      </c>
      <c r="N36" s="361">
        <f>B293</f>
        <v>27.027027027027</v>
      </c>
      <c r="O36" s="281"/>
      <c r="P36" s="95" t="s">
        <v>299</v>
      </c>
      <c r="Q36" s="361">
        <f>B293</f>
        <v>27.027027027027</v>
      </c>
      <c r="R36" s="281"/>
      <c r="V36" s="262" t="s">
        <v>63</v>
      </c>
      <c r="W36" s="287">
        <f>B28</f>
        <v>2.381967648E-9</v>
      </c>
      <c r="X36" s="262" t="s">
        <v>64</v>
      </c>
      <c r="Y36" s="262" t="s">
        <v>63</v>
      </c>
      <c r="Z36" s="287">
        <f>B28</f>
        <v>2.381967648E-9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299</v>
      </c>
      <c r="AJ36" s="289">
        <f>B293</f>
        <v>27.027027027027</v>
      </c>
      <c r="AL36" s="95" t="s">
        <v>299</v>
      </c>
      <c r="AM36" s="289">
        <f>B293</f>
        <v>27.027027027027</v>
      </c>
      <c r="AR36" s="95" t="s">
        <v>299</v>
      </c>
      <c r="AS36" s="289">
        <f>B293</f>
        <v>27.027027027027</v>
      </c>
      <c r="AU36" s="95" t="s">
        <v>299</v>
      </c>
      <c r="AV36" s="289">
        <f>B293</f>
        <v>27.027027027027</v>
      </c>
      <c r="BA36" s="95" t="s">
        <v>299</v>
      </c>
      <c r="BB36" s="289">
        <f>B293</f>
        <v>27.027027027027</v>
      </c>
      <c r="BD36" s="95" t="s">
        <v>299</v>
      </c>
      <c r="BE36" s="289">
        <f>B293</f>
        <v>27.027027027027</v>
      </c>
      <c r="BJ36" s="95" t="s">
        <v>299</v>
      </c>
      <c r="BK36" s="289">
        <f>B293</f>
        <v>27.027027027027</v>
      </c>
      <c r="BM36" s="95" t="s">
        <v>299</v>
      </c>
      <c r="BN36" s="289">
        <f>B293</f>
        <v>27.027027027027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ht="12.75" customHeight="1" x14ac:dyDescent="0.2">
      <c r="A37" s="262" t="s">
        <v>278</v>
      </c>
      <c r="B37" s="315">
        <v>4.5999999999999999E-3</v>
      </c>
      <c r="C37" s="263" t="s">
        <v>298</v>
      </c>
      <c r="D37" s="262" t="s">
        <v>80</v>
      </c>
      <c r="E37" s="300">
        <f>(E32/(E34*E33*E35*E36))/E38</f>
        <v>2.0148535000020168E-3</v>
      </c>
      <c r="F37" s="263" t="s">
        <v>303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BY37" s="95" t="s">
        <v>299</v>
      </c>
      <c r="BZ37" s="345">
        <f>B293</f>
        <v>27.027027027027</v>
      </c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2.1999999999999999E-2</v>
      </c>
      <c r="C38" s="263" t="s">
        <v>298</v>
      </c>
      <c r="D38" s="95" t="s">
        <v>299</v>
      </c>
      <c r="E38" s="289">
        <f>B293</f>
        <v>27.027027027027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((W27)/((W33/W34)*W30*W31*W32*W35))/W42</f>
        <v>2.631578947368424E-3</v>
      </c>
      <c r="X38" s="88" t="s">
        <v>15</v>
      </c>
      <c r="Y38" s="88" t="s">
        <v>74</v>
      </c>
      <c r="Z38" s="294">
        <f>((Z27*Z31*Z28)/((1-EXP(-Z28))*Z31*Z32*Z30*Z44*(Z33/Z34)*Z35))/Z46</f>
        <v>0.12797697352052845</v>
      </c>
      <c r="AA38" s="88" t="s">
        <v>16</v>
      </c>
      <c r="AB38" s="95" t="s">
        <v>299</v>
      </c>
      <c r="AC38" s="345">
        <f>B293</f>
        <v>27.027027027027</v>
      </c>
      <c r="AD38" s="345">
        <f>B293</f>
        <v>27.027027027027</v>
      </c>
      <c r="AE38" s="345">
        <f>B293</f>
        <v>27.027027027027</v>
      </c>
      <c r="AF38" s="345">
        <f>B293</f>
        <v>27.027027027027</v>
      </c>
      <c r="AG38" s="345">
        <f>B293</f>
        <v>27.027027027027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x14ac:dyDescent="0.2">
      <c r="A39" s="262" t="s">
        <v>276</v>
      </c>
      <c r="B39" s="315">
        <v>2.7</v>
      </c>
      <c r="C39" s="263" t="s">
        <v>298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((W27)/((W33/W34)*W30*W31*W36*(1/365)))/W42</f>
        <v>2.7214475416754307</v>
      </c>
      <c r="X39" s="88" t="s">
        <v>15</v>
      </c>
      <c r="Y39" s="88" t="s">
        <v>78</v>
      </c>
      <c r="Z39" s="296">
        <f>((Z27*Z31*Z28)/((1-EXP(-Z28*Z31))*Z36*Z30*Z44*(Z33/Z34)*Z37*(Z44/Z45)))/Z46</f>
        <v>132.34739559183132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0.4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((W27*W28*W31)/((W33/W34)*(1-EXP(-W28*W31))*W32*W35*W30*W31))/W42</f>
        <v>3.4591731883962776E-3</v>
      </c>
      <c r="X40" s="88" t="s">
        <v>16</v>
      </c>
      <c r="Y40" s="88" t="s">
        <v>74</v>
      </c>
      <c r="Z40" s="294">
        <f>(Z27/((Z32*Z30*Z44*(Z33/Z34)*Z35)))/Z46</f>
        <v>0.12651821862348189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0.2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((W27*W28*W31)/((W33/W34)*(1-EXP(-W28*W31))*W36*W30*W31*(1/365)))/W42</f>
        <v>3.5773041805204282</v>
      </c>
      <c r="X41" s="88" t="s">
        <v>16</v>
      </c>
      <c r="Y41" s="88" t="s">
        <v>78</v>
      </c>
      <c r="Z41" s="296">
        <f>(Z27/(Z36*Z30*(1/Z45)*Z44*(Z33/Z34)*Z37))/Z46</f>
        <v>130.83882411901106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1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2.1999999999999999E-2</v>
      </c>
      <c r="C42" s="263" t="s">
        <v>298</v>
      </c>
      <c r="D42" s="203" t="s">
        <v>510</v>
      </c>
      <c r="E42" s="204">
        <f>E52</f>
        <v>8.059414000008068E-4</v>
      </c>
      <c r="F42" s="184" t="s">
        <v>304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299</v>
      </c>
      <c r="W42" s="289">
        <f>B293</f>
        <v>27.027027027027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2.7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2.5229999999999999E-2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2.9000000000000001E-2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10</v>
      </c>
      <c r="C46" s="249" t="s">
        <v>19</v>
      </c>
      <c r="D46" s="262" t="s">
        <v>438</v>
      </c>
      <c r="E46" s="287">
        <f>B30</f>
        <v>3.7370000000000003E-11</v>
      </c>
      <c r="F46" s="262" t="s">
        <v>289</v>
      </c>
      <c r="G46" s="249" t="s">
        <v>20</v>
      </c>
      <c r="H46" s="287">
        <f>H48</f>
        <v>2.5229999999999999E-2</v>
      </c>
      <c r="I46" s="263"/>
      <c r="J46" s="269" t="s">
        <v>107</v>
      </c>
      <c r="K46" s="292">
        <f>K34</f>
        <v>26</v>
      </c>
      <c r="L46" s="269" t="s">
        <v>69</v>
      </c>
      <c r="Y46" s="95" t="s">
        <v>299</v>
      </c>
      <c r="Z46" s="289">
        <f>B293</f>
        <v>27.027027027027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347">
        <f>200/27.027</f>
        <v>7.4000074000074001</v>
      </c>
      <c r="C47" s="262" t="s">
        <v>581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2.5229999999999999E-2</v>
      </c>
      <c r="K48" s="289">
        <v>1000</v>
      </c>
      <c r="L48" s="249" t="s">
        <v>115</v>
      </c>
      <c r="CT48" s="95" t="s">
        <v>299</v>
      </c>
      <c r="CU48" s="289">
        <f>B293</f>
        <v>27.027027027027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53" customFormat="1" x14ac:dyDescent="0.2">
      <c r="A49" s="249" t="s">
        <v>331</v>
      </c>
      <c r="B49" s="284">
        <v>0.25</v>
      </c>
      <c r="C49" s="249"/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I49" s="249"/>
      <c r="J49" s="249"/>
      <c r="K49" s="297">
        <v>1000</v>
      </c>
      <c r="L49" s="249" t="s">
        <v>24</v>
      </c>
      <c r="M49" s="249"/>
      <c r="N49" s="289"/>
      <c r="O49" s="249"/>
      <c r="P49" s="249"/>
      <c r="Q49" s="289"/>
      <c r="R49" s="249"/>
      <c r="S49" s="249"/>
      <c r="T49" s="289"/>
      <c r="U49" s="249"/>
      <c r="V49" s="249"/>
      <c r="W49" s="289"/>
      <c r="X49" s="249"/>
      <c r="Y49" s="249"/>
      <c r="Z49" s="289"/>
      <c r="AA49" s="249"/>
      <c r="AB49" s="249"/>
      <c r="AC49" s="289"/>
      <c r="AD49" s="289"/>
      <c r="AE49" s="289"/>
      <c r="AF49" s="289"/>
      <c r="AG49" s="289"/>
      <c r="AH49" s="249"/>
      <c r="AI49" s="249"/>
      <c r="AJ49" s="289"/>
      <c r="AK49" s="249"/>
      <c r="AL49" s="249"/>
      <c r="AM49" s="289"/>
      <c r="AN49" s="249"/>
      <c r="AO49" s="249"/>
      <c r="AP49" s="289"/>
      <c r="AQ49" s="249"/>
      <c r="AR49" s="249"/>
      <c r="AS49" s="289"/>
      <c r="AT49" s="249"/>
      <c r="AU49" s="249"/>
      <c r="AV49" s="289"/>
      <c r="AW49" s="249"/>
      <c r="AX49" s="249"/>
      <c r="AY49" s="289"/>
      <c r="AZ49" s="249"/>
      <c r="BA49" s="249"/>
      <c r="BB49" s="289"/>
      <c r="BC49" s="249"/>
      <c r="BD49" s="249"/>
      <c r="BE49" s="289"/>
      <c r="BF49" s="249"/>
      <c r="BG49" s="249"/>
      <c r="BH49" s="289"/>
      <c r="BI49" s="249"/>
      <c r="BJ49" s="249"/>
      <c r="BK49" s="289"/>
      <c r="BL49" s="249"/>
      <c r="BM49" s="249"/>
      <c r="BN49" s="289"/>
      <c r="BO49" s="249"/>
      <c r="BP49" s="249"/>
      <c r="BQ49" s="289"/>
      <c r="BR49" s="249"/>
      <c r="BS49" s="249"/>
      <c r="BT49" s="289"/>
      <c r="BU49" s="249"/>
      <c r="BV49" s="249"/>
      <c r="BW49" s="289"/>
      <c r="BX49" s="249"/>
      <c r="BY49" s="262"/>
      <c r="BZ49" s="293"/>
      <c r="CA49" s="249"/>
      <c r="CB49" s="249"/>
      <c r="CC49" s="289"/>
      <c r="CD49" s="249"/>
      <c r="CE49" s="249"/>
      <c r="CF49" s="289"/>
      <c r="CG49" s="249"/>
      <c r="CH49" s="249"/>
      <c r="CI49" s="289"/>
      <c r="CJ49" s="249"/>
      <c r="CK49" s="249"/>
      <c r="CL49" s="289"/>
      <c r="CM49" s="249"/>
      <c r="CN49" s="249"/>
      <c r="CO49" s="289"/>
      <c r="CP49" s="249"/>
      <c r="CQ49" s="249"/>
      <c r="CR49" s="289"/>
      <c r="CS49" s="249"/>
      <c r="CT49" s="249"/>
      <c r="CU49" s="289"/>
      <c r="CV49" s="249"/>
      <c r="CW49" s="249"/>
      <c r="CX49" s="289"/>
      <c r="CY49" s="249"/>
      <c r="CZ49" s="249"/>
      <c r="DA49" s="292">
        <v>1000</v>
      </c>
      <c r="DB49" s="267" t="s">
        <v>115</v>
      </c>
      <c r="DC49" s="249"/>
      <c r="DD49" s="289"/>
      <c r="DE49" s="249"/>
      <c r="DF49" s="249"/>
      <c r="DG49" s="289"/>
      <c r="DH49" s="249"/>
      <c r="DI49" s="249"/>
      <c r="DJ49" s="289"/>
      <c r="DK49" s="249"/>
      <c r="DL49" s="249"/>
      <c r="DM49" s="289"/>
      <c r="DN49" s="249"/>
      <c r="DO49" s="249"/>
      <c r="DP49" s="289"/>
      <c r="DQ49" s="249"/>
      <c r="DR49" s="249"/>
      <c r="DS49" s="289"/>
      <c r="DT49" s="249"/>
      <c r="DU49" s="249"/>
      <c r="DV49" s="289"/>
      <c r="DW49" s="264"/>
      <c r="DX49" s="264"/>
      <c r="DY49" s="328"/>
      <c r="DZ49" s="264"/>
    </row>
    <row r="50" spans="1:130" s="53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2500</v>
      </c>
      <c r="F50" s="263" t="s">
        <v>19</v>
      </c>
      <c r="G50" s="249" t="s">
        <v>18</v>
      </c>
      <c r="H50" s="288">
        <f>(H53*H54*H48*((1-EXP(-H55*H56))))/(H57*H55)</f>
        <v>0.66252863179360322</v>
      </c>
      <c r="I50" s="249" t="s">
        <v>19</v>
      </c>
      <c r="J50" s="249" t="s">
        <v>20</v>
      </c>
      <c r="K50" s="287">
        <f>K52</f>
        <v>2.5229999999999999E-2</v>
      </c>
      <c r="L50" s="249"/>
      <c r="M50" s="249"/>
      <c r="N50" s="289"/>
      <c r="O50" s="249"/>
      <c r="P50" s="249"/>
      <c r="Q50" s="289"/>
      <c r="R50" s="249"/>
      <c r="S50" s="249"/>
      <c r="T50" s="289"/>
      <c r="U50" s="249"/>
      <c r="V50" s="249"/>
      <c r="W50" s="289"/>
      <c r="X50" s="249"/>
      <c r="Y50" s="249"/>
      <c r="Z50" s="289"/>
      <c r="AA50" s="249"/>
      <c r="AB50" s="249"/>
      <c r="AC50" s="289"/>
      <c r="AD50" s="289"/>
      <c r="AE50" s="289"/>
      <c r="AF50" s="289"/>
      <c r="AG50" s="289"/>
      <c r="AH50" s="249"/>
      <c r="AI50" s="249"/>
      <c r="AJ50" s="289"/>
      <c r="AK50" s="249"/>
      <c r="AL50" s="249"/>
      <c r="AM50" s="289"/>
      <c r="AN50" s="249"/>
      <c r="AO50" s="249"/>
      <c r="AP50" s="289"/>
      <c r="AQ50" s="249"/>
      <c r="AR50" s="249"/>
      <c r="AS50" s="289"/>
      <c r="AT50" s="249"/>
      <c r="AU50" s="249"/>
      <c r="AV50" s="289"/>
      <c r="AW50" s="249"/>
      <c r="AX50" s="249"/>
      <c r="AY50" s="289"/>
      <c r="AZ50" s="249"/>
      <c r="BA50" s="249"/>
      <c r="BB50" s="289"/>
      <c r="BC50" s="249"/>
      <c r="BD50" s="249"/>
      <c r="BE50" s="289"/>
      <c r="BF50" s="249"/>
      <c r="BG50" s="249"/>
      <c r="BH50" s="289"/>
      <c r="BI50" s="249"/>
      <c r="BJ50" s="249"/>
      <c r="BK50" s="289"/>
      <c r="BL50" s="249"/>
      <c r="BM50" s="249"/>
      <c r="BN50" s="289"/>
      <c r="BO50" s="249"/>
      <c r="BP50" s="249"/>
      <c r="BQ50" s="289"/>
      <c r="BR50" s="249"/>
      <c r="BS50" s="249"/>
      <c r="BT50" s="289"/>
      <c r="BU50" s="249"/>
      <c r="BV50" s="249"/>
      <c r="BW50" s="289"/>
      <c r="BX50" s="249"/>
      <c r="BY50" s="263"/>
      <c r="BZ50" s="307"/>
      <c r="CA50" s="249"/>
      <c r="CB50" s="249"/>
      <c r="CC50" s="289"/>
      <c r="CD50" s="249"/>
      <c r="CE50" s="249"/>
      <c r="CF50" s="289"/>
      <c r="CG50" s="249"/>
      <c r="CH50" s="249"/>
      <c r="CI50" s="289"/>
      <c r="CJ50" s="249"/>
      <c r="CK50" s="249"/>
      <c r="CL50" s="289"/>
      <c r="CM50" s="249"/>
      <c r="CN50" s="249"/>
      <c r="CO50" s="289"/>
      <c r="CP50" s="249"/>
      <c r="CQ50" s="249"/>
      <c r="CR50" s="289"/>
      <c r="CS50" s="249"/>
      <c r="CT50" s="263"/>
      <c r="CU50" s="307"/>
      <c r="CV50" s="249"/>
      <c r="CW50" s="249"/>
      <c r="CX50" s="289"/>
      <c r="CY50" s="249"/>
      <c r="CZ50" s="95" t="s">
        <v>299</v>
      </c>
      <c r="DA50" s="289">
        <f>B293</f>
        <v>27.027027027027</v>
      </c>
      <c r="DB50" s="249"/>
      <c r="DC50" s="249"/>
      <c r="DD50" s="289"/>
      <c r="DE50" s="249"/>
      <c r="DF50" s="249"/>
      <c r="DG50" s="289"/>
      <c r="DH50" s="249"/>
      <c r="DI50" s="249"/>
      <c r="DJ50" s="289"/>
      <c r="DK50" s="249"/>
      <c r="DL50" s="249"/>
      <c r="DM50" s="289"/>
      <c r="DN50" s="249"/>
      <c r="DO50" s="249"/>
      <c r="DP50" s="289"/>
      <c r="DQ50" s="249"/>
      <c r="DR50" s="249"/>
      <c r="DS50" s="289"/>
      <c r="DT50" s="249"/>
      <c r="DU50" s="249"/>
      <c r="DV50" s="289"/>
      <c r="DW50" s="264"/>
      <c r="DX50" s="264"/>
      <c r="DY50" s="328"/>
      <c r="DZ50" s="264"/>
    </row>
    <row r="51" spans="1:130" s="53" customFormat="1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6.8274849094862002</v>
      </c>
      <c r="I51" s="249" t="s">
        <v>19</v>
      </c>
      <c r="J51" s="262" t="s">
        <v>28</v>
      </c>
      <c r="K51" s="293">
        <f>K53</f>
        <v>0.26</v>
      </c>
      <c r="L51" s="249"/>
      <c r="M51" s="249"/>
      <c r="N51" s="289"/>
      <c r="O51" s="249"/>
      <c r="P51" s="249"/>
      <c r="Q51" s="289"/>
      <c r="R51" s="249"/>
      <c r="S51" s="249"/>
      <c r="T51" s="289"/>
      <c r="U51" s="249"/>
      <c r="V51" s="249"/>
      <c r="W51" s="289"/>
      <c r="X51" s="249"/>
      <c r="Y51" s="249"/>
      <c r="Z51" s="289"/>
      <c r="AA51" s="249"/>
      <c r="AB51" s="249"/>
      <c r="AC51" s="289"/>
      <c r="AD51" s="289"/>
      <c r="AE51" s="289"/>
      <c r="AF51" s="289"/>
      <c r="AG51" s="289"/>
      <c r="AH51" s="249"/>
      <c r="AI51" s="249"/>
      <c r="AJ51" s="289"/>
      <c r="AK51" s="249"/>
      <c r="AL51" s="249"/>
      <c r="AM51" s="289"/>
      <c r="AN51" s="249"/>
      <c r="AO51" s="249"/>
      <c r="AP51" s="289"/>
      <c r="AQ51" s="249"/>
      <c r="AR51" s="249"/>
      <c r="AS51" s="289"/>
      <c r="AT51" s="249"/>
      <c r="AU51" s="249"/>
      <c r="AV51" s="289"/>
      <c r="AW51" s="249"/>
      <c r="AX51" s="249"/>
      <c r="AY51" s="289"/>
      <c r="AZ51" s="249"/>
      <c r="BA51" s="249"/>
      <c r="BB51" s="289"/>
      <c r="BC51" s="249"/>
      <c r="BD51" s="249"/>
      <c r="BE51" s="289"/>
      <c r="BF51" s="249"/>
      <c r="BG51" s="249"/>
      <c r="BH51" s="289"/>
      <c r="BI51" s="249"/>
      <c r="BJ51" s="249"/>
      <c r="BK51" s="289"/>
      <c r="BL51" s="249"/>
      <c r="BM51" s="249"/>
      <c r="BN51" s="289"/>
      <c r="BO51" s="249"/>
      <c r="BP51" s="249"/>
      <c r="BQ51" s="289"/>
      <c r="BR51" s="249"/>
      <c r="BS51" s="249"/>
      <c r="BT51" s="289"/>
      <c r="BU51" s="249"/>
      <c r="BV51" s="249"/>
      <c r="BW51" s="287"/>
      <c r="BX51" s="249"/>
      <c r="BY51" s="262"/>
      <c r="BZ51" s="293"/>
      <c r="CA51" s="249"/>
      <c r="CB51" s="249"/>
      <c r="CC51" s="289"/>
      <c r="CD51" s="249"/>
      <c r="CE51" s="249"/>
      <c r="CF51" s="289"/>
      <c r="CG51" s="249"/>
      <c r="CH51" s="249"/>
      <c r="CI51" s="289"/>
      <c r="CJ51" s="249"/>
      <c r="CK51" s="249"/>
      <c r="CL51" s="289"/>
      <c r="CM51" s="249"/>
      <c r="CN51" s="249"/>
      <c r="CO51" s="289"/>
      <c r="CP51" s="249"/>
      <c r="CQ51" s="249"/>
      <c r="CR51" s="289"/>
      <c r="CS51" s="249"/>
      <c r="CT51" s="262"/>
      <c r="CU51" s="293"/>
      <c r="CV51" s="249"/>
      <c r="CW51" s="249"/>
      <c r="CX51" s="289"/>
      <c r="CY51" s="249"/>
      <c r="CZ51" s="267"/>
      <c r="DA51" s="289"/>
      <c r="DB51" s="249"/>
      <c r="DC51" s="249"/>
      <c r="DD51" s="289"/>
      <c r="DE51" s="249"/>
      <c r="DF51" s="249"/>
      <c r="DG51" s="289"/>
      <c r="DH51" s="249"/>
      <c r="DI51" s="249"/>
      <c r="DJ51" s="289"/>
      <c r="DK51" s="249"/>
      <c r="DL51" s="249"/>
      <c r="DM51" s="289"/>
      <c r="DN51" s="249"/>
      <c r="DO51" s="249"/>
      <c r="DP51" s="289"/>
      <c r="DQ51" s="249"/>
      <c r="DR51" s="249"/>
      <c r="DS51" s="289"/>
      <c r="DT51" s="249"/>
      <c r="DU51" s="249"/>
      <c r="DV51" s="289"/>
      <c r="DW51" s="264"/>
      <c r="DX51" s="264"/>
      <c r="DY51" s="328"/>
      <c r="DZ51" s="264"/>
    </row>
    <row r="52" spans="1:130" s="53" customFormat="1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>
        <f>(E44/(E46*E45*E47*E48*E50*E51*(1/E49)))/E53</f>
        <v>8.059414000008068E-4</v>
      </c>
      <c r="F52" s="249" t="s">
        <v>304</v>
      </c>
      <c r="G52" s="249" t="s">
        <v>36</v>
      </c>
      <c r="H52" s="288">
        <f>(H53*H54*H58*H64*((1-EXP(-H59*H60))))/(H61*H59)</f>
        <v>3.6385326157733249</v>
      </c>
      <c r="I52" s="249" t="s">
        <v>19</v>
      </c>
      <c r="J52" s="263" t="s">
        <v>37</v>
      </c>
      <c r="K52" s="290">
        <f>B44</f>
        <v>2.5229999999999999E-2</v>
      </c>
      <c r="L52" s="249"/>
      <c r="M52" s="249"/>
      <c r="N52" s="289"/>
      <c r="O52" s="249"/>
      <c r="P52" s="249"/>
      <c r="Q52" s="289"/>
      <c r="R52" s="249"/>
      <c r="S52" s="249"/>
      <c r="T52" s="289"/>
      <c r="U52" s="249"/>
      <c r="V52" s="249"/>
      <c r="W52" s="289"/>
      <c r="X52" s="249"/>
      <c r="Y52" s="249"/>
      <c r="Z52" s="289"/>
      <c r="AA52" s="249"/>
      <c r="AB52" s="249"/>
      <c r="AC52" s="289"/>
      <c r="AD52" s="289"/>
      <c r="AE52" s="289"/>
      <c r="AF52" s="289"/>
      <c r="AG52" s="289"/>
      <c r="AH52" s="249"/>
      <c r="AI52" s="249"/>
      <c r="AJ52" s="289"/>
      <c r="AK52" s="249"/>
      <c r="AL52" s="249"/>
      <c r="AM52" s="289"/>
      <c r="AN52" s="249"/>
      <c r="AO52" s="249"/>
      <c r="AP52" s="289"/>
      <c r="AQ52" s="249"/>
      <c r="AR52" s="249"/>
      <c r="AS52" s="289"/>
      <c r="AT52" s="249"/>
      <c r="AU52" s="249"/>
      <c r="AV52" s="289"/>
      <c r="AW52" s="249"/>
      <c r="AX52" s="249"/>
      <c r="AY52" s="289"/>
      <c r="AZ52" s="249"/>
      <c r="BA52" s="249"/>
      <c r="BB52" s="289"/>
      <c r="BC52" s="249"/>
      <c r="BD52" s="249"/>
      <c r="BE52" s="289"/>
      <c r="BF52" s="249"/>
      <c r="BG52" s="249"/>
      <c r="BH52" s="289"/>
      <c r="BI52" s="249"/>
      <c r="BJ52" s="249"/>
      <c r="BK52" s="289"/>
      <c r="BL52" s="249"/>
      <c r="BM52" s="249"/>
      <c r="BN52" s="289"/>
      <c r="BO52" s="249"/>
      <c r="BP52" s="249"/>
      <c r="BQ52" s="289"/>
      <c r="BR52" s="249"/>
      <c r="BS52" s="249"/>
      <c r="BT52" s="289"/>
      <c r="BU52" s="249"/>
      <c r="BV52" s="249"/>
      <c r="BW52" s="287"/>
      <c r="BX52" s="249"/>
      <c r="BY52" s="249"/>
      <c r="BZ52" s="289"/>
      <c r="CA52" s="249"/>
      <c r="CB52" s="249"/>
      <c r="CC52" s="289"/>
      <c r="CD52" s="249"/>
      <c r="CE52" s="249"/>
      <c r="CF52" s="289"/>
      <c r="CG52" s="249"/>
      <c r="CH52" s="249"/>
      <c r="CI52" s="289"/>
      <c r="CJ52" s="249"/>
      <c r="CK52" s="249"/>
      <c r="CL52" s="289"/>
      <c r="CM52" s="249"/>
      <c r="CN52" s="249"/>
      <c r="CO52" s="289"/>
      <c r="CP52" s="249"/>
      <c r="CQ52" s="249"/>
      <c r="CR52" s="289"/>
      <c r="CS52" s="249"/>
      <c r="CT52" s="249"/>
      <c r="CU52" s="289"/>
      <c r="CV52" s="249"/>
      <c r="CW52" s="249"/>
      <c r="CX52" s="289"/>
      <c r="CY52" s="249"/>
      <c r="CZ52" s="267"/>
      <c r="DA52" s="289"/>
      <c r="DB52" s="249"/>
      <c r="DC52" s="249"/>
      <c r="DD52" s="289"/>
      <c r="DE52" s="249"/>
      <c r="DF52" s="249"/>
      <c r="DG52" s="289"/>
      <c r="DH52" s="249"/>
      <c r="DI52" s="249"/>
      <c r="DJ52" s="289"/>
      <c r="DK52" s="249"/>
      <c r="DL52" s="249"/>
      <c r="DM52" s="289"/>
      <c r="DN52" s="249"/>
      <c r="DO52" s="249"/>
      <c r="DP52" s="289"/>
      <c r="DQ52" s="249"/>
      <c r="DR52" s="249"/>
      <c r="DS52" s="289"/>
      <c r="DT52" s="249"/>
      <c r="DU52" s="249"/>
      <c r="DV52" s="289"/>
      <c r="DW52" s="264"/>
      <c r="DX52" s="264"/>
      <c r="DY52" s="328"/>
      <c r="DZ52" s="264"/>
    </row>
    <row r="53" spans="1:130" s="53" customFormat="1" x14ac:dyDescent="0.2">
      <c r="A53" s="262" t="s">
        <v>320</v>
      </c>
      <c r="B53" s="283">
        <v>200</v>
      </c>
      <c r="C53" s="263" t="s">
        <v>54</v>
      </c>
      <c r="D53" s="95" t="s">
        <v>299</v>
      </c>
      <c r="E53" s="289">
        <f>B293</f>
        <v>27.027027027027</v>
      </c>
      <c r="F53" s="249"/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L53" s="249"/>
      <c r="M53" s="249"/>
      <c r="N53" s="289"/>
      <c r="O53" s="249"/>
      <c r="P53" s="249"/>
      <c r="Q53" s="289"/>
      <c r="R53" s="249"/>
      <c r="S53" s="249"/>
      <c r="T53" s="289"/>
      <c r="U53" s="249"/>
      <c r="V53" s="249"/>
      <c r="W53" s="289"/>
      <c r="X53" s="249"/>
      <c r="Y53" s="249"/>
      <c r="Z53" s="289"/>
      <c r="AA53" s="249"/>
      <c r="AB53" s="249"/>
      <c r="AC53" s="289"/>
      <c r="AD53" s="289"/>
      <c r="AE53" s="289"/>
      <c r="AF53" s="289"/>
      <c r="AG53" s="289"/>
      <c r="AH53" s="249"/>
      <c r="AI53" s="249"/>
      <c r="AJ53" s="289"/>
      <c r="AK53" s="249"/>
      <c r="AL53" s="249"/>
      <c r="AM53" s="289"/>
      <c r="AN53" s="249"/>
      <c r="AO53" s="249"/>
      <c r="AP53" s="289"/>
      <c r="AQ53" s="249"/>
      <c r="AR53" s="249"/>
      <c r="AS53" s="289"/>
      <c r="AT53" s="249"/>
      <c r="AU53" s="249"/>
      <c r="AV53" s="289"/>
      <c r="AW53" s="249"/>
      <c r="AX53" s="249"/>
      <c r="AY53" s="289"/>
      <c r="AZ53" s="249"/>
      <c r="BA53" s="249"/>
      <c r="BB53" s="289"/>
      <c r="BC53" s="249"/>
      <c r="BD53" s="249"/>
      <c r="BE53" s="289"/>
      <c r="BF53" s="249"/>
      <c r="BG53" s="249"/>
      <c r="BH53" s="289"/>
      <c r="BI53" s="249"/>
      <c r="BJ53" s="249"/>
      <c r="BK53" s="289"/>
      <c r="BL53" s="249"/>
      <c r="BM53" s="249"/>
      <c r="BN53" s="289"/>
      <c r="BO53" s="249"/>
      <c r="BP53" s="249"/>
      <c r="BQ53" s="289"/>
      <c r="BR53" s="249"/>
      <c r="BS53" s="249"/>
      <c r="BT53" s="289"/>
      <c r="BU53" s="249"/>
      <c r="BV53" s="262"/>
      <c r="BW53" s="289"/>
      <c r="BX53" s="249"/>
      <c r="BY53" s="249"/>
      <c r="BZ53" s="289"/>
      <c r="CA53" s="249"/>
      <c r="CB53" s="249"/>
      <c r="CC53" s="289"/>
      <c r="CD53" s="249"/>
      <c r="CE53" s="249"/>
      <c r="CF53" s="289"/>
      <c r="CG53" s="249"/>
      <c r="CH53" s="249"/>
      <c r="CI53" s="289"/>
      <c r="CJ53" s="249"/>
      <c r="CK53" s="249"/>
      <c r="CL53" s="289"/>
      <c r="CM53" s="249"/>
      <c r="CN53" s="249"/>
      <c r="CO53" s="289"/>
      <c r="CP53" s="249"/>
      <c r="CQ53" s="249"/>
      <c r="CR53" s="289"/>
      <c r="CS53" s="249"/>
      <c r="CT53" s="249"/>
      <c r="CU53" s="289"/>
      <c r="CV53" s="249"/>
      <c r="CW53" s="249"/>
      <c r="CX53" s="289"/>
      <c r="CY53" s="249"/>
      <c r="CZ53" s="267"/>
      <c r="DA53" s="289"/>
      <c r="DB53" s="249"/>
      <c r="DC53" s="249"/>
      <c r="DD53" s="289"/>
      <c r="DE53" s="249"/>
      <c r="DF53" s="249"/>
      <c r="DG53" s="289"/>
      <c r="DH53" s="249"/>
      <c r="DI53" s="249"/>
      <c r="DJ53" s="289"/>
      <c r="DK53" s="249"/>
      <c r="DL53" s="249"/>
      <c r="DM53" s="289"/>
      <c r="DN53" s="249"/>
      <c r="DO53" s="249"/>
      <c r="DP53" s="289"/>
      <c r="DQ53" s="249"/>
      <c r="DR53" s="249"/>
      <c r="DS53" s="289"/>
      <c r="DT53" s="249"/>
      <c r="DU53" s="249"/>
      <c r="DV53" s="289"/>
      <c r="DW53" s="249"/>
      <c r="DX53" s="249"/>
      <c r="DY53" s="289"/>
      <c r="DZ53" s="249"/>
    </row>
    <row r="54" spans="1:130" s="53" customFormat="1" x14ac:dyDescent="0.2">
      <c r="A54" s="262" t="s">
        <v>321</v>
      </c>
      <c r="B54" s="283">
        <v>100</v>
      </c>
      <c r="C54" s="263" t="s">
        <v>54</v>
      </c>
      <c r="D54" s="249"/>
      <c r="E54" s="289"/>
      <c r="F54" s="249"/>
      <c r="G54" s="262" t="s">
        <v>46</v>
      </c>
      <c r="H54" s="287">
        <f>B86</f>
        <v>0.25</v>
      </c>
      <c r="I54" s="249" t="s">
        <v>47</v>
      </c>
      <c r="J54" s="95" t="s">
        <v>299</v>
      </c>
      <c r="K54" s="289">
        <f>B293</f>
        <v>27.027027027027</v>
      </c>
      <c r="L54" s="249"/>
      <c r="M54" s="249"/>
      <c r="N54" s="289"/>
      <c r="O54" s="249"/>
      <c r="P54" s="249"/>
      <c r="Q54" s="289"/>
      <c r="R54" s="249"/>
      <c r="S54" s="249"/>
      <c r="T54" s="289"/>
      <c r="U54" s="249"/>
      <c r="V54" s="249"/>
      <c r="W54" s="289"/>
      <c r="X54" s="249"/>
      <c r="Y54" s="249"/>
      <c r="Z54" s="289"/>
      <c r="AA54" s="249"/>
      <c r="AB54" s="249"/>
      <c r="AC54" s="289"/>
      <c r="AD54" s="289"/>
      <c r="AE54" s="289"/>
      <c r="AF54" s="289"/>
      <c r="AG54" s="289"/>
      <c r="AH54" s="249"/>
      <c r="AI54" s="249"/>
      <c r="AJ54" s="289"/>
      <c r="AK54" s="249"/>
      <c r="AL54" s="249"/>
      <c r="AM54" s="289"/>
      <c r="AN54" s="249"/>
      <c r="AO54" s="249"/>
      <c r="AP54" s="289"/>
      <c r="AQ54" s="249"/>
      <c r="AR54" s="249"/>
      <c r="AS54" s="289"/>
      <c r="AT54" s="249"/>
      <c r="AU54" s="249"/>
      <c r="AV54" s="289"/>
      <c r="AW54" s="249"/>
      <c r="AX54" s="249"/>
      <c r="AY54" s="289"/>
      <c r="AZ54" s="249"/>
      <c r="BA54" s="249"/>
      <c r="BB54" s="289"/>
      <c r="BC54" s="249"/>
      <c r="BD54" s="249"/>
      <c r="BE54" s="289"/>
      <c r="BF54" s="249"/>
      <c r="BG54" s="249"/>
      <c r="BH54" s="289"/>
      <c r="BI54" s="249"/>
      <c r="BJ54" s="249"/>
      <c r="BK54" s="289"/>
      <c r="BL54" s="249"/>
      <c r="BM54" s="249"/>
      <c r="BN54" s="289"/>
      <c r="BO54" s="249"/>
      <c r="BP54" s="249"/>
      <c r="BQ54" s="289"/>
      <c r="BR54" s="249"/>
      <c r="BS54" s="249"/>
      <c r="BT54" s="289"/>
      <c r="BU54" s="249"/>
      <c r="BV54" s="262"/>
      <c r="BW54" s="289"/>
      <c r="BX54" s="249"/>
      <c r="BY54" s="249"/>
      <c r="BZ54" s="289"/>
      <c r="CA54" s="249"/>
      <c r="CB54" s="249"/>
      <c r="CC54" s="289"/>
      <c r="CD54" s="249"/>
      <c r="CE54" s="249"/>
      <c r="CF54" s="289"/>
      <c r="CG54" s="249"/>
      <c r="CH54" s="249"/>
      <c r="CI54" s="289"/>
      <c r="CJ54" s="249"/>
      <c r="CK54" s="249"/>
      <c r="CL54" s="289"/>
      <c r="CM54" s="249"/>
      <c r="CN54" s="249"/>
      <c r="CO54" s="289"/>
      <c r="CP54" s="249"/>
      <c r="CQ54" s="249"/>
      <c r="CR54" s="289"/>
      <c r="CS54" s="249"/>
      <c r="CT54" s="249"/>
      <c r="CU54" s="289"/>
      <c r="CV54" s="249"/>
      <c r="CW54" s="249"/>
      <c r="CX54" s="289"/>
      <c r="CY54" s="249"/>
      <c r="CZ54" s="267"/>
      <c r="DA54" s="289"/>
      <c r="DB54" s="249"/>
      <c r="DC54" s="249"/>
      <c r="DD54" s="289"/>
      <c r="DE54" s="249"/>
      <c r="DF54" s="249"/>
      <c r="DG54" s="289"/>
      <c r="DH54" s="249"/>
      <c r="DI54" s="249"/>
      <c r="DJ54" s="289"/>
      <c r="DK54" s="249"/>
      <c r="DL54" s="249"/>
      <c r="DM54" s="289"/>
      <c r="DN54" s="249"/>
      <c r="DO54" s="249"/>
      <c r="DP54" s="289"/>
      <c r="DQ54" s="249"/>
      <c r="DR54" s="249"/>
      <c r="DS54" s="289"/>
      <c r="DT54" s="249"/>
      <c r="DU54" s="249"/>
      <c r="DV54" s="289"/>
      <c r="DW54" s="249"/>
      <c r="DX54" s="249"/>
      <c r="DY54" s="289"/>
      <c r="DZ54" s="249"/>
    </row>
    <row r="55" spans="1:130" s="53" customFormat="1" x14ac:dyDescent="0.2">
      <c r="A55" s="262" t="s">
        <v>322</v>
      </c>
      <c r="B55" s="283">
        <v>0.78</v>
      </c>
      <c r="C55" s="262" t="s">
        <v>30</v>
      </c>
      <c r="D55" s="249"/>
      <c r="E55" s="289"/>
      <c r="F55" s="249"/>
      <c r="G55" s="267" t="s">
        <v>55</v>
      </c>
      <c r="H55" s="303">
        <f>H62+H63</f>
        <v>8.9999999999999992E-5</v>
      </c>
      <c r="I55" s="249"/>
      <c r="J55" s="249"/>
      <c r="K55" s="289"/>
      <c r="L55" s="249"/>
      <c r="M55" s="249"/>
      <c r="N55" s="289"/>
      <c r="O55" s="249"/>
      <c r="P55" s="249"/>
      <c r="Q55" s="289"/>
      <c r="R55" s="249"/>
      <c r="S55" s="249"/>
      <c r="T55" s="289"/>
      <c r="U55" s="249"/>
      <c r="V55" s="249"/>
      <c r="W55" s="289"/>
      <c r="X55" s="249"/>
      <c r="Y55" s="249"/>
      <c r="Z55" s="289"/>
      <c r="AA55" s="249"/>
      <c r="AB55" s="249"/>
      <c r="AC55" s="289"/>
      <c r="AD55" s="289"/>
      <c r="AE55" s="289"/>
      <c r="AF55" s="289"/>
      <c r="AG55" s="289"/>
      <c r="AH55" s="249"/>
      <c r="AI55" s="249"/>
      <c r="AJ55" s="289"/>
      <c r="AK55" s="249"/>
      <c r="AL55" s="249"/>
      <c r="AM55" s="289"/>
      <c r="AN55" s="249"/>
      <c r="AO55" s="249"/>
      <c r="AP55" s="289"/>
      <c r="AQ55" s="249"/>
      <c r="AR55" s="249"/>
      <c r="AS55" s="289"/>
      <c r="AT55" s="249"/>
      <c r="AU55" s="249"/>
      <c r="AV55" s="289"/>
      <c r="AW55" s="249"/>
      <c r="AX55" s="249"/>
      <c r="AY55" s="289"/>
      <c r="AZ55" s="249"/>
      <c r="BA55" s="249"/>
      <c r="BB55" s="289"/>
      <c r="BC55" s="249"/>
      <c r="BD55" s="249"/>
      <c r="BE55" s="289"/>
      <c r="BF55" s="249"/>
      <c r="BG55" s="249"/>
      <c r="BH55" s="289"/>
      <c r="BI55" s="249"/>
      <c r="BJ55" s="249"/>
      <c r="BK55" s="289"/>
      <c r="BL55" s="249"/>
      <c r="BM55" s="249"/>
      <c r="BN55" s="289"/>
      <c r="BO55" s="249"/>
      <c r="BP55" s="249"/>
      <c r="BQ55" s="289"/>
      <c r="BR55" s="249"/>
      <c r="BS55" s="249"/>
      <c r="BT55" s="289"/>
      <c r="BU55" s="249"/>
      <c r="BV55" s="267"/>
      <c r="BW55" s="289"/>
      <c r="BX55" s="249"/>
      <c r="BY55" s="249"/>
      <c r="BZ55" s="289"/>
      <c r="CA55" s="249"/>
      <c r="CB55" s="249"/>
      <c r="CC55" s="289"/>
      <c r="CD55" s="249"/>
      <c r="CE55" s="249"/>
      <c r="CF55" s="289"/>
      <c r="CG55" s="249"/>
      <c r="CH55" s="249"/>
      <c r="CI55" s="289"/>
      <c r="CJ55" s="249"/>
      <c r="CK55" s="249"/>
      <c r="CL55" s="289"/>
      <c r="CM55" s="249"/>
      <c r="CN55" s="249"/>
      <c r="CO55" s="289"/>
      <c r="CP55" s="249"/>
      <c r="CQ55" s="249"/>
      <c r="CR55" s="289"/>
      <c r="CS55" s="249"/>
      <c r="CT55" s="249"/>
      <c r="CU55" s="289"/>
      <c r="CV55" s="249"/>
      <c r="CW55" s="249"/>
      <c r="CX55" s="289"/>
      <c r="CY55" s="249"/>
      <c r="CZ55" s="267"/>
      <c r="DA55" s="289"/>
      <c r="DB55" s="249"/>
      <c r="DC55" s="249"/>
      <c r="DD55" s="289"/>
      <c r="DE55" s="249"/>
      <c r="DF55" s="249"/>
      <c r="DG55" s="289"/>
      <c r="DH55" s="249"/>
      <c r="DI55" s="249"/>
      <c r="DJ55" s="289"/>
      <c r="DK55" s="249"/>
      <c r="DL55" s="249"/>
      <c r="DM55" s="289"/>
      <c r="DN55" s="249"/>
      <c r="DO55" s="249"/>
      <c r="DP55" s="289"/>
      <c r="DQ55" s="249"/>
      <c r="DR55" s="249"/>
      <c r="DS55" s="289"/>
      <c r="DT55" s="249"/>
      <c r="DU55" s="249"/>
      <c r="DV55" s="289"/>
      <c r="DW55" s="249"/>
      <c r="DX55" s="249"/>
      <c r="DY55" s="289"/>
      <c r="DZ55" s="249"/>
    </row>
    <row r="56" spans="1:130" s="53" customFormat="1" x14ac:dyDescent="0.2">
      <c r="A56" s="262" t="s">
        <v>323</v>
      </c>
      <c r="B56" s="283">
        <v>2.5</v>
      </c>
      <c r="C56" s="262" t="s">
        <v>30</v>
      </c>
      <c r="D56" s="249"/>
      <c r="E56" s="289"/>
      <c r="F56" s="249"/>
      <c r="G56" s="267" t="s">
        <v>60</v>
      </c>
      <c r="H56" s="289">
        <f>B87</f>
        <v>10950</v>
      </c>
      <c r="I56" s="249" t="s">
        <v>61</v>
      </c>
      <c r="J56" s="249"/>
      <c r="K56" s="289"/>
      <c r="L56" s="249"/>
      <c r="M56" s="249"/>
      <c r="N56" s="289"/>
      <c r="O56" s="249"/>
      <c r="P56" s="249"/>
      <c r="Q56" s="289"/>
      <c r="R56" s="249"/>
      <c r="S56" s="249"/>
      <c r="T56" s="289"/>
      <c r="U56" s="249"/>
      <c r="V56" s="249"/>
      <c r="W56" s="289"/>
      <c r="X56" s="249"/>
      <c r="Y56" s="249"/>
      <c r="Z56" s="289"/>
      <c r="AA56" s="249"/>
      <c r="AB56" s="249"/>
      <c r="AC56" s="289"/>
      <c r="AD56" s="289"/>
      <c r="AE56" s="289"/>
      <c r="AF56" s="289"/>
      <c r="AG56" s="289"/>
      <c r="AH56" s="249"/>
      <c r="AI56" s="249"/>
      <c r="AJ56" s="289"/>
      <c r="AK56" s="249"/>
      <c r="AL56" s="249"/>
      <c r="AM56" s="289"/>
      <c r="AN56" s="249"/>
      <c r="AO56" s="249"/>
      <c r="AP56" s="289"/>
      <c r="AQ56" s="249"/>
      <c r="AR56" s="249"/>
      <c r="AS56" s="289"/>
      <c r="AT56" s="249"/>
      <c r="AU56" s="249"/>
      <c r="AV56" s="289"/>
      <c r="AW56" s="249"/>
      <c r="AX56" s="249"/>
      <c r="AY56" s="289"/>
      <c r="AZ56" s="249"/>
      <c r="BA56" s="249"/>
      <c r="BB56" s="289"/>
      <c r="BC56" s="249"/>
      <c r="BD56" s="249"/>
      <c r="BE56" s="289"/>
      <c r="BF56" s="249"/>
      <c r="BG56" s="249"/>
      <c r="BH56" s="289"/>
      <c r="BI56" s="249"/>
      <c r="BJ56" s="249"/>
      <c r="BK56" s="289"/>
      <c r="BL56" s="249"/>
      <c r="BM56" s="249"/>
      <c r="BN56" s="289"/>
      <c r="BO56" s="249"/>
      <c r="BP56" s="249"/>
      <c r="BQ56" s="289"/>
      <c r="BR56" s="249"/>
      <c r="BS56" s="249"/>
      <c r="BT56" s="289"/>
      <c r="BU56" s="249"/>
      <c r="BV56" s="267"/>
      <c r="BW56" s="289"/>
      <c r="BX56" s="249"/>
      <c r="BY56" s="249"/>
      <c r="BZ56" s="289"/>
      <c r="CA56" s="249"/>
      <c r="CB56" s="249"/>
      <c r="CC56" s="289"/>
      <c r="CD56" s="249"/>
      <c r="CE56" s="249"/>
      <c r="CF56" s="289"/>
      <c r="CG56" s="249"/>
      <c r="CH56" s="249"/>
      <c r="CI56" s="289"/>
      <c r="CJ56" s="249"/>
      <c r="CK56" s="249"/>
      <c r="CL56" s="289"/>
      <c r="CM56" s="249"/>
      <c r="CN56" s="249"/>
      <c r="CO56" s="289"/>
      <c r="CP56" s="249"/>
      <c r="CQ56" s="249"/>
      <c r="CR56" s="289"/>
      <c r="CS56" s="249"/>
      <c r="CT56" s="249"/>
      <c r="CU56" s="289"/>
      <c r="CV56" s="249"/>
      <c r="CW56" s="249"/>
      <c r="CX56" s="289"/>
      <c r="CY56" s="249"/>
      <c r="CZ56" s="267"/>
      <c r="DA56" s="289"/>
      <c r="DB56" s="249"/>
      <c r="DC56" s="249"/>
      <c r="DD56" s="289"/>
      <c r="DE56" s="249"/>
      <c r="DF56" s="249"/>
      <c r="DG56" s="289"/>
      <c r="DH56" s="249"/>
      <c r="DI56" s="249"/>
      <c r="DJ56" s="289"/>
      <c r="DK56" s="249"/>
      <c r="DL56" s="249"/>
      <c r="DM56" s="289"/>
      <c r="DN56" s="249"/>
      <c r="DO56" s="249"/>
      <c r="DP56" s="289"/>
      <c r="DQ56" s="249"/>
      <c r="DR56" s="249"/>
      <c r="DS56" s="289"/>
      <c r="DT56" s="249"/>
      <c r="DU56" s="249"/>
      <c r="DV56" s="289"/>
      <c r="DW56" s="249"/>
      <c r="DX56" s="249"/>
      <c r="DY56" s="289"/>
      <c r="DZ56" s="249"/>
    </row>
    <row r="57" spans="1:130" s="53" customFormat="1" x14ac:dyDescent="0.2">
      <c r="A57" s="262" t="s">
        <v>337</v>
      </c>
      <c r="B57" s="283">
        <v>54</v>
      </c>
      <c r="C57" s="249" t="s">
        <v>54</v>
      </c>
      <c r="D57" s="249"/>
      <c r="E57" s="289"/>
      <c r="F57" s="249"/>
      <c r="G57" s="267" t="s">
        <v>65</v>
      </c>
      <c r="H57" s="289">
        <f>B88</f>
        <v>240</v>
      </c>
      <c r="I57" s="249" t="s">
        <v>66</v>
      </c>
      <c r="J57" s="249"/>
      <c r="K57" s="289"/>
      <c r="L57" s="249"/>
      <c r="M57" s="249"/>
      <c r="N57" s="289"/>
      <c r="O57" s="249"/>
      <c r="P57" s="249"/>
      <c r="Q57" s="289"/>
      <c r="R57" s="249"/>
      <c r="S57" s="249"/>
      <c r="T57" s="289"/>
      <c r="U57" s="249"/>
      <c r="V57" s="249"/>
      <c r="W57" s="289"/>
      <c r="X57" s="249"/>
      <c r="Y57" s="249"/>
      <c r="Z57" s="289"/>
      <c r="AA57" s="249"/>
      <c r="AB57" s="249"/>
      <c r="AC57" s="289"/>
      <c r="AD57" s="289"/>
      <c r="AE57" s="289"/>
      <c r="AF57" s="289"/>
      <c r="AG57" s="289"/>
      <c r="AH57" s="249"/>
      <c r="AI57" s="249"/>
      <c r="AJ57" s="289"/>
      <c r="AK57" s="249"/>
      <c r="AL57" s="249"/>
      <c r="AM57" s="289"/>
      <c r="AN57" s="249"/>
      <c r="AO57" s="249"/>
      <c r="AP57" s="289"/>
      <c r="AQ57" s="249"/>
      <c r="AR57" s="249"/>
      <c r="AS57" s="289"/>
      <c r="AT57" s="249"/>
      <c r="AU57" s="249"/>
      <c r="AV57" s="289"/>
      <c r="AW57" s="249"/>
      <c r="AX57" s="249"/>
      <c r="AY57" s="289"/>
      <c r="AZ57" s="249"/>
      <c r="BA57" s="249"/>
      <c r="BB57" s="289"/>
      <c r="BC57" s="249"/>
      <c r="BD57" s="249"/>
      <c r="BE57" s="289"/>
      <c r="BF57" s="249"/>
      <c r="BG57" s="249"/>
      <c r="BH57" s="289"/>
      <c r="BI57" s="249"/>
      <c r="BJ57" s="249"/>
      <c r="BK57" s="289"/>
      <c r="BL57" s="249"/>
      <c r="BM57" s="249"/>
      <c r="BN57" s="289"/>
      <c r="BO57" s="249"/>
      <c r="BP57" s="249"/>
      <c r="BQ57" s="289"/>
      <c r="BR57" s="249"/>
      <c r="BS57" s="249"/>
      <c r="BT57" s="289"/>
      <c r="BU57" s="249"/>
      <c r="BV57" s="267"/>
      <c r="BW57" s="289"/>
      <c r="BX57" s="249"/>
      <c r="BY57" s="249"/>
      <c r="BZ57" s="289"/>
      <c r="CA57" s="249"/>
      <c r="CB57" s="249"/>
      <c r="CC57" s="289"/>
      <c r="CD57" s="249"/>
      <c r="CE57" s="249"/>
      <c r="CF57" s="289"/>
      <c r="CG57" s="249"/>
      <c r="CH57" s="249"/>
      <c r="CI57" s="289"/>
      <c r="CJ57" s="249"/>
      <c r="CK57" s="249"/>
      <c r="CL57" s="289"/>
      <c r="CM57" s="249"/>
      <c r="CN57" s="249"/>
      <c r="CO57" s="289"/>
      <c r="CP57" s="249"/>
      <c r="CQ57" s="249"/>
      <c r="CR57" s="289"/>
      <c r="CS57" s="249"/>
      <c r="CT57" s="249"/>
      <c r="CU57" s="289"/>
      <c r="CV57" s="249"/>
      <c r="CW57" s="249"/>
      <c r="CX57" s="289"/>
      <c r="CY57" s="249"/>
      <c r="CZ57" s="267"/>
      <c r="DA57" s="293"/>
      <c r="DB57" s="262"/>
      <c r="DC57" s="249"/>
      <c r="DD57" s="289"/>
      <c r="DE57" s="249"/>
      <c r="DF57" s="249"/>
      <c r="DG57" s="289"/>
      <c r="DH57" s="249"/>
      <c r="DI57" s="249"/>
      <c r="DJ57" s="289"/>
      <c r="DK57" s="249"/>
      <c r="DL57" s="249"/>
      <c r="DM57" s="289"/>
      <c r="DN57" s="249"/>
      <c r="DO57" s="249"/>
      <c r="DP57" s="289"/>
      <c r="DQ57" s="249"/>
      <c r="DR57" s="249"/>
      <c r="DS57" s="289"/>
      <c r="DT57" s="249"/>
      <c r="DU57" s="249"/>
      <c r="DV57" s="289"/>
      <c r="DW57" s="249"/>
      <c r="DX57" s="249"/>
      <c r="DY57" s="289"/>
      <c r="DZ57" s="249"/>
    </row>
    <row r="58" spans="1:130" s="53" customFormat="1" x14ac:dyDescent="0.2">
      <c r="A58" s="249" t="s">
        <v>357</v>
      </c>
      <c r="B58" s="283">
        <v>32.799999999999997</v>
      </c>
      <c r="C58" s="249" t="s">
        <v>54</v>
      </c>
      <c r="D58" s="249"/>
      <c r="E58" s="289"/>
      <c r="F58" s="249"/>
      <c r="G58" s="267" t="s">
        <v>76</v>
      </c>
      <c r="H58" s="289">
        <f>B89</f>
        <v>0.42</v>
      </c>
      <c r="I58" s="249" t="s">
        <v>47</v>
      </c>
      <c r="J58" s="249"/>
      <c r="K58" s="289"/>
      <c r="L58" s="249"/>
      <c r="M58" s="249"/>
      <c r="N58" s="289"/>
      <c r="O58" s="249"/>
      <c r="P58" s="249"/>
      <c r="Q58" s="289"/>
      <c r="R58" s="249"/>
      <c r="S58" s="249"/>
      <c r="T58" s="289"/>
      <c r="U58" s="249"/>
      <c r="V58" s="249"/>
      <c r="W58" s="289"/>
      <c r="X58" s="249"/>
      <c r="Y58" s="249"/>
      <c r="Z58" s="289"/>
      <c r="AA58" s="249"/>
      <c r="AB58" s="249"/>
      <c r="AC58" s="289"/>
      <c r="AD58" s="289"/>
      <c r="AE58" s="289"/>
      <c r="AF58" s="289"/>
      <c r="AG58" s="289"/>
      <c r="AH58" s="249"/>
      <c r="AI58" s="249"/>
      <c r="AJ58" s="289"/>
      <c r="AK58" s="249"/>
      <c r="AL58" s="249"/>
      <c r="AM58" s="289"/>
      <c r="AN58" s="249"/>
      <c r="AO58" s="249"/>
      <c r="AP58" s="289"/>
      <c r="AQ58" s="249"/>
      <c r="AR58" s="249"/>
      <c r="AS58" s="289"/>
      <c r="AT58" s="249"/>
      <c r="AU58" s="249"/>
      <c r="AV58" s="289"/>
      <c r="AW58" s="249"/>
      <c r="AX58" s="249"/>
      <c r="AY58" s="289"/>
      <c r="AZ58" s="249"/>
      <c r="BA58" s="249"/>
      <c r="BB58" s="289"/>
      <c r="BC58" s="249"/>
      <c r="BD58" s="249"/>
      <c r="BE58" s="289"/>
      <c r="BF58" s="249"/>
      <c r="BG58" s="249"/>
      <c r="BH58" s="289"/>
      <c r="BI58" s="249"/>
      <c r="BJ58" s="249"/>
      <c r="BK58" s="289"/>
      <c r="BL58" s="249"/>
      <c r="BM58" s="249"/>
      <c r="BN58" s="289"/>
      <c r="BO58" s="249"/>
      <c r="BP58" s="249"/>
      <c r="BQ58" s="289"/>
      <c r="BR58" s="249"/>
      <c r="BS58" s="249"/>
      <c r="BT58" s="289"/>
      <c r="BU58" s="249"/>
      <c r="BV58" s="267"/>
      <c r="BW58" s="289"/>
      <c r="BX58" s="249"/>
      <c r="BY58" s="249"/>
      <c r="BZ58" s="289"/>
      <c r="CA58" s="249"/>
      <c r="CB58" s="249"/>
      <c r="CC58" s="289"/>
      <c r="CD58" s="249"/>
      <c r="CE58" s="249"/>
      <c r="CF58" s="289"/>
      <c r="CG58" s="249"/>
      <c r="CH58" s="249"/>
      <c r="CI58" s="289"/>
      <c r="CJ58" s="249"/>
      <c r="CK58" s="249"/>
      <c r="CL58" s="289"/>
      <c r="CM58" s="249"/>
      <c r="CN58" s="249"/>
      <c r="CO58" s="289"/>
      <c r="CP58" s="249"/>
      <c r="CQ58" s="249"/>
      <c r="CR58" s="289"/>
      <c r="CS58" s="249"/>
      <c r="CT58" s="249"/>
      <c r="CU58" s="289"/>
      <c r="CV58" s="249"/>
      <c r="CW58" s="249"/>
      <c r="CX58" s="289"/>
      <c r="CY58" s="249"/>
      <c r="CZ58" s="267"/>
      <c r="DA58" s="293"/>
      <c r="DB58" s="262"/>
      <c r="DC58" s="249"/>
      <c r="DD58" s="289"/>
      <c r="DE58" s="249"/>
      <c r="DF58" s="249"/>
      <c r="DG58" s="289"/>
      <c r="DH58" s="249"/>
      <c r="DI58" s="249"/>
      <c r="DJ58" s="289"/>
      <c r="DK58" s="249"/>
      <c r="DL58" s="249"/>
      <c r="DM58" s="289"/>
      <c r="DN58" s="249"/>
      <c r="DO58" s="249"/>
      <c r="DP58" s="289"/>
      <c r="DQ58" s="249"/>
      <c r="DR58" s="249"/>
      <c r="DS58" s="289"/>
      <c r="DT58" s="249"/>
      <c r="DU58" s="249"/>
      <c r="DV58" s="289"/>
      <c r="DW58" s="249"/>
      <c r="DX58" s="249"/>
      <c r="DY58" s="289"/>
      <c r="DZ58" s="249"/>
    </row>
    <row r="59" spans="1:130" s="53" customFormat="1" x14ac:dyDescent="0.2">
      <c r="A59" s="249" t="s">
        <v>336</v>
      </c>
      <c r="B59" s="283">
        <v>157.69999999999999</v>
      </c>
      <c r="C59" s="249" t="s">
        <v>54</v>
      </c>
      <c r="D59" s="249"/>
      <c r="E59" s="289"/>
      <c r="F59" s="249"/>
      <c r="G59" s="267" t="s">
        <v>81</v>
      </c>
      <c r="H59" s="299">
        <f>H63+(0.693/H65)</f>
        <v>4.9562999999999996E-2</v>
      </c>
      <c r="I59" s="262" t="s">
        <v>82</v>
      </c>
      <c r="J59" s="249"/>
      <c r="K59" s="289"/>
      <c r="L59" s="249"/>
      <c r="M59" s="249"/>
      <c r="N59" s="289"/>
      <c r="O59" s="249"/>
      <c r="P59" s="249"/>
      <c r="Q59" s="289"/>
      <c r="R59" s="249"/>
      <c r="S59" s="249"/>
      <c r="T59" s="289"/>
      <c r="U59" s="249"/>
      <c r="V59" s="249"/>
      <c r="W59" s="289"/>
      <c r="X59" s="249"/>
      <c r="Y59" s="249"/>
      <c r="Z59" s="289"/>
      <c r="AA59" s="249"/>
      <c r="AB59" s="249"/>
      <c r="AC59" s="289"/>
      <c r="AD59" s="289"/>
      <c r="AE59" s="289"/>
      <c r="AF59" s="289"/>
      <c r="AG59" s="289"/>
      <c r="AH59" s="249"/>
      <c r="AI59" s="249"/>
      <c r="AJ59" s="289"/>
      <c r="AK59" s="249"/>
      <c r="AL59" s="249"/>
      <c r="AM59" s="289"/>
      <c r="AN59" s="249"/>
      <c r="AO59" s="249"/>
      <c r="AP59" s="289"/>
      <c r="AQ59" s="249"/>
      <c r="AR59" s="249"/>
      <c r="AS59" s="289"/>
      <c r="AT59" s="249"/>
      <c r="AU59" s="249"/>
      <c r="AV59" s="289"/>
      <c r="AW59" s="249"/>
      <c r="AX59" s="249"/>
      <c r="AY59" s="289"/>
      <c r="AZ59" s="249"/>
      <c r="BA59" s="249"/>
      <c r="BB59" s="289"/>
      <c r="BC59" s="249"/>
      <c r="BD59" s="249"/>
      <c r="BE59" s="289"/>
      <c r="BF59" s="249"/>
      <c r="BG59" s="249"/>
      <c r="BH59" s="289"/>
      <c r="BI59" s="249"/>
      <c r="BJ59" s="249"/>
      <c r="BK59" s="289"/>
      <c r="BL59" s="249"/>
      <c r="BM59" s="249"/>
      <c r="BN59" s="289"/>
      <c r="BO59" s="249"/>
      <c r="BP59" s="249"/>
      <c r="BQ59" s="289"/>
      <c r="BR59" s="249"/>
      <c r="BS59" s="249"/>
      <c r="BT59" s="289"/>
      <c r="BU59" s="249"/>
      <c r="BV59" s="267"/>
      <c r="BW59" s="289"/>
      <c r="BX59" s="249"/>
      <c r="BY59" s="249"/>
      <c r="BZ59" s="289"/>
      <c r="CA59" s="249"/>
      <c r="CB59" s="249"/>
      <c r="CC59" s="289"/>
      <c r="CD59" s="249"/>
      <c r="CE59" s="249"/>
      <c r="CF59" s="289"/>
      <c r="CG59" s="249"/>
      <c r="CH59" s="249"/>
      <c r="CI59" s="289"/>
      <c r="CJ59" s="249"/>
      <c r="CK59" s="249"/>
      <c r="CL59" s="289"/>
      <c r="CM59" s="249"/>
      <c r="CN59" s="249"/>
      <c r="CO59" s="289"/>
      <c r="CP59" s="249"/>
      <c r="CQ59" s="249"/>
      <c r="CR59" s="289"/>
      <c r="CS59" s="249"/>
      <c r="CT59" s="249"/>
      <c r="CU59" s="289"/>
      <c r="CV59" s="249"/>
      <c r="CW59" s="249"/>
      <c r="CX59" s="289"/>
      <c r="CY59" s="249"/>
      <c r="CZ59" s="267"/>
      <c r="DA59" s="293"/>
      <c r="DB59" s="262"/>
      <c r="DC59" s="249"/>
      <c r="DD59" s="289"/>
      <c r="DE59" s="249"/>
      <c r="DF59" s="249"/>
      <c r="DG59" s="289"/>
      <c r="DH59" s="249"/>
      <c r="DI59" s="249"/>
      <c r="DJ59" s="289"/>
      <c r="DK59" s="249"/>
      <c r="DL59" s="249"/>
      <c r="DM59" s="289"/>
      <c r="DN59" s="249"/>
      <c r="DO59" s="249"/>
      <c r="DP59" s="289"/>
      <c r="DQ59" s="249"/>
      <c r="DR59" s="249"/>
      <c r="DS59" s="289"/>
      <c r="DT59" s="249"/>
      <c r="DU59" s="249"/>
      <c r="DV59" s="289"/>
      <c r="DW59" s="249"/>
      <c r="DX59" s="249"/>
      <c r="DY59" s="289"/>
      <c r="DZ59" s="249"/>
    </row>
    <row r="60" spans="1:130" s="53" customFormat="1" x14ac:dyDescent="0.2">
      <c r="A60" s="262" t="s">
        <v>332</v>
      </c>
      <c r="B60" s="283">
        <v>68.099999999999994</v>
      </c>
      <c r="C60" s="267" t="s">
        <v>254</v>
      </c>
      <c r="D60" s="249"/>
      <c r="E60" s="289"/>
      <c r="F60" s="249"/>
      <c r="G60" s="267" t="s">
        <v>85</v>
      </c>
      <c r="H60" s="293">
        <f>B90</f>
        <v>60</v>
      </c>
      <c r="I60" s="262" t="s">
        <v>61</v>
      </c>
      <c r="J60" s="249"/>
      <c r="K60" s="289"/>
      <c r="L60" s="249"/>
      <c r="M60" s="249"/>
      <c r="N60" s="289"/>
      <c r="O60" s="249"/>
      <c r="P60" s="249"/>
      <c r="Q60" s="289"/>
      <c r="R60" s="249"/>
      <c r="S60" s="249"/>
      <c r="T60" s="289"/>
      <c r="U60" s="249"/>
      <c r="V60" s="249"/>
      <c r="W60" s="289"/>
      <c r="X60" s="249"/>
      <c r="Y60" s="249"/>
      <c r="Z60" s="289"/>
      <c r="AA60" s="249"/>
      <c r="AB60" s="249"/>
      <c r="AC60" s="289"/>
      <c r="AD60" s="289"/>
      <c r="AE60" s="289"/>
      <c r="AF60" s="289"/>
      <c r="AG60" s="289"/>
      <c r="AH60" s="249"/>
      <c r="AI60" s="249"/>
      <c r="AJ60" s="289"/>
      <c r="AK60" s="249"/>
      <c r="AL60" s="249"/>
      <c r="AM60" s="289"/>
      <c r="AN60" s="249"/>
      <c r="AO60" s="249"/>
      <c r="AP60" s="289"/>
      <c r="AQ60" s="249"/>
      <c r="AR60" s="249"/>
      <c r="AS60" s="289"/>
      <c r="AT60" s="249"/>
      <c r="AU60" s="249"/>
      <c r="AV60" s="289"/>
      <c r="AW60" s="249"/>
      <c r="AX60" s="249"/>
      <c r="AY60" s="289"/>
      <c r="AZ60" s="249"/>
      <c r="BA60" s="249"/>
      <c r="BB60" s="289"/>
      <c r="BC60" s="249"/>
      <c r="BD60" s="249"/>
      <c r="BE60" s="289"/>
      <c r="BF60" s="249"/>
      <c r="BG60" s="249"/>
      <c r="BH60" s="289"/>
      <c r="BI60" s="249"/>
      <c r="BJ60" s="249"/>
      <c r="BK60" s="289"/>
      <c r="BL60" s="249"/>
      <c r="BM60" s="249"/>
      <c r="BN60" s="289"/>
      <c r="BO60" s="249"/>
      <c r="BP60" s="249"/>
      <c r="BQ60" s="289"/>
      <c r="BR60" s="249"/>
      <c r="BS60" s="249"/>
      <c r="BT60" s="289"/>
      <c r="BU60" s="249"/>
      <c r="BV60" s="267"/>
      <c r="BW60" s="289"/>
      <c r="BX60" s="249"/>
      <c r="BY60" s="249"/>
      <c r="BZ60" s="289"/>
      <c r="CA60" s="249"/>
      <c r="CB60" s="249"/>
      <c r="CC60" s="289"/>
      <c r="CD60" s="249"/>
      <c r="CE60" s="249"/>
      <c r="CF60" s="289"/>
      <c r="CG60" s="249"/>
      <c r="CH60" s="249"/>
      <c r="CI60" s="289"/>
      <c r="CJ60" s="249"/>
      <c r="CK60" s="249"/>
      <c r="CL60" s="289"/>
      <c r="CM60" s="249"/>
      <c r="CN60" s="249"/>
      <c r="CO60" s="289"/>
      <c r="CP60" s="249"/>
      <c r="CQ60" s="249"/>
      <c r="CR60" s="289"/>
      <c r="CS60" s="249"/>
      <c r="CT60" s="249"/>
      <c r="CU60" s="289"/>
      <c r="CV60" s="249"/>
      <c r="CW60" s="249"/>
      <c r="CX60" s="289"/>
      <c r="CY60" s="249"/>
      <c r="CZ60" s="267"/>
      <c r="DA60" s="289"/>
      <c r="DB60" s="249"/>
      <c r="DC60" s="249"/>
      <c r="DD60" s="289"/>
      <c r="DE60" s="249"/>
      <c r="DF60" s="249"/>
      <c r="DG60" s="289"/>
      <c r="DH60" s="249"/>
      <c r="DI60" s="249"/>
      <c r="DJ60" s="289"/>
      <c r="DK60" s="249"/>
      <c r="DL60" s="249"/>
      <c r="DM60" s="289"/>
      <c r="DN60" s="249"/>
      <c r="DO60" s="249"/>
      <c r="DP60" s="289"/>
      <c r="DQ60" s="249"/>
      <c r="DR60" s="249"/>
      <c r="DS60" s="289"/>
      <c r="DT60" s="249"/>
      <c r="DU60" s="249"/>
      <c r="DV60" s="289"/>
      <c r="DW60" s="249"/>
      <c r="DX60" s="249"/>
      <c r="DY60" s="289"/>
      <c r="DZ60" s="249"/>
    </row>
    <row r="61" spans="1:130" s="53" customFormat="1" x14ac:dyDescent="0.2">
      <c r="A61" s="262" t="s">
        <v>333</v>
      </c>
      <c r="B61" s="283">
        <v>188.5</v>
      </c>
      <c r="C61" s="267" t="s">
        <v>254</v>
      </c>
      <c r="D61" s="249"/>
      <c r="E61" s="289"/>
      <c r="F61" s="249"/>
      <c r="G61" s="267" t="s">
        <v>87</v>
      </c>
      <c r="H61" s="293">
        <f>B91</f>
        <v>2</v>
      </c>
      <c r="I61" s="262" t="s">
        <v>66</v>
      </c>
      <c r="J61" s="249"/>
      <c r="K61" s="289"/>
      <c r="L61" s="249"/>
      <c r="M61" s="249"/>
      <c r="N61" s="289"/>
      <c r="O61" s="249"/>
      <c r="P61" s="249"/>
      <c r="Q61" s="289"/>
      <c r="R61" s="249"/>
      <c r="S61" s="249"/>
      <c r="T61" s="289"/>
      <c r="U61" s="249"/>
      <c r="V61" s="249"/>
      <c r="W61" s="289"/>
      <c r="X61" s="249"/>
      <c r="Y61" s="249"/>
      <c r="Z61" s="289"/>
      <c r="AA61" s="249"/>
      <c r="AB61" s="249"/>
      <c r="AC61" s="289"/>
      <c r="AD61" s="289"/>
      <c r="AE61" s="289"/>
      <c r="AF61" s="289"/>
      <c r="AG61" s="289"/>
      <c r="AH61" s="249"/>
      <c r="AI61" s="249"/>
      <c r="AJ61" s="289"/>
      <c r="AK61" s="249"/>
      <c r="AL61" s="249"/>
      <c r="AM61" s="289"/>
      <c r="AN61" s="249"/>
      <c r="AO61" s="249"/>
      <c r="AP61" s="289"/>
      <c r="AQ61" s="249"/>
      <c r="AR61" s="249"/>
      <c r="AS61" s="289"/>
      <c r="AT61" s="249"/>
      <c r="AU61" s="249"/>
      <c r="AV61" s="289"/>
      <c r="AW61" s="249"/>
      <c r="AX61" s="249"/>
      <c r="AY61" s="289"/>
      <c r="AZ61" s="249"/>
      <c r="BA61" s="249"/>
      <c r="BB61" s="289"/>
      <c r="BC61" s="249"/>
      <c r="BD61" s="249"/>
      <c r="BE61" s="289"/>
      <c r="BF61" s="249"/>
      <c r="BG61" s="249"/>
      <c r="BH61" s="289"/>
      <c r="BI61" s="249"/>
      <c r="BJ61" s="249"/>
      <c r="BK61" s="289"/>
      <c r="BL61" s="249"/>
      <c r="BM61" s="249"/>
      <c r="BN61" s="289"/>
      <c r="BO61" s="249"/>
      <c r="BP61" s="249"/>
      <c r="BQ61" s="289"/>
      <c r="BR61" s="249"/>
      <c r="BS61" s="249"/>
      <c r="BT61" s="289"/>
      <c r="BU61" s="249"/>
      <c r="BV61" s="267"/>
      <c r="BW61" s="293"/>
      <c r="BX61" s="262"/>
      <c r="BY61" s="249"/>
      <c r="BZ61" s="289"/>
      <c r="CA61" s="249"/>
      <c r="CB61" s="249"/>
      <c r="CC61" s="289"/>
      <c r="CD61" s="249"/>
      <c r="CE61" s="249"/>
      <c r="CF61" s="289"/>
      <c r="CG61" s="249"/>
      <c r="CH61" s="249"/>
      <c r="CI61" s="289"/>
      <c r="CJ61" s="249"/>
      <c r="CK61" s="249"/>
      <c r="CL61" s="289"/>
      <c r="CM61" s="249"/>
      <c r="CN61" s="249"/>
      <c r="CO61" s="289"/>
      <c r="CP61" s="249"/>
      <c r="CQ61" s="249"/>
      <c r="CR61" s="289"/>
      <c r="CS61" s="249"/>
      <c r="CT61" s="249"/>
      <c r="CU61" s="289"/>
      <c r="CV61" s="249"/>
      <c r="CW61" s="249"/>
      <c r="CX61" s="289"/>
      <c r="CY61" s="249"/>
      <c r="CZ61" s="267"/>
      <c r="DA61" s="287"/>
      <c r="DB61" s="249"/>
      <c r="DC61" s="249"/>
      <c r="DD61" s="289"/>
      <c r="DE61" s="249"/>
      <c r="DF61" s="249"/>
      <c r="DG61" s="289"/>
      <c r="DH61" s="249"/>
      <c r="DI61" s="249"/>
      <c r="DJ61" s="289"/>
      <c r="DK61" s="249"/>
      <c r="DL61" s="249"/>
      <c r="DM61" s="289"/>
      <c r="DN61" s="249"/>
      <c r="DO61" s="249"/>
      <c r="DP61" s="289"/>
      <c r="DQ61" s="249"/>
      <c r="DR61" s="249"/>
      <c r="DS61" s="289"/>
      <c r="DT61" s="249"/>
      <c r="DU61" s="249"/>
      <c r="DV61" s="289"/>
      <c r="DW61" s="249"/>
      <c r="DX61" s="249"/>
      <c r="DY61" s="289"/>
      <c r="DZ61" s="249"/>
    </row>
    <row r="62" spans="1:130" s="53" customFormat="1" x14ac:dyDescent="0.2">
      <c r="A62" s="262" t="s">
        <v>334</v>
      </c>
      <c r="B62" s="283">
        <v>41.7</v>
      </c>
      <c r="C62" s="267" t="s">
        <v>254</v>
      </c>
      <c r="D62" s="249"/>
      <c r="E62" s="289"/>
      <c r="F62" s="249"/>
      <c r="G62" s="267" t="s">
        <v>89</v>
      </c>
      <c r="H62" s="289">
        <f>B92</f>
        <v>2.6999999999999999E-5</v>
      </c>
      <c r="I62" s="249" t="s">
        <v>82</v>
      </c>
      <c r="J62" s="249"/>
      <c r="K62" s="289"/>
      <c r="L62" s="249"/>
      <c r="M62" s="249"/>
      <c r="N62" s="289"/>
      <c r="O62" s="249"/>
      <c r="P62" s="249"/>
      <c r="Q62" s="289"/>
      <c r="R62" s="249"/>
      <c r="S62" s="249"/>
      <c r="T62" s="289"/>
      <c r="U62" s="249"/>
      <c r="V62" s="249"/>
      <c r="W62" s="289"/>
      <c r="X62" s="249"/>
      <c r="Y62" s="249"/>
      <c r="Z62" s="289"/>
      <c r="AA62" s="249"/>
      <c r="AB62" s="249"/>
      <c r="AC62" s="289"/>
      <c r="AD62" s="289"/>
      <c r="AE62" s="289"/>
      <c r="AF62" s="289"/>
      <c r="AG62" s="289"/>
      <c r="AH62" s="249"/>
      <c r="AI62" s="249"/>
      <c r="AJ62" s="289"/>
      <c r="AK62" s="249"/>
      <c r="AL62" s="249"/>
      <c r="AM62" s="289"/>
      <c r="AN62" s="249"/>
      <c r="AO62" s="249"/>
      <c r="AP62" s="289"/>
      <c r="AQ62" s="249"/>
      <c r="AR62" s="249"/>
      <c r="AS62" s="289"/>
      <c r="AT62" s="249"/>
      <c r="AU62" s="249"/>
      <c r="AV62" s="289"/>
      <c r="AW62" s="249"/>
      <c r="AX62" s="249"/>
      <c r="AY62" s="289"/>
      <c r="AZ62" s="249"/>
      <c r="BA62" s="249"/>
      <c r="BB62" s="289"/>
      <c r="BC62" s="249"/>
      <c r="BD62" s="249"/>
      <c r="BE62" s="289"/>
      <c r="BF62" s="249"/>
      <c r="BG62" s="249"/>
      <c r="BH62" s="289"/>
      <c r="BI62" s="249"/>
      <c r="BJ62" s="249"/>
      <c r="BK62" s="289"/>
      <c r="BL62" s="249"/>
      <c r="BM62" s="249"/>
      <c r="BN62" s="289"/>
      <c r="BO62" s="249"/>
      <c r="BP62" s="249"/>
      <c r="BQ62" s="289"/>
      <c r="BR62" s="249"/>
      <c r="BS62" s="249"/>
      <c r="BT62" s="289"/>
      <c r="BU62" s="249"/>
      <c r="BV62" s="267"/>
      <c r="BW62" s="293"/>
      <c r="BX62" s="262"/>
      <c r="BY62" s="249"/>
      <c r="BZ62" s="289"/>
      <c r="CA62" s="249"/>
      <c r="CB62" s="249"/>
      <c r="CC62" s="289"/>
      <c r="CD62" s="249"/>
      <c r="CE62" s="249"/>
      <c r="CF62" s="289"/>
      <c r="CG62" s="249"/>
      <c r="CH62" s="249"/>
      <c r="CI62" s="289"/>
      <c r="CJ62" s="249"/>
      <c r="CK62" s="249"/>
      <c r="CL62" s="289"/>
      <c r="CM62" s="249"/>
      <c r="CN62" s="249"/>
      <c r="CO62" s="289"/>
      <c r="CP62" s="249"/>
      <c r="CQ62" s="249"/>
      <c r="CR62" s="289"/>
      <c r="CS62" s="249"/>
      <c r="CT62" s="249"/>
      <c r="CU62" s="289"/>
      <c r="CV62" s="249"/>
      <c r="CW62" s="249"/>
      <c r="CX62" s="289"/>
      <c r="CY62" s="249"/>
      <c r="CZ62" s="267"/>
      <c r="DA62" s="289"/>
      <c r="DB62" s="249"/>
      <c r="DC62" s="249"/>
      <c r="DD62" s="289"/>
      <c r="DE62" s="249"/>
      <c r="DF62" s="249"/>
      <c r="DG62" s="289"/>
      <c r="DH62" s="249"/>
      <c r="DI62" s="249"/>
      <c r="DJ62" s="289"/>
      <c r="DK62" s="249"/>
      <c r="DL62" s="249"/>
      <c r="DM62" s="289"/>
      <c r="DN62" s="249"/>
      <c r="DO62" s="249"/>
      <c r="DP62" s="289"/>
      <c r="DQ62" s="249"/>
      <c r="DR62" s="249"/>
      <c r="DS62" s="289"/>
      <c r="DT62" s="249"/>
      <c r="DU62" s="249"/>
      <c r="DV62" s="289"/>
      <c r="DW62" s="249"/>
      <c r="DX62" s="249"/>
      <c r="DY62" s="289"/>
      <c r="DZ62" s="249"/>
    </row>
    <row r="63" spans="1:130" s="53" customFormat="1" x14ac:dyDescent="0.2">
      <c r="A63" s="262" t="s">
        <v>335</v>
      </c>
      <c r="B63" s="283">
        <v>128.9</v>
      </c>
      <c r="C63" s="267" t="s">
        <v>254</v>
      </c>
      <c r="D63" s="249"/>
      <c r="E63" s="289"/>
      <c r="F63" s="249"/>
      <c r="G63" s="267" t="s">
        <v>90</v>
      </c>
      <c r="H63" s="288">
        <f>0.693/H67</f>
        <v>6.3E-5</v>
      </c>
      <c r="I63" s="249" t="s">
        <v>82</v>
      </c>
      <c r="J63" s="249"/>
      <c r="K63" s="289"/>
      <c r="L63" s="249"/>
      <c r="M63" s="249"/>
      <c r="N63" s="289"/>
      <c r="O63" s="249"/>
      <c r="P63" s="249"/>
      <c r="Q63" s="289"/>
      <c r="R63" s="249"/>
      <c r="S63" s="249"/>
      <c r="T63" s="289"/>
      <c r="U63" s="249"/>
      <c r="V63" s="249"/>
      <c r="W63" s="289"/>
      <c r="X63" s="249"/>
      <c r="Y63" s="249"/>
      <c r="Z63" s="289"/>
      <c r="AA63" s="249"/>
      <c r="AB63" s="249"/>
      <c r="AC63" s="289"/>
      <c r="AD63" s="289"/>
      <c r="AE63" s="289"/>
      <c r="AF63" s="289"/>
      <c r="AG63" s="289"/>
      <c r="AH63" s="249"/>
      <c r="AI63" s="249"/>
      <c r="AJ63" s="289"/>
      <c r="AK63" s="249"/>
      <c r="AL63" s="249"/>
      <c r="AM63" s="289"/>
      <c r="AN63" s="249"/>
      <c r="AO63" s="249"/>
      <c r="AP63" s="289"/>
      <c r="AQ63" s="249"/>
      <c r="AR63" s="249"/>
      <c r="AS63" s="289"/>
      <c r="AT63" s="249"/>
      <c r="AU63" s="249"/>
      <c r="AV63" s="289"/>
      <c r="AW63" s="249"/>
      <c r="AX63" s="249"/>
      <c r="AY63" s="289"/>
      <c r="AZ63" s="249"/>
      <c r="BA63" s="249"/>
      <c r="BB63" s="289"/>
      <c r="BC63" s="249"/>
      <c r="BD63" s="249"/>
      <c r="BE63" s="289"/>
      <c r="BF63" s="249"/>
      <c r="BG63" s="249"/>
      <c r="BH63" s="289"/>
      <c r="BI63" s="249"/>
      <c r="BJ63" s="249"/>
      <c r="BK63" s="289"/>
      <c r="BL63" s="249"/>
      <c r="BM63" s="249"/>
      <c r="BN63" s="289"/>
      <c r="BO63" s="249"/>
      <c r="BP63" s="249"/>
      <c r="BQ63" s="289"/>
      <c r="BR63" s="249"/>
      <c r="BS63" s="249"/>
      <c r="BT63" s="289"/>
      <c r="BU63" s="249"/>
      <c r="BV63" s="267"/>
      <c r="BW63" s="293"/>
      <c r="BX63" s="262"/>
      <c r="BY63" s="249"/>
      <c r="BZ63" s="289"/>
      <c r="CA63" s="249"/>
      <c r="CB63" s="249"/>
      <c r="CC63" s="289"/>
      <c r="CD63" s="249"/>
      <c r="CE63" s="249"/>
      <c r="CF63" s="289"/>
      <c r="CG63" s="249"/>
      <c r="CH63" s="249"/>
      <c r="CI63" s="289"/>
      <c r="CJ63" s="249"/>
      <c r="CK63" s="249"/>
      <c r="CL63" s="289"/>
      <c r="CM63" s="249"/>
      <c r="CN63" s="249"/>
      <c r="CO63" s="289"/>
      <c r="CP63" s="249"/>
      <c r="CQ63" s="249"/>
      <c r="CR63" s="289"/>
      <c r="CS63" s="249"/>
      <c r="CT63" s="249"/>
      <c r="CU63" s="289"/>
      <c r="CV63" s="249"/>
      <c r="CW63" s="249"/>
      <c r="CX63" s="289"/>
      <c r="CY63" s="249"/>
      <c r="CZ63" s="267"/>
      <c r="DA63" s="289"/>
      <c r="DB63" s="249"/>
      <c r="DC63" s="249"/>
      <c r="DD63" s="289"/>
      <c r="DE63" s="249"/>
      <c r="DF63" s="249"/>
      <c r="DG63" s="289"/>
      <c r="DH63" s="249"/>
      <c r="DI63" s="249"/>
      <c r="DJ63" s="289"/>
      <c r="DK63" s="249"/>
      <c r="DL63" s="249"/>
      <c r="DM63" s="289"/>
      <c r="DN63" s="249"/>
      <c r="DO63" s="249"/>
      <c r="DP63" s="289"/>
      <c r="DQ63" s="249"/>
      <c r="DR63" s="249"/>
      <c r="DS63" s="289"/>
      <c r="DT63" s="249"/>
      <c r="DU63" s="249"/>
      <c r="DV63" s="289"/>
      <c r="DW63" s="249"/>
      <c r="DX63" s="249"/>
      <c r="DY63" s="289"/>
      <c r="DZ63" s="249"/>
    </row>
    <row r="64" spans="1:130" s="53" customFormat="1" x14ac:dyDescent="0.2">
      <c r="A64" s="262" t="s">
        <v>343</v>
      </c>
      <c r="B64" s="283">
        <v>6</v>
      </c>
      <c r="C64" s="264" t="s">
        <v>69</v>
      </c>
      <c r="D64" s="249"/>
      <c r="E64" s="289"/>
      <c r="F64" s="249"/>
      <c r="G64" s="267" t="s">
        <v>91</v>
      </c>
      <c r="H64" s="289">
        <f>B93</f>
        <v>1</v>
      </c>
      <c r="I64" s="249" t="s">
        <v>47</v>
      </c>
      <c r="J64" s="249"/>
      <c r="K64" s="289"/>
      <c r="L64" s="249"/>
      <c r="M64" s="249"/>
      <c r="N64" s="289"/>
      <c r="O64" s="249"/>
      <c r="P64" s="249"/>
      <c r="Q64" s="289"/>
      <c r="R64" s="249"/>
      <c r="S64" s="249"/>
      <c r="T64" s="289"/>
      <c r="U64" s="249"/>
      <c r="V64" s="249"/>
      <c r="W64" s="289"/>
      <c r="X64" s="249"/>
      <c r="Y64" s="249"/>
      <c r="Z64" s="289"/>
      <c r="AA64" s="249"/>
      <c r="AB64" s="249"/>
      <c r="AC64" s="289"/>
      <c r="AD64" s="289"/>
      <c r="AE64" s="289"/>
      <c r="AF64" s="289"/>
      <c r="AG64" s="289"/>
      <c r="AH64" s="249"/>
      <c r="AI64" s="275"/>
      <c r="AJ64" s="353"/>
      <c r="AK64" s="275"/>
      <c r="AL64" s="249"/>
      <c r="AM64" s="289"/>
      <c r="AN64" s="249"/>
      <c r="AO64" s="249"/>
      <c r="AP64" s="289"/>
      <c r="AQ64" s="249"/>
      <c r="AR64" s="249"/>
      <c r="AS64" s="289"/>
      <c r="AT64" s="249"/>
      <c r="AU64" s="249"/>
      <c r="AV64" s="289"/>
      <c r="AW64" s="249"/>
      <c r="AX64" s="249"/>
      <c r="AY64" s="289"/>
      <c r="AZ64" s="249"/>
      <c r="BA64" s="249"/>
      <c r="BB64" s="289"/>
      <c r="BC64" s="249"/>
      <c r="BD64" s="249"/>
      <c r="BE64" s="289"/>
      <c r="BF64" s="249"/>
      <c r="BG64" s="249"/>
      <c r="BH64" s="289"/>
      <c r="BI64" s="249"/>
      <c r="BJ64" s="249"/>
      <c r="BK64" s="289"/>
      <c r="BL64" s="249"/>
      <c r="BM64" s="249"/>
      <c r="BN64" s="289"/>
      <c r="BO64" s="249"/>
      <c r="BP64" s="249"/>
      <c r="BQ64" s="289"/>
      <c r="BR64" s="249"/>
      <c r="BS64" s="249"/>
      <c r="BT64" s="289"/>
      <c r="BU64" s="249"/>
      <c r="BV64" s="267"/>
      <c r="BW64" s="289"/>
      <c r="BX64" s="249"/>
      <c r="BY64" s="249"/>
      <c r="BZ64" s="289"/>
      <c r="CA64" s="249"/>
      <c r="CB64" s="249"/>
      <c r="CC64" s="289"/>
      <c r="CD64" s="249"/>
      <c r="CE64" s="249"/>
      <c r="CF64" s="289"/>
      <c r="CG64" s="249"/>
      <c r="CH64" s="249"/>
      <c r="CI64" s="289"/>
      <c r="CJ64" s="249"/>
      <c r="CK64" s="249"/>
      <c r="CL64" s="289"/>
      <c r="CM64" s="249"/>
      <c r="CN64" s="249"/>
      <c r="CO64" s="289"/>
      <c r="CP64" s="249"/>
      <c r="CQ64" s="249"/>
      <c r="CR64" s="289"/>
      <c r="CS64" s="249"/>
      <c r="CT64" s="249"/>
      <c r="CU64" s="289"/>
      <c r="CV64" s="249"/>
      <c r="CW64" s="249"/>
      <c r="CX64" s="289"/>
      <c r="CY64" s="249"/>
      <c r="CZ64" s="249"/>
      <c r="DA64" s="289"/>
      <c r="DB64" s="249"/>
      <c r="DC64" s="249"/>
      <c r="DD64" s="289"/>
      <c r="DE64" s="249"/>
      <c r="DF64" s="249"/>
      <c r="DG64" s="289"/>
      <c r="DH64" s="249"/>
      <c r="DI64" s="249"/>
      <c r="DJ64" s="289"/>
      <c r="DK64" s="249"/>
      <c r="DL64" s="249"/>
      <c r="DM64" s="289"/>
      <c r="DN64" s="249"/>
      <c r="DO64" s="249"/>
      <c r="DP64" s="289"/>
      <c r="DQ64" s="249"/>
      <c r="DR64" s="249"/>
      <c r="DS64" s="289"/>
      <c r="DT64" s="249"/>
      <c r="DU64" s="249"/>
      <c r="DV64" s="289"/>
      <c r="DW64" s="249"/>
      <c r="DX64" s="249"/>
      <c r="DY64" s="289"/>
      <c r="DZ64" s="249"/>
    </row>
    <row r="65" spans="1:105" s="53" customFormat="1" x14ac:dyDescent="0.2">
      <c r="A65" s="262" t="s">
        <v>342</v>
      </c>
      <c r="B65" s="283">
        <v>20</v>
      </c>
      <c r="C65" s="264" t="s">
        <v>69</v>
      </c>
      <c r="D65" s="249"/>
      <c r="E65" s="289"/>
      <c r="F65" s="249"/>
      <c r="G65" s="267" t="s">
        <v>92</v>
      </c>
      <c r="H65" s="289">
        <f>B94</f>
        <v>14</v>
      </c>
      <c r="I65" s="249" t="s">
        <v>93</v>
      </c>
      <c r="J65" s="249"/>
      <c r="K65" s="289"/>
      <c r="L65" s="249"/>
      <c r="M65" s="249"/>
      <c r="N65" s="289"/>
      <c r="O65" s="249"/>
      <c r="P65" s="249"/>
      <c r="Q65" s="289"/>
      <c r="R65" s="249"/>
      <c r="S65" s="249"/>
      <c r="T65" s="289"/>
      <c r="U65" s="249"/>
      <c r="V65" s="249"/>
      <c r="W65" s="289"/>
      <c r="X65" s="249"/>
      <c r="Y65" s="249"/>
      <c r="Z65" s="289"/>
      <c r="AA65" s="249"/>
      <c r="AB65" s="249"/>
      <c r="AC65" s="289"/>
      <c r="AD65" s="289"/>
      <c r="AE65" s="289"/>
      <c r="AF65" s="289"/>
      <c r="AG65" s="289"/>
      <c r="AH65" s="249"/>
      <c r="AI65" s="275"/>
      <c r="AJ65" s="353"/>
      <c r="AK65" s="275"/>
      <c r="AL65" s="249"/>
      <c r="AM65" s="289"/>
      <c r="AN65" s="249"/>
      <c r="AO65" s="249"/>
      <c r="AP65" s="289"/>
      <c r="AQ65" s="249"/>
      <c r="AR65" s="249"/>
      <c r="AS65" s="289"/>
      <c r="AT65" s="249"/>
      <c r="AU65" s="249"/>
      <c r="AV65" s="289"/>
      <c r="AW65" s="249"/>
      <c r="AX65" s="249"/>
      <c r="AY65" s="289"/>
      <c r="AZ65" s="249"/>
      <c r="BA65" s="249"/>
      <c r="BB65" s="289"/>
      <c r="BC65" s="249"/>
      <c r="BD65" s="249"/>
      <c r="BE65" s="289"/>
      <c r="BF65" s="249"/>
      <c r="BG65" s="249"/>
      <c r="BH65" s="289"/>
      <c r="BI65" s="249"/>
      <c r="BJ65" s="249"/>
      <c r="BK65" s="289"/>
      <c r="BL65" s="249"/>
      <c r="BM65" s="249"/>
      <c r="BN65" s="289"/>
      <c r="BO65" s="249"/>
      <c r="BP65" s="249"/>
      <c r="BQ65" s="289"/>
      <c r="BR65" s="249"/>
      <c r="BS65" s="249"/>
      <c r="BT65" s="289"/>
      <c r="BU65" s="249"/>
      <c r="BV65" s="267"/>
      <c r="BW65" s="289"/>
      <c r="BX65" s="249"/>
      <c r="BY65" s="249"/>
      <c r="BZ65" s="289"/>
      <c r="CA65" s="249"/>
      <c r="CB65" s="249"/>
      <c r="CC65" s="289"/>
      <c r="CD65" s="249"/>
      <c r="CE65" s="249"/>
      <c r="CF65" s="289"/>
      <c r="CG65" s="249"/>
      <c r="CH65" s="249"/>
      <c r="CI65" s="289"/>
      <c r="CJ65" s="249"/>
      <c r="CK65" s="249"/>
      <c r="CL65" s="289"/>
      <c r="CM65" s="249"/>
      <c r="CN65" s="249"/>
      <c r="CO65" s="289"/>
      <c r="CP65" s="249"/>
      <c r="CQ65" s="249"/>
      <c r="CR65" s="289"/>
      <c r="CS65" s="249"/>
      <c r="CT65" s="249"/>
      <c r="CU65" s="289"/>
      <c r="CV65" s="249"/>
      <c r="CW65" s="249"/>
      <c r="CX65" s="289"/>
      <c r="CY65" s="249"/>
      <c r="CZ65" s="249"/>
      <c r="DA65" s="289"/>
    </row>
    <row r="66" spans="1:105" s="53" customFormat="1" x14ac:dyDescent="0.2">
      <c r="A66" s="262" t="s">
        <v>341</v>
      </c>
      <c r="B66" s="283">
        <v>26</v>
      </c>
      <c r="C66" s="264" t="s">
        <v>69</v>
      </c>
      <c r="D66" s="249"/>
      <c r="E66" s="289"/>
      <c r="F66" s="249"/>
      <c r="G66" s="249" t="s">
        <v>38</v>
      </c>
      <c r="H66" s="287">
        <f>B45</f>
        <v>2.9000000000000001E-2</v>
      </c>
      <c r="I66" s="249"/>
      <c r="J66" s="249"/>
      <c r="K66" s="289"/>
      <c r="L66" s="249"/>
      <c r="M66" s="249"/>
      <c r="N66" s="289"/>
      <c r="O66" s="249"/>
      <c r="P66" s="249"/>
      <c r="Q66" s="289"/>
      <c r="R66" s="249"/>
      <c r="S66" s="249"/>
      <c r="T66" s="289"/>
      <c r="U66" s="249"/>
      <c r="V66" s="249"/>
      <c r="W66" s="289"/>
      <c r="X66" s="249"/>
      <c r="Y66" s="249"/>
      <c r="Z66" s="289"/>
      <c r="AA66" s="249"/>
      <c r="AB66" s="249"/>
      <c r="AC66" s="289"/>
      <c r="AD66" s="289"/>
      <c r="AE66" s="289"/>
      <c r="AF66" s="289"/>
      <c r="AG66" s="289"/>
      <c r="AH66" s="249"/>
      <c r="AI66" s="275"/>
      <c r="AJ66" s="353"/>
      <c r="AK66" s="275"/>
      <c r="AL66" s="249"/>
      <c r="AM66" s="289"/>
      <c r="AN66" s="249"/>
      <c r="AO66" s="249"/>
      <c r="AP66" s="289"/>
      <c r="AQ66" s="249"/>
      <c r="AR66" s="249"/>
      <c r="AS66" s="289"/>
      <c r="AT66" s="249"/>
      <c r="AU66" s="249"/>
      <c r="AV66" s="289"/>
      <c r="AW66" s="249"/>
      <c r="AX66" s="249"/>
      <c r="AY66" s="289"/>
      <c r="AZ66" s="249"/>
      <c r="BA66" s="249"/>
      <c r="BB66" s="289"/>
      <c r="BC66" s="249"/>
      <c r="BD66" s="249"/>
      <c r="BE66" s="289"/>
      <c r="BF66" s="249"/>
      <c r="BG66" s="249"/>
      <c r="BH66" s="289"/>
      <c r="BI66" s="249"/>
      <c r="BJ66" s="249"/>
      <c r="BK66" s="289"/>
      <c r="BL66" s="249"/>
      <c r="BM66" s="249"/>
      <c r="BN66" s="289"/>
      <c r="BO66" s="249"/>
      <c r="BP66" s="249"/>
      <c r="BQ66" s="289"/>
      <c r="BR66" s="249"/>
      <c r="BS66" s="249"/>
      <c r="BT66" s="289"/>
      <c r="BU66" s="249"/>
      <c r="BV66" s="267"/>
      <c r="BW66" s="289"/>
      <c r="BX66" s="249"/>
      <c r="BY66" s="249"/>
      <c r="BZ66" s="289"/>
      <c r="CA66" s="249"/>
      <c r="CB66" s="249"/>
      <c r="CC66" s="289"/>
      <c r="CD66" s="249"/>
      <c r="CE66" s="249"/>
      <c r="CF66" s="289"/>
      <c r="CG66" s="249"/>
      <c r="CH66" s="249"/>
      <c r="CI66" s="289"/>
      <c r="CJ66" s="249"/>
      <c r="CK66" s="249"/>
      <c r="CL66" s="289"/>
      <c r="CM66" s="249"/>
      <c r="CN66" s="249"/>
      <c r="CO66" s="289"/>
      <c r="CP66" s="249"/>
      <c r="CQ66" s="249"/>
      <c r="CR66" s="289"/>
      <c r="CS66" s="249"/>
      <c r="CT66" s="249"/>
      <c r="CU66" s="289"/>
      <c r="CV66" s="249"/>
      <c r="CW66" s="249"/>
      <c r="CX66" s="289"/>
      <c r="CY66" s="249"/>
      <c r="CZ66" s="262"/>
      <c r="DA66" s="287"/>
    </row>
    <row r="67" spans="1:105" s="53" customFormat="1" x14ac:dyDescent="0.2">
      <c r="A67" s="262" t="s">
        <v>340</v>
      </c>
      <c r="B67" s="283">
        <v>350</v>
      </c>
      <c r="C67" s="264" t="s">
        <v>26</v>
      </c>
      <c r="D67" s="249"/>
      <c r="E67" s="289"/>
      <c r="F67" s="249"/>
      <c r="G67" s="262" t="s">
        <v>273</v>
      </c>
      <c r="H67" s="287">
        <f>B35</f>
        <v>11000</v>
      </c>
      <c r="I67" s="249" t="s">
        <v>257</v>
      </c>
      <c r="J67" s="249"/>
      <c r="K67" s="289"/>
      <c r="L67" s="249"/>
      <c r="M67" s="249"/>
      <c r="N67" s="289"/>
      <c r="O67" s="249"/>
      <c r="P67" s="249"/>
      <c r="Q67" s="289"/>
      <c r="R67" s="249"/>
      <c r="S67" s="249"/>
      <c r="T67" s="289"/>
      <c r="U67" s="249"/>
      <c r="V67" s="249"/>
      <c r="W67" s="289"/>
      <c r="X67" s="249"/>
      <c r="Y67" s="249"/>
      <c r="Z67" s="289"/>
      <c r="AA67" s="249"/>
      <c r="AB67" s="249"/>
      <c r="AC67" s="289"/>
      <c r="AD67" s="289"/>
      <c r="AE67" s="289"/>
      <c r="AF67" s="289"/>
      <c r="AG67" s="289"/>
      <c r="AH67" s="249"/>
      <c r="AI67" s="275"/>
      <c r="AJ67" s="353"/>
      <c r="AK67" s="275"/>
      <c r="AL67" s="249"/>
      <c r="AM67" s="289"/>
      <c r="AN67" s="249"/>
      <c r="AO67" s="249"/>
      <c r="AP67" s="289"/>
      <c r="AQ67" s="249"/>
      <c r="AR67" s="249"/>
      <c r="AS67" s="289"/>
      <c r="AT67" s="249"/>
      <c r="AU67" s="249"/>
      <c r="AV67" s="289"/>
      <c r="AW67" s="249"/>
      <c r="AX67" s="249"/>
      <c r="AY67" s="289"/>
      <c r="AZ67" s="249"/>
      <c r="BA67" s="249"/>
      <c r="BB67" s="289"/>
      <c r="BC67" s="249"/>
      <c r="BD67" s="249"/>
      <c r="BE67" s="289"/>
      <c r="BF67" s="249"/>
      <c r="BG67" s="249"/>
      <c r="BH67" s="289"/>
      <c r="BI67" s="249"/>
      <c r="BJ67" s="249"/>
      <c r="BK67" s="289"/>
      <c r="BL67" s="249"/>
      <c r="BM67" s="249"/>
      <c r="BN67" s="289"/>
      <c r="BO67" s="249"/>
      <c r="BP67" s="249"/>
      <c r="BQ67" s="289"/>
      <c r="BR67" s="249"/>
      <c r="BS67" s="249"/>
      <c r="BT67" s="289"/>
      <c r="BU67" s="249"/>
      <c r="BV67" s="267"/>
      <c r="BW67" s="289"/>
      <c r="BX67" s="249"/>
      <c r="BY67" s="249"/>
      <c r="BZ67" s="289"/>
      <c r="CA67" s="249"/>
      <c r="CB67" s="249"/>
      <c r="CC67" s="289"/>
      <c r="CD67" s="249"/>
      <c r="CE67" s="249"/>
      <c r="CF67" s="289"/>
      <c r="CG67" s="249"/>
      <c r="CH67" s="249"/>
      <c r="CI67" s="289"/>
      <c r="CJ67" s="249"/>
      <c r="CK67" s="249"/>
      <c r="CL67" s="289"/>
      <c r="CM67" s="249"/>
      <c r="CN67" s="249"/>
      <c r="CO67" s="289"/>
      <c r="CP67" s="249"/>
      <c r="CQ67" s="249"/>
      <c r="CR67" s="289"/>
      <c r="CS67" s="249"/>
      <c r="CT67" s="249"/>
      <c r="CU67" s="289"/>
      <c r="CV67" s="249"/>
      <c r="CW67" s="249"/>
      <c r="CX67" s="289"/>
      <c r="CY67" s="249"/>
      <c r="CZ67" s="249"/>
      <c r="DA67" s="289"/>
    </row>
    <row r="68" spans="1:105" s="53" customFormat="1" x14ac:dyDescent="0.2">
      <c r="A68" s="262" t="s">
        <v>339</v>
      </c>
      <c r="B68" s="283">
        <v>350</v>
      </c>
      <c r="C68" s="264" t="s">
        <v>26</v>
      </c>
      <c r="D68" s="249"/>
      <c r="E68" s="289"/>
      <c r="F68" s="249"/>
      <c r="G68" s="95" t="s">
        <v>299</v>
      </c>
      <c r="H68" s="345">
        <f>B293</f>
        <v>27.027027027027</v>
      </c>
      <c r="I68" s="249"/>
      <c r="J68" s="249"/>
      <c r="K68" s="289"/>
      <c r="L68" s="249"/>
      <c r="M68" s="249"/>
      <c r="N68" s="289"/>
      <c r="O68" s="249"/>
      <c r="P68" s="249"/>
      <c r="Q68" s="289"/>
      <c r="R68" s="249"/>
      <c r="S68" s="249"/>
      <c r="T68" s="289"/>
      <c r="U68" s="249"/>
      <c r="V68" s="249"/>
      <c r="W68" s="289"/>
      <c r="X68" s="249"/>
      <c r="Y68" s="249"/>
      <c r="Z68" s="289"/>
      <c r="AA68" s="249"/>
      <c r="AB68" s="249"/>
      <c r="AC68" s="289"/>
      <c r="AD68" s="289"/>
      <c r="AE68" s="289"/>
      <c r="AF68" s="289"/>
      <c r="AG68" s="289"/>
      <c r="AH68" s="249"/>
      <c r="AI68" s="275"/>
      <c r="AJ68" s="353"/>
      <c r="AK68" s="275"/>
      <c r="AL68" s="249"/>
      <c r="AM68" s="289"/>
      <c r="AN68" s="249"/>
      <c r="AO68" s="249"/>
      <c r="AP68" s="289"/>
      <c r="AQ68" s="249"/>
      <c r="AR68" s="249"/>
      <c r="AS68" s="289"/>
      <c r="AT68" s="249"/>
      <c r="AU68" s="249"/>
      <c r="AV68" s="289"/>
      <c r="AW68" s="249"/>
      <c r="AX68" s="249"/>
      <c r="AY68" s="289"/>
      <c r="AZ68" s="249"/>
      <c r="BA68" s="249"/>
      <c r="BB68" s="289"/>
      <c r="BC68" s="249"/>
      <c r="BD68" s="249"/>
      <c r="BE68" s="289"/>
      <c r="BF68" s="249"/>
      <c r="BG68" s="249"/>
      <c r="BH68" s="289"/>
      <c r="BI68" s="249"/>
      <c r="BJ68" s="249"/>
      <c r="BK68" s="289"/>
      <c r="BL68" s="249"/>
      <c r="BM68" s="249"/>
      <c r="BN68" s="289"/>
      <c r="BO68" s="249"/>
      <c r="BP68" s="249"/>
      <c r="BQ68" s="289"/>
      <c r="BR68" s="249"/>
      <c r="BS68" s="249"/>
      <c r="BT68" s="289"/>
      <c r="BU68" s="249"/>
      <c r="BV68" s="249"/>
      <c r="BW68" s="289"/>
      <c r="BX68" s="249"/>
      <c r="BY68" s="249"/>
      <c r="BZ68" s="289"/>
      <c r="CA68" s="249"/>
      <c r="CB68" s="249"/>
      <c r="CC68" s="289"/>
      <c r="CD68" s="249"/>
      <c r="CE68" s="249"/>
      <c r="CF68" s="289"/>
      <c r="CG68" s="249"/>
      <c r="CH68" s="249"/>
      <c r="CI68" s="289"/>
      <c r="CJ68" s="249"/>
      <c r="CK68" s="249"/>
      <c r="CL68" s="289"/>
      <c r="CM68" s="249"/>
      <c r="CN68" s="249"/>
      <c r="CO68" s="289"/>
      <c r="CP68" s="249"/>
      <c r="CQ68" s="249"/>
      <c r="CR68" s="289"/>
      <c r="CS68" s="249"/>
      <c r="CT68" s="249"/>
      <c r="CU68" s="289"/>
      <c r="CV68" s="249"/>
      <c r="CW68" s="249"/>
      <c r="CX68" s="289"/>
      <c r="CY68" s="249"/>
      <c r="CZ68" s="249"/>
      <c r="DA68" s="289"/>
    </row>
    <row r="69" spans="1:105" s="53" customFormat="1" x14ac:dyDescent="0.2">
      <c r="A69" s="262" t="s">
        <v>338</v>
      </c>
      <c r="B69" s="283">
        <v>350</v>
      </c>
      <c r="C69" s="264" t="s">
        <v>26</v>
      </c>
      <c r="D69" s="249"/>
      <c r="E69" s="289"/>
      <c r="F69" s="249"/>
      <c r="G69" s="249"/>
      <c r="H69" s="289"/>
      <c r="I69" s="249"/>
      <c r="J69" s="249"/>
      <c r="K69" s="289"/>
      <c r="L69" s="249"/>
      <c r="M69" s="249"/>
      <c r="N69" s="289"/>
      <c r="O69" s="249"/>
      <c r="P69" s="249"/>
      <c r="Q69" s="289"/>
      <c r="R69" s="249"/>
      <c r="S69" s="249"/>
      <c r="T69" s="289"/>
      <c r="U69" s="249"/>
      <c r="V69" s="249"/>
      <c r="W69" s="289"/>
      <c r="X69" s="249"/>
      <c r="Y69" s="249"/>
      <c r="Z69" s="289"/>
      <c r="AA69" s="249"/>
      <c r="AB69" s="249"/>
      <c r="AC69" s="289"/>
      <c r="AD69" s="289"/>
      <c r="AE69" s="289"/>
      <c r="AF69" s="289"/>
      <c r="AG69" s="289"/>
      <c r="AH69" s="249"/>
      <c r="AI69" s="275"/>
      <c r="AJ69" s="353"/>
      <c r="AK69" s="275"/>
      <c r="AL69" s="249"/>
      <c r="AM69" s="289"/>
      <c r="AN69" s="249"/>
      <c r="AO69" s="249"/>
      <c r="AP69" s="289"/>
      <c r="AQ69" s="249"/>
      <c r="AR69" s="249"/>
      <c r="AS69" s="289"/>
      <c r="AT69" s="249"/>
      <c r="AU69" s="249"/>
      <c r="AV69" s="289"/>
      <c r="AW69" s="249"/>
      <c r="AX69" s="249"/>
      <c r="AY69" s="289"/>
      <c r="AZ69" s="249"/>
      <c r="BA69" s="249"/>
      <c r="BB69" s="289"/>
      <c r="BC69" s="249"/>
      <c r="BD69" s="249"/>
      <c r="BE69" s="289"/>
      <c r="BF69" s="249"/>
      <c r="BG69" s="249"/>
      <c r="BH69" s="289"/>
      <c r="BI69" s="249"/>
      <c r="BJ69" s="249"/>
      <c r="BK69" s="289"/>
      <c r="BL69" s="249"/>
      <c r="BM69" s="249"/>
      <c r="BN69" s="289"/>
      <c r="BO69" s="249"/>
      <c r="BP69" s="249"/>
      <c r="BQ69" s="289"/>
      <c r="BR69" s="249"/>
      <c r="BS69" s="249"/>
      <c r="BT69" s="289"/>
      <c r="BU69" s="249"/>
      <c r="BV69" s="262"/>
      <c r="BW69" s="287"/>
      <c r="BX69" s="249"/>
      <c r="BY69" s="249"/>
      <c r="BZ69" s="289"/>
      <c r="CA69" s="249"/>
      <c r="CB69" s="249"/>
      <c r="CC69" s="289"/>
      <c r="CD69" s="249"/>
      <c r="CE69" s="249"/>
      <c r="CF69" s="289"/>
      <c r="CG69" s="249"/>
      <c r="CH69" s="249"/>
      <c r="CI69" s="289"/>
      <c r="CJ69" s="249"/>
      <c r="CK69" s="249"/>
      <c r="CL69" s="289"/>
      <c r="CM69" s="249"/>
      <c r="CN69" s="249"/>
      <c r="CO69" s="289"/>
      <c r="CP69" s="249"/>
      <c r="CQ69" s="249"/>
      <c r="CR69" s="289"/>
      <c r="CS69" s="249"/>
      <c r="CT69" s="249"/>
      <c r="CU69" s="289"/>
      <c r="CV69" s="249"/>
      <c r="CW69" s="249"/>
      <c r="CX69" s="289"/>
      <c r="CY69" s="249"/>
      <c r="CZ69" s="249"/>
      <c r="DA69" s="289"/>
    </row>
    <row r="70" spans="1:105" s="53" customFormat="1" x14ac:dyDescent="0.2">
      <c r="A70" s="249" t="s">
        <v>344</v>
      </c>
      <c r="B70" s="284">
        <v>0.54</v>
      </c>
      <c r="C70" s="92" t="s">
        <v>104</v>
      </c>
      <c r="D70" s="249"/>
      <c r="E70" s="289"/>
      <c r="F70" s="249"/>
      <c r="G70" s="249"/>
      <c r="H70" s="289"/>
      <c r="I70" s="249"/>
      <c r="J70" s="249"/>
      <c r="K70" s="289"/>
      <c r="L70" s="249"/>
      <c r="M70" s="249"/>
      <c r="N70" s="289"/>
      <c r="O70" s="249"/>
      <c r="P70" s="249"/>
      <c r="Q70" s="289"/>
      <c r="R70" s="249"/>
      <c r="S70" s="249"/>
      <c r="T70" s="289"/>
      <c r="U70" s="249"/>
      <c r="V70" s="249"/>
      <c r="W70" s="289"/>
      <c r="X70" s="249"/>
      <c r="Y70" s="249"/>
      <c r="Z70" s="289"/>
      <c r="AA70" s="249"/>
      <c r="AB70" s="249"/>
      <c r="AC70" s="289"/>
      <c r="AD70" s="289"/>
      <c r="AE70" s="289"/>
      <c r="AF70" s="289"/>
      <c r="AG70" s="289"/>
      <c r="AH70" s="249"/>
      <c r="AI70" s="275"/>
      <c r="AJ70" s="353"/>
      <c r="AK70" s="275"/>
      <c r="AL70" s="249"/>
      <c r="AM70" s="289"/>
      <c r="AN70" s="249"/>
      <c r="AO70" s="249"/>
      <c r="AP70" s="289"/>
      <c r="AQ70" s="249"/>
      <c r="AR70" s="249"/>
      <c r="AS70" s="289"/>
      <c r="AT70" s="249"/>
      <c r="AU70" s="249"/>
      <c r="AV70" s="289"/>
      <c r="AW70" s="249"/>
      <c r="AX70" s="249"/>
      <c r="AY70" s="289"/>
      <c r="AZ70" s="249"/>
      <c r="BA70" s="249"/>
      <c r="BB70" s="289"/>
      <c r="BC70" s="249"/>
      <c r="BD70" s="249"/>
      <c r="BE70" s="289"/>
      <c r="BF70" s="249"/>
      <c r="BG70" s="249"/>
      <c r="BH70" s="289"/>
      <c r="BI70" s="249"/>
      <c r="BJ70" s="249"/>
      <c r="BK70" s="289"/>
      <c r="BL70" s="249"/>
      <c r="BM70" s="249"/>
      <c r="BN70" s="289"/>
      <c r="BO70" s="249"/>
      <c r="BP70" s="249"/>
      <c r="BQ70" s="289"/>
      <c r="BR70" s="249"/>
      <c r="BS70" s="249"/>
      <c r="BT70" s="289"/>
      <c r="BU70" s="249"/>
      <c r="BV70" s="262"/>
      <c r="BW70" s="289"/>
      <c r="BX70" s="249"/>
      <c r="BY70" s="249"/>
      <c r="BZ70" s="289"/>
      <c r="CA70" s="249"/>
      <c r="CB70" s="249"/>
      <c r="CC70" s="289"/>
      <c r="CD70" s="249"/>
      <c r="CE70" s="249"/>
      <c r="CF70" s="289"/>
      <c r="CG70" s="249"/>
      <c r="CH70" s="249"/>
      <c r="CI70" s="289"/>
      <c r="CJ70" s="249"/>
      <c r="CK70" s="249"/>
      <c r="CL70" s="289"/>
      <c r="CM70" s="249"/>
      <c r="CN70" s="249"/>
      <c r="CO70" s="289"/>
      <c r="CP70" s="249"/>
      <c r="CQ70" s="249"/>
      <c r="CR70" s="289"/>
      <c r="CS70" s="249"/>
      <c r="CT70" s="249"/>
      <c r="CU70" s="289"/>
      <c r="CV70" s="249"/>
      <c r="CW70" s="249"/>
      <c r="CX70" s="289"/>
      <c r="CY70" s="249"/>
      <c r="CZ70" s="249"/>
      <c r="DA70" s="289"/>
    </row>
    <row r="71" spans="1:105" s="53" customFormat="1" x14ac:dyDescent="0.2">
      <c r="A71" s="249" t="s">
        <v>345</v>
      </c>
      <c r="B71" s="284">
        <v>0.71</v>
      </c>
      <c r="C71" s="92" t="s">
        <v>104</v>
      </c>
      <c r="D71" s="249"/>
      <c r="E71" s="289"/>
      <c r="F71" s="249"/>
      <c r="G71" s="249"/>
      <c r="H71" s="289"/>
      <c r="I71" s="249"/>
      <c r="J71" s="249"/>
      <c r="K71" s="289"/>
      <c r="L71" s="249"/>
      <c r="M71" s="249"/>
      <c r="N71" s="289"/>
      <c r="O71" s="249"/>
      <c r="P71" s="249"/>
      <c r="Q71" s="289"/>
      <c r="R71" s="249"/>
      <c r="S71" s="249"/>
      <c r="T71" s="289"/>
      <c r="U71" s="249"/>
      <c r="V71" s="249"/>
      <c r="W71" s="289"/>
      <c r="X71" s="249"/>
      <c r="Y71" s="249"/>
      <c r="Z71" s="289"/>
      <c r="AA71" s="249"/>
      <c r="AB71" s="249"/>
      <c r="AC71" s="289"/>
      <c r="AD71" s="289"/>
      <c r="AE71" s="289"/>
      <c r="AF71" s="289"/>
      <c r="AG71" s="289"/>
      <c r="AH71" s="249"/>
      <c r="AI71" s="275"/>
      <c r="AJ71" s="353"/>
      <c r="AK71" s="275"/>
      <c r="AL71" s="249"/>
      <c r="AM71" s="289"/>
      <c r="AN71" s="249"/>
      <c r="AO71" s="249"/>
      <c r="AP71" s="289"/>
      <c r="AQ71" s="249"/>
      <c r="AR71" s="249"/>
      <c r="AS71" s="289"/>
      <c r="AT71" s="249"/>
      <c r="AU71" s="249"/>
      <c r="AV71" s="289"/>
      <c r="AW71" s="249"/>
      <c r="AX71" s="249"/>
      <c r="AY71" s="289"/>
      <c r="AZ71" s="249"/>
      <c r="BA71" s="249"/>
      <c r="BB71" s="289"/>
      <c r="BC71" s="249"/>
      <c r="BD71" s="249"/>
      <c r="BE71" s="289"/>
      <c r="BF71" s="249"/>
      <c r="BG71" s="249"/>
      <c r="BH71" s="289"/>
      <c r="BI71" s="249"/>
      <c r="BJ71" s="249"/>
      <c r="BK71" s="289"/>
      <c r="BL71" s="249"/>
      <c r="BM71" s="249"/>
      <c r="BN71" s="289"/>
      <c r="BO71" s="249"/>
      <c r="BP71" s="249"/>
      <c r="BQ71" s="289"/>
      <c r="BR71" s="249"/>
      <c r="BS71" s="249"/>
      <c r="BT71" s="289"/>
      <c r="BU71" s="249"/>
      <c r="BV71" s="262"/>
      <c r="BW71" s="289"/>
      <c r="BX71" s="249"/>
      <c r="BY71" s="249"/>
      <c r="BZ71" s="289"/>
      <c r="CA71" s="249"/>
      <c r="CB71" s="249"/>
      <c r="CC71" s="289"/>
      <c r="CD71" s="249"/>
      <c r="CE71" s="249"/>
      <c r="CF71" s="289"/>
      <c r="CG71" s="249"/>
      <c r="CH71" s="249"/>
      <c r="CI71" s="289"/>
      <c r="CJ71" s="249"/>
      <c r="CK71" s="249"/>
      <c r="CL71" s="289"/>
      <c r="CM71" s="249"/>
      <c r="CN71" s="249"/>
      <c r="CO71" s="289"/>
      <c r="CP71" s="249"/>
      <c r="CQ71" s="249"/>
      <c r="CR71" s="289"/>
      <c r="CS71" s="249"/>
      <c r="CT71" s="249"/>
      <c r="CU71" s="289"/>
      <c r="CV71" s="249"/>
      <c r="CW71" s="249"/>
      <c r="CX71" s="289"/>
      <c r="CY71" s="249"/>
      <c r="CZ71" s="249"/>
      <c r="DA71" s="289"/>
    </row>
    <row r="72" spans="1:105" s="53" customFormat="1" x14ac:dyDescent="0.2">
      <c r="A72" s="262" t="s">
        <v>347</v>
      </c>
      <c r="B72" s="283">
        <v>24</v>
      </c>
      <c r="C72" s="264" t="s">
        <v>224</v>
      </c>
      <c r="D72" s="249"/>
      <c r="E72" s="289"/>
      <c r="F72" s="249"/>
      <c r="G72" s="249"/>
      <c r="H72" s="289"/>
      <c r="I72" s="249"/>
      <c r="J72" s="249"/>
      <c r="K72" s="289"/>
      <c r="L72" s="249"/>
      <c r="M72" s="249"/>
      <c r="N72" s="289"/>
      <c r="O72" s="249"/>
      <c r="P72" s="249"/>
      <c r="Q72" s="289"/>
      <c r="R72" s="249"/>
      <c r="S72" s="249"/>
      <c r="T72" s="289"/>
      <c r="U72" s="249"/>
      <c r="V72" s="249"/>
      <c r="W72" s="289"/>
      <c r="X72" s="249"/>
      <c r="Y72" s="249"/>
      <c r="Z72" s="289"/>
      <c r="AA72" s="249"/>
      <c r="AB72" s="249"/>
      <c r="AC72" s="289"/>
      <c r="AD72" s="289"/>
      <c r="AE72" s="289"/>
      <c r="AF72" s="277"/>
      <c r="AG72" s="353"/>
      <c r="AH72" s="275"/>
      <c r="AI72" s="275"/>
      <c r="AJ72" s="353"/>
      <c r="AK72" s="275"/>
      <c r="AL72" s="249"/>
      <c r="AM72" s="289"/>
      <c r="AN72" s="249"/>
      <c r="AO72" s="249"/>
      <c r="AP72" s="289"/>
      <c r="AQ72" s="249"/>
      <c r="AR72" s="249"/>
      <c r="AS72" s="289"/>
      <c r="AT72" s="249"/>
      <c r="AU72" s="249"/>
      <c r="AV72" s="289"/>
      <c r="AW72" s="249"/>
      <c r="AX72" s="249"/>
      <c r="AY72" s="289"/>
      <c r="AZ72" s="249"/>
      <c r="BA72" s="249"/>
      <c r="BB72" s="289"/>
      <c r="BC72" s="249"/>
      <c r="BD72" s="249"/>
      <c r="BE72" s="289"/>
      <c r="BF72" s="249"/>
      <c r="BG72" s="249"/>
      <c r="BH72" s="289"/>
      <c r="BI72" s="249"/>
      <c r="BJ72" s="249"/>
      <c r="BK72" s="289"/>
      <c r="BL72" s="249"/>
      <c r="BM72" s="249"/>
      <c r="BN72" s="289"/>
      <c r="BO72" s="249"/>
      <c r="BP72" s="249"/>
      <c r="BQ72" s="289"/>
      <c r="BR72" s="249"/>
      <c r="BS72" s="249"/>
      <c r="BT72" s="289"/>
      <c r="BU72" s="249"/>
      <c r="BV72" s="249"/>
      <c r="BW72" s="289"/>
      <c r="BX72" s="249"/>
      <c r="BY72" s="249"/>
      <c r="BZ72" s="289"/>
      <c r="CA72" s="249"/>
      <c r="CB72" s="249"/>
      <c r="CC72" s="289"/>
      <c r="CD72" s="249"/>
      <c r="CE72" s="249"/>
      <c r="CF72" s="289"/>
      <c r="CG72" s="249"/>
      <c r="CH72" s="249"/>
      <c r="CI72" s="289"/>
      <c r="CJ72" s="249"/>
      <c r="CK72" s="249"/>
      <c r="CL72" s="289"/>
      <c r="CM72" s="249"/>
      <c r="CN72" s="249"/>
      <c r="CO72" s="289"/>
      <c r="CP72" s="249"/>
      <c r="CQ72" s="249"/>
      <c r="CR72" s="289"/>
      <c r="CS72" s="249"/>
      <c r="CT72" s="249"/>
      <c r="CU72" s="289"/>
      <c r="CV72" s="249"/>
      <c r="CW72" s="249"/>
      <c r="CX72" s="289"/>
      <c r="CY72" s="249"/>
      <c r="CZ72" s="249"/>
      <c r="DA72" s="289"/>
    </row>
    <row r="73" spans="1:105" s="53" customFormat="1" x14ac:dyDescent="0.2">
      <c r="A73" s="262" t="s">
        <v>348</v>
      </c>
      <c r="B73" s="283">
        <v>24</v>
      </c>
      <c r="C73" s="264" t="s">
        <v>224</v>
      </c>
      <c r="D73" s="249"/>
      <c r="E73" s="289"/>
      <c r="F73" s="249"/>
      <c r="G73" s="249"/>
      <c r="H73" s="289"/>
      <c r="I73" s="249"/>
      <c r="J73" s="249"/>
      <c r="K73" s="289"/>
      <c r="L73" s="249"/>
      <c r="M73" s="249"/>
      <c r="N73" s="289"/>
      <c r="O73" s="249"/>
      <c r="P73" s="249"/>
      <c r="Q73" s="289"/>
      <c r="R73" s="249"/>
      <c r="S73" s="249"/>
      <c r="T73" s="289"/>
      <c r="U73" s="249"/>
      <c r="V73" s="249"/>
      <c r="W73" s="289"/>
      <c r="X73" s="249"/>
      <c r="Y73" s="249"/>
      <c r="Z73" s="289"/>
      <c r="AA73" s="249"/>
      <c r="AB73" s="249"/>
      <c r="AC73" s="289"/>
      <c r="AD73" s="289"/>
      <c r="AE73" s="289"/>
      <c r="AF73" s="277"/>
      <c r="AG73" s="353"/>
      <c r="AH73" s="275"/>
      <c r="AI73" s="275"/>
      <c r="AJ73" s="353"/>
      <c r="AK73" s="275"/>
      <c r="AL73" s="249"/>
      <c r="AM73" s="289"/>
      <c r="AN73" s="249"/>
      <c r="AO73" s="249"/>
      <c r="AP73" s="289"/>
      <c r="AQ73" s="249"/>
      <c r="AR73" s="249"/>
      <c r="AS73" s="289"/>
      <c r="AT73" s="249"/>
      <c r="AU73" s="249"/>
      <c r="AV73" s="289"/>
      <c r="AW73" s="249"/>
      <c r="AX73" s="249"/>
      <c r="AY73" s="289"/>
      <c r="AZ73" s="249"/>
      <c r="BA73" s="249"/>
      <c r="BB73" s="289"/>
      <c r="BC73" s="249"/>
      <c r="BD73" s="249"/>
      <c r="BE73" s="289"/>
      <c r="BF73" s="249"/>
      <c r="BG73" s="249"/>
      <c r="BH73" s="289"/>
      <c r="BI73" s="249"/>
      <c r="BJ73" s="249"/>
      <c r="BK73" s="289"/>
      <c r="BL73" s="249"/>
      <c r="BM73" s="249"/>
      <c r="BN73" s="289"/>
      <c r="BO73" s="249"/>
      <c r="BP73" s="249"/>
      <c r="BQ73" s="289"/>
      <c r="BR73" s="249"/>
      <c r="BS73" s="249"/>
      <c r="BT73" s="289"/>
      <c r="BU73" s="249"/>
      <c r="BV73" s="249"/>
      <c r="BW73" s="289"/>
      <c r="BX73" s="249"/>
      <c r="BY73" s="249"/>
      <c r="BZ73" s="289"/>
      <c r="CA73" s="249"/>
      <c r="CB73" s="249"/>
      <c r="CC73" s="289"/>
      <c r="CD73" s="249"/>
      <c r="CE73" s="249"/>
      <c r="CF73" s="289"/>
      <c r="CG73" s="249"/>
      <c r="CH73" s="249"/>
      <c r="CI73" s="289"/>
      <c r="CJ73" s="249"/>
      <c r="CK73" s="249"/>
      <c r="CL73" s="289"/>
      <c r="CM73" s="249"/>
      <c r="CN73" s="249"/>
      <c r="CO73" s="289"/>
      <c r="CP73" s="249"/>
      <c r="CQ73" s="249"/>
      <c r="CR73" s="289"/>
      <c r="CS73" s="249"/>
      <c r="CT73" s="249"/>
      <c r="CU73" s="289"/>
      <c r="CV73" s="249"/>
      <c r="CW73" s="249"/>
      <c r="CX73" s="289"/>
      <c r="CY73" s="249"/>
      <c r="CZ73" s="249"/>
      <c r="DA73" s="289"/>
    </row>
    <row r="74" spans="1:105" s="53" customFormat="1" x14ac:dyDescent="0.2">
      <c r="A74" s="262" t="s">
        <v>346</v>
      </c>
      <c r="B74" s="283">
        <v>24</v>
      </c>
      <c r="C74" s="264" t="s">
        <v>224</v>
      </c>
      <c r="D74" s="249"/>
      <c r="E74" s="289"/>
      <c r="F74" s="249"/>
      <c r="G74" s="249"/>
      <c r="H74" s="289"/>
      <c r="I74" s="249"/>
      <c r="J74" s="249"/>
      <c r="K74" s="289"/>
      <c r="L74" s="249"/>
      <c r="M74" s="249"/>
      <c r="N74" s="289"/>
      <c r="O74" s="249"/>
      <c r="P74" s="249"/>
      <c r="Q74" s="289"/>
      <c r="R74" s="249"/>
      <c r="S74" s="249"/>
      <c r="T74" s="289"/>
      <c r="U74" s="249"/>
      <c r="V74" s="249"/>
      <c r="W74" s="289"/>
      <c r="X74" s="249"/>
      <c r="Y74" s="249"/>
      <c r="Z74" s="289"/>
      <c r="AA74" s="249"/>
      <c r="AB74" s="249"/>
      <c r="AC74" s="289"/>
      <c r="AD74" s="289"/>
      <c r="AE74" s="289"/>
      <c r="AF74" s="277"/>
      <c r="AG74" s="353"/>
      <c r="AH74" s="275"/>
      <c r="AI74" s="275"/>
      <c r="AJ74" s="353"/>
      <c r="AK74" s="275"/>
      <c r="AL74" s="249"/>
      <c r="AM74" s="289"/>
      <c r="AN74" s="249"/>
      <c r="AO74" s="249"/>
      <c r="AP74" s="289"/>
      <c r="AQ74" s="249"/>
      <c r="AR74" s="249"/>
      <c r="AS74" s="289"/>
      <c r="AT74" s="249"/>
      <c r="AU74" s="249"/>
      <c r="AV74" s="289"/>
      <c r="AW74" s="249"/>
      <c r="AX74" s="249"/>
      <c r="AY74" s="289"/>
      <c r="AZ74" s="249"/>
      <c r="BA74" s="249"/>
      <c r="BB74" s="289"/>
      <c r="BC74" s="249"/>
      <c r="BD74" s="249"/>
      <c r="BE74" s="289"/>
      <c r="BF74" s="249"/>
      <c r="BG74" s="249"/>
      <c r="BH74" s="289"/>
      <c r="BI74" s="249"/>
      <c r="BJ74" s="249"/>
      <c r="BK74" s="289"/>
      <c r="BL74" s="249"/>
      <c r="BM74" s="249"/>
      <c r="BN74" s="289"/>
      <c r="BO74" s="249"/>
      <c r="BP74" s="249"/>
      <c r="BQ74" s="289"/>
      <c r="BR74" s="249"/>
      <c r="BS74" s="249"/>
      <c r="BT74" s="289"/>
      <c r="BU74" s="249"/>
      <c r="BV74" s="249"/>
      <c r="BW74" s="289"/>
      <c r="BX74" s="249"/>
      <c r="BY74" s="249"/>
      <c r="BZ74" s="289"/>
      <c r="CA74" s="249"/>
      <c r="CB74" s="249"/>
      <c r="CC74" s="289"/>
      <c r="CD74" s="249"/>
      <c r="CE74" s="249"/>
      <c r="CF74" s="289"/>
      <c r="CG74" s="249"/>
      <c r="CH74" s="249"/>
      <c r="CI74" s="289"/>
      <c r="CJ74" s="249"/>
      <c r="CK74" s="249"/>
      <c r="CL74" s="289"/>
      <c r="CM74" s="249"/>
      <c r="CN74" s="249"/>
      <c r="CO74" s="289"/>
      <c r="CP74" s="249"/>
      <c r="CQ74" s="249"/>
      <c r="CR74" s="289"/>
      <c r="CS74" s="249"/>
      <c r="CT74" s="249"/>
      <c r="CU74" s="289"/>
      <c r="CV74" s="249"/>
      <c r="CW74" s="249"/>
      <c r="CX74" s="289"/>
      <c r="CY74" s="249"/>
      <c r="CZ74" s="249"/>
      <c r="DA74" s="289"/>
    </row>
    <row r="75" spans="1:105" s="53" customFormat="1" x14ac:dyDescent="0.2">
      <c r="A75" s="249" t="s">
        <v>349</v>
      </c>
      <c r="B75" s="284">
        <v>1</v>
      </c>
      <c r="C75" s="92" t="s">
        <v>98</v>
      </c>
      <c r="D75" s="249"/>
      <c r="E75" s="289"/>
      <c r="F75" s="249"/>
      <c r="G75" s="249"/>
      <c r="H75" s="289"/>
      <c r="I75" s="249"/>
      <c r="J75" s="249"/>
      <c r="K75" s="289"/>
      <c r="L75" s="249"/>
      <c r="M75" s="249"/>
      <c r="N75" s="289"/>
      <c r="O75" s="249"/>
      <c r="P75" s="249"/>
      <c r="Q75" s="289"/>
      <c r="R75" s="249"/>
      <c r="S75" s="249"/>
      <c r="T75" s="289"/>
      <c r="U75" s="249"/>
      <c r="V75" s="249"/>
      <c r="W75" s="289"/>
      <c r="X75" s="249"/>
      <c r="Y75" s="249"/>
      <c r="Z75" s="289"/>
      <c r="AA75" s="249"/>
      <c r="AB75" s="249"/>
      <c r="AC75" s="289"/>
      <c r="AD75" s="289"/>
      <c r="AE75" s="289"/>
      <c r="AF75" s="277"/>
      <c r="AG75" s="353"/>
      <c r="AH75" s="275"/>
      <c r="AI75" s="275"/>
      <c r="AJ75" s="353"/>
      <c r="AK75" s="275"/>
      <c r="AL75" s="249"/>
      <c r="AM75" s="289"/>
      <c r="AN75" s="249"/>
      <c r="AO75" s="249"/>
      <c r="AP75" s="289"/>
      <c r="AQ75" s="249"/>
      <c r="AR75" s="249"/>
      <c r="AS75" s="289"/>
      <c r="AT75" s="249"/>
      <c r="AU75" s="249"/>
      <c r="AV75" s="289"/>
      <c r="AW75" s="249"/>
      <c r="AX75" s="249"/>
      <c r="AY75" s="289"/>
      <c r="AZ75" s="249"/>
      <c r="BA75" s="249"/>
      <c r="BB75" s="289"/>
      <c r="BC75" s="249"/>
      <c r="BD75" s="249"/>
      <c r="BE75" s="289"/>
      <c r="BF75" s="249"/>
      <c r="BG75" s="249"/>
      <c r="BH75" s="289"/>
      <c r="BI75" s="249"/>
      <c r="BJ75" s="249"/>
      <c r="BK75" s="289"/>
      <c r="BL75" s="249"/>
      <c r="BM75" s="249"/>
      <c r="BN75" s="289"/>
      <c r="BO75" s="249"/>
      <c r="BP75" s="249"/>
      <c r="BQ75" s="289"/>
      <c r="BR75" s="249"/>
      <c r="BS75" s="249"/>
      <c r="BT75" s="289"/>
      <c r="BU75" s="249"/>
      <c r="BV75" s="249"/>
      <c r="BW75" s="289"/>
      <c r="BX75" s="249"/>
      <c r="BY75" s="249"/>
      <c r="BZ75" s="289"/>
      <c r="CA75" s="249"/>
      <c r="CB75" s="249"/>
      <c r="CC75" s="289"/>
      <c r="CD75" s="249"/>
      <c r="CE75" s="249"/>
      <c r="CF75" s="289"/>
      <c r="CG75" s="249"/>
      <c r="CH75" s="249"/>
      <c r="CI75" s="289"/>
      <c r="CJ75" s="249"/>
      <c r="CK75" s="249"/>
      <c r="CL75" s="289"/>
      <c r="CM75" s="249"/>
      <c r="CN75" s="249"/>
      <c r="CO75" s="289"/>
      <c r="CP75" s="249"/>
      <c r="CQ75" s="249"/>
      <c r="CR75" s="289"/>
      <c r="CS75" s="249"/>
      <c r="CT75" s="249"/>
      <c r="CU75" s="289"/>
      <c r="CV75" s="249"/>
      <c r="CW75" s="249"/>
      <c r="CX75" s="289"/>
      <c r="CY75" s="249"/>
      <c r="CZ75" s="249"/>
      <c r="DA75" s="289"/>
    </row>
    <row r="76" spans="1:105" s="53" customFormat="1" x14ac:dyDescent="0.2">
      <c r="A76" s="249" t="s">
        <v>350</v>
      </c>
      <c r="B76" s="284">
        <v>1</v>
      </c>
      <c r="C76" s="92" t="s">
        <v>98</v>
      </c>
      <c r="D76" s="249"/>
      <c r="E76" s="289"/>
      <c r="F76" s="249"/>
      <c r="G76" s="249"/>
      <c r="H76" s="289"/>
      <c r="I76" s="249"/>
      <c r="J76" s="249"/>
      <c r="K76" s="289"/>
      <c r="L76" s="249"/>
      <c r="M76" s="249"/>
      <c r="N76" s="289"/>
      <c r="O76" s="249"/>
      <c r="P76" s="249"/>
      <c r="Q76" s="289"/>
      <c r="R76" s="249"/>
      <c r="S76" s="249"/>
      <c r="T76" s="289"/>
      <c r="U76" s="249"/>
      <c r="V76" s="249"/>
      <c r="W76" s="289"/>
      <c r="X76" s="249"/>
      <c r="Y76" s="249"/>
      <c r="Z76" s="289"/>
      <c r="AA76" s="249"/>
      <c r="AB76" s="249"/>
      <c r="AC76" s="289"/>
      <c r="AD76" s="289"/>
      <c r="AE76" s="289"/>
      <c r="AF76" s="277"/>
      <c r="AG76" s="353"/>
      <c r="AH76" s="275"/>
      <c r="AI76" s="275"/>
      <c r="AJ76" s="353"/>
      <c r="AK76" s="275"/>
      <c r="AL76" s="249"/>
      <c r="AM76" s="289"/>
      <c r="AN76" s="249"/>
      <c r="AO76" s="249"/>
      <c r="AP76" s="289"/>
      <c r="AQ76" s="249"/>
      <c r="AR76" s="249"/>
      <c r="AS76" s="289"/>
      <c r="AT76" s="249"/>
      <c r="AU76" s="249"/>
      <c r="AV76" s="289"/>
      <c r="AW76" s="249"/>
      <c r="AX76" s="249"/>
      <c r="AY76" s="289"/>
      <c r="AZ76" s="249"/>
      <c r="BA76" s="249"/>
      <c r="BB76" s="289"/>
      <c r="BC76" s="249"/>
      <c r="BD76" s="249"/>
      <c r="BE76" s="289"/>
      <c r="BF76" s="249"/>
      <c r="BG76" s="249"/>
      <c r="BH76" s="289"/>
      <c r="BI76" s="249"/>
      <c r="BJ76" s="249"/>
      <c r="BK76" s="289"/>
      <c r="BL76" s="249"/>
      <c r="BM76" s="249"/>
      <c r="BN76" s="289"/>
      <c r="BO76" s="249"/>
      <c r="BP76" s="249"/>
      <c r="BQ76" s="289"/>
      <c r="BR76" s="249"/>
      <c r="BS76" s="249"/>
      <c r="BT76" s="289"/>
      <c r="BU76" s="249"/>
      <c r="BV76" s="249"/>
      <c r="BW76" s="289"/>
      <c r="BX76" s="249"/>
      <c r="BY76" s="249"/>
      <c r="BZ76" s="289"/>
      <c r="CA76" s="249"/>
      <c r="CB76" s="249"/>
      <c r="CC76" s="289"/>
      <c r="CD76" s="249"/>
      <c r="CE76" s="249"/>
      <c r="CF76" s="289"/>
      <c r="CG76" s="249"/>
      <c r="CH76" s="249"/>
      <c r="CI76" s="289"/>
      <c r="CJ76" s="249"/>
      <c r="CK76" s="249"/>
      <c r="CL76" s="289"/>
      <c r="CM76" s="249"/>
      <c r="CN76" s="249"/>
      <c r="CO76" s="289"/>
      <c r="CP76" s="249"/>
      <c r="CQ76" s="249"/>
      <c r="CR76" s="289"/>
      <c r="CS76" s="249"/>
      <c r="CT76" s="249"/>
      <c r="CU76" s="289"/>
      <c r="CV76" s="249"/>
      <c r="CW76" s="249"/>
      <c r="CX76" s="289"/>
      <c r="CY76" s="249"/>
      <c r="CZ76" s="249"/>
      <c r="DA76" s="289"/>
    </row>
    <row r="77" spans="1:105" s="53" customFormat="1" x14ac:dyDescent="0.2">
      <c r="A77" s="262" t="s">
        <v>103</v>
      </c>
      <c r="B77" s="283">
        <v>0.4</v>
      </c>
      <c r="C77" s="249"/>
      <c r="D77" s="249"/>
      <c r="E77" s="289"/>
      <c r="F77" s="249"/>
      <c r="G77" s="249"/>
      <c r="H77" s="289"/>
      <c r="I77" s="249"/>
      <c r="J77" s="249"/>
      <c r="K77" s="289"/>
      <c r="L77" s="249"/>
      <c r="M77" s="249"/>
      <c r="N77" s="289"/>
      <c r="O77" s="249"/>
      <c r="P77" s="249"/>
      <c r="Q77" s="289"/>
      <c r="R77" s="249"/>
      <c r="S77" s="249"/>
      <c r="T77" s="289"/>
      <c r="U77" s="249"/>
      <c r="V77" s="249"/>
      <c r="W77" s="289"/>
      <c r="X77" s="249"/>
      <c r="Y77" s="249"/>
      <c r="Z77" s="289"/>
      <c r="AA77" s="249"/>
      <c r="AB77" s="249"/>
      <c r="AC77" s="289"/>
      <c r="AD77" s="289"/>
      <c r="AE77" s="289"/>
      <c r="AF77" s="277"/>
      <c r="AG77" s="353"/>
      <c r="AH77" s="275"/>
      <c r="AI77" s="275"/>
      <c r="AJ77" s="353"/>
      <c r="AK77" s="275"/>
      <c r="AL77" s="249"/>
      <c r="AM77" s="289"/>
      <c r="AN77" s="249"/>
      <c r="AO77" s="249"/>
      <c r="AP77" s="289"/>
      <c r="AQ77" s="249"/>
      <c r="AR77" s="249"/>
      <c r="AS77" s="289"/>
      <c r="AT77" s="249"/>
      <c r="AU77" s="249"/>
      <c r="AV77" s="289"/>
      <c r="AW77" s="249"/>
      <c r="AX77" s="249"/>
      <c r="AY77" s="289"/>
      <c r="AZ77" s="249"/>
      <c r="BA77" s="249"/>
      <c r="BB77" s="289"/>
      <c r="BC77" s="249"/>
      <c r="BD77" s="249"/>
      <c r="BE77" s="289"/>
      <c r="BF77" s="249"/>
      <c r="BG77" s="249"/>
      <c r="BH77" s="289"/>
      <c r="BI77" s="249"/>
      <c r="BJ77" s="249"/>
      <c r="BK77" s="289"/>
      <c r="BL77" s="249"/>
      <c r="BM77" s="249"/>
      <c r="BN77" s="289"/>
      <c r="BO77" s="249"/>
      <c r="BP77" s="249"/>
      <c r="BQ77" s="289"/>
      <c r="BR77" s="249"/>
      <c r="BS77" s="249"/>
      <c r="BT77" s="289"/>
      <c r="BU77" s="249"/>
      <c r="BV77" s="249"/>
      <c r="BW77" s="289"/>
      <c r="BX77" s="249"/>
      <c r="BY77" s="249"/>
      <c r="BZ77" s="289"/>
      <c r="CA77" s="249"/>
      <c r="CB77" s="249"/>
      <c r="CC77" s="289"/>
      <c r="CD77" s="249"/>
      <c r="CE77" s="249"/>
      <c r="CF77" s="289"/>
      <c r="CG77" s="249"/>
      <c r="CH77" s="249"/>
      <c r="CI77" s="289"/>
      <c r="CJ77" s="249"/>
      <c r="CK77" s="249"/>
      <c r="CL77" s="289"/>
      <c r="CM77" s="249"/>
      <c r="CN77" s="249"/>
      <c r="CO77" s="289"/>
      <c r="CP77" s="249"/>
      <c r="CQ77" s="249"/>
      <c r="CR77" s="289"/>
      <c r="CS77" s="249"/>
      <c r="CT77" s="249"/>
      <c r="CU77" s="289"/>
      <c r="CV77" s="249"/>
      <c r="CW77" s="249"/>
      <c r="CX77" s="289"/>
      <c r="CY77" s="249"/>
      <c r="CZ77" s="249"/>
      <c r="DA77" s="289"/>
    </row>
    <row r="78" spans="1:105" s="53" customFormat="1" x14ac:dyDescent="0.2">
      <c r="A78" s="249" t="s">
        <v>353</v>
      </c>
      <c r="B78" s="284">
        <v>1</v>
      </c>
      <c r="C78" s="247"/>
      <c r="D78" s="249"/>
      <c r="E78" s="289"/>
      <c r="F78" s="249"/>
      <c r="G78" s="249"/>
      <c r="H78" s="289"/>
      <c r="I78" s="249"/>
      <c r="J78" s="249"/>
      <c r="K78" s="289"/>
      <c r="L78" s="249"/>
      <c r="M78" s="249"/>
      <c r="N78" s="289"/>
      <c r="O78" s="249"/>
      <c r="P78" s="249"/>
      <c r="Q78" s="289"/>
      <c r="R78" s="249"/>
      <c r="S78" s="249"/>
      <c r="T78" s="289"/>
      <c r="U78" s="249"/>
      <c r="V78" s="249"/>
      <c r="W78" s="289"/>
      <c r="X78" s="249"/>
      <c r="Y78" s="249"/>
      <c r="Z78" s="289"/>
      <c r="AA78" s="249"/>
      <c r="AB78" s="249"/>
      <c r="AC78" s="289"/>
      <c r="AD78" s="289"/>
      <c r="AE78" s="289"/>
      <c r="AF78" s="277"/>
      <c r="AG78" s="353"/>
      <c r="AH78" s="249"/>
      <c r="AI78" s="249"/>
      <c r="AJ78" s="289"/>
      <c r="AK78" s="249"/>
      <c r="AL78" s="249"/>
      <c r="AM78" s="289"/>
      <c r="AN78" s="249"/>
      <c r="AO78" s="249"/>
      <c r="AP78" s="289"/>
      <c r="AQ78" s="249"/>
      <c r="AR78" s="249"/>
      <c r="AS78" s="289"/>
      <c r="AT78" s="249"/>
      <c r="AU78" s="249"/>
      <c r="AV78" s="289"/>
      <c r="AW78" s="249"/>
      <c r="AX78" s="249"/>
      <c r="AY78" s="289"/>
      <c r="AZ78" s="249"/>
      <c r="BA78" s="249"/>
      <c r="BB78" s="289"/>
      <c r="BC78" s="249"/>
      <c r="BD78" s="249"/>
      <c r="BE78" s="289"/>
      <c r="BF78" s="249"/>
      <c r="BG78" s="249"/>
      <c r="BH78" s="289"/>
      <c r="BI78" s="249"/>
      <c r="BJ78" s="249"/>
      <c r="BK78" s="289"/>
      <c r="BL78" s="249"/>
      <c r="BM78" s="249"/>
      <c r="BN78" s="289"/>
      <c r="BO78" s="249"/>
      <c r="BP78" s="249"/>
      <c r="BQ78" s="289"/>
      <c r="BR78" s="249"/>
      <c r="BS78" s="249"/>
      <c r="BT78" s="289"/>
      <c r="BU78" s="249"/>
      <c r="BV78" s="249"/>
      <c r="BW78" s="289"/>
      <c r="BX78" s="249"/>
      <c r="BY78" s="249"/>
      <c r="BZ78" s="289"/>
      <c r="CA78" s="249"/>
      <c r="CB78" s="249"/>
      <c r="CC78" s="289"/>
      <c r="CD78" s="249"/>
      <c r="CE78" s="249"/>
      <c r="CF78" s="289"/>
      <c r="CG78" s="249"/>
      <c r="CH78" s="249"/>
      <c r="CI78" s="289"/>
      <c r="CJ78" s="249"/>
      <c r="CK78" s="249"/>
      <c r="CL78" s="289"/>
      <c r="CM78" s="249"/>
      <c r="CN78" s="249"/>
      <c r="CO78" s="289"/>
      <c r="CP78" s="249"/>
      <c r="CQ78" s="249"/>
      <c r="CR78" s="289"/>
      <c r="CS78" s="249"/>
      <c r="CT78" s="249"/>
      <c r="CU78" s="289"/>
      <c r="CV78" s="249"/>
      <c r="CW78" s="249"/>
      <c r="CX78" s="289"/>
      <c r="CY78" s="249"/>
      <c r="CZ78" s="249"/>
      <c r="DA78" s="289"/>
    </row>
    <row r="79" spans="1:105" s="53" customFormat="1" x14ac:dyDescent="0.2">
      <c r="A79" s="249" t="s">
        <v>158</v>
      </c>
      <c r="B79" s="284">
        <v>0.4</v>
      </c>
      <c r="C79" s="247"/>
      <c r="D79" s="249"/>
      <c r="E79" s="289"/>
      <c r="F79" s="249"/>
      <c r="G79" s="249"/>
      <c r="H79" s="289"/>
      <c r="I79" s="249"/>
      <c r="J79" s="249"/>
      <c r="K79" s="289"/>
      <c r="L79" s="249"/>
      <c r="M79" s="249"/>
      <c r="N79" s="289"/>
      <c r="O79" s="249"/>
      <c r="P79" s="249"/>
      <c r="Q79" s="289"/>
      <c r="R79" s="249"/>
      <c r="S79" s="249"/>
      <c r="T79" s="289"/>
      <c r="U79" s="249"/>
      <c r="V79" s="249"/>
      <c r="W79" s="289"/>
      <c r="X79" s="249"/>
      <c r="Y79" s="249"/>
      <c r="Z79" s="289"/>
      <c r="AA79" s="249"/>
      <c r="AB79" s="249"/>
      <c r="AC79" s="289"/>
      <c r="AD79" s="289"/>
      <c r="AE79" s="289"/>
      <c r="AF79" s="277"/>
      <c r="AG79" s="353"/>
      <c r="AH79" s="275"/>
      <c r="AI79" s="275"/>
      <c r="AJ79" s="353"/>
      <c r="AK79" s="275"/>
      <c r="AL79" s="249"/>
      <c r="AM79" s="289"/>
      <c r="AN79" s="249"/>
      <c r="AO79" s="249"/>
      <c r="AP79" s="289"/>
      <c r="AQ79" s="249"/>
      <c r="AR79" s="249"/>
      <c r="AS79" s="289"/>
      <c r="AT79" s="249"/>
      <c r="AU79" s="249"/>
      <c r="AV79" s="289"/>
      <c r="AW79" s="249"/>
      <c r="AX79" s="249"/>
      <c r="AY79" s="289"/>
      <c r="AZ79" s="249"/>
      <c r="BA79" s="249"/>
      <c r="BB79" s="289"/>
      <c r="BC79" s="249"/>
      <c r="BD79" s="249"/>
      <c r="BE79" s="289"/>
      <c r="BF79" s="249"/>
      <c r="BG79" s="249"/>
      <c r="BH79" s="289"/>
      <c r="BI79" s="249"/>
      <c r="BJ79" s="249"/>
      <c r="BK79" s="289"/>
      <c r="BL79" s="249"/>
      <c r="BM79" s="249"/>
      <c r="BN79" s="289"/>
      <c r="BO79" s="249"/>
      <c r="BP79" s="249"/>
      <c r="BQ79" s="289"/>
      <c r="BR79" s="249"/>
      <c r="BS79" s="249"/>
      <c r="BT79" s="289"/>
      <c r="BU79" s="249"/>
      <c r="BV79" s="249"/>
      <c r="BW79" s="289"/>
      <c r="BX79" s="249"/>
      <c r="BY79" s="249"/>
      <c r="BZ79" s="289"/>
      <c r="CA79" s="249"/>
      <c r="CB79" s="249"/>
      <c r="CC79" s="289"/>
      <c r="CD79" s="249"/>
      <c r="CE79" s="249"/>
      <c r="CF79" s="289"/>
      <c r="CG79" s="249"/>
      <c r="CH79" s="249"/>
      <c r="CI79" s="289"/>
      <c r="CJ79" s="249"/>
      <c r="CK79" s="249"/>
      <c r="CL79" s="289"/>
      <c r="CM79" s="249"/>
      <c r="CN79" s="249"/>
      <c r="CO79" s="289"/>
      <c r="CP79" s="249"/>
      <c r="CQ79" s="249"/>
      <c r="CR79" s="289"/>
      <c r="CS79" s="249"/>
      <c r="CT79" s="249"/>
      <c r="CU79" s="289"/>
      <c r="CV79" s="249"/>
      <c r="CW79" s="249"/>
      <c r="CX79" s="289"/>
      <c r="CY79" s="249"/>
      <c r="CZ79" s="249"/>
      <c r="DA79" s="289"/>
    </row>
    <row r="80" spans="1:105" s="53" customFormat="1" x14ac:dyDescent="0.2">
      <c r="A80" s="249" t="s">
        <v>159</v>
      </c>
      <c r="B80" s="284">
        <v>1</v>
      </c>
      <c r="C80" s="247"/>
      <c r="D80" s="249"/>
      <c r="E80" s="289"/>
      <c r="F80" s="249"/>
      <c r="G80" s="249"/>
      <c r="H80" s="289"/>
      <c r="I80" s="249"/>
      <c r="J80" s="249"/>
      <c r="K80" s="289"/>
      <c r="L80" s="249"/>
      <c r="M80" s="249"/>
      <c r="N80" s="289"/>
      <c r="O80" s="249"/>
      <c r="P80" s="249"/>
      <c r="Q80" s="289"/>
      <c r="R80" s="249"/>
      <c r="S80" s="249"/>
      <c r="T80" s="289"/>
      <c r="U80" s="249"/>
      <c r="V80" s="249"/>
      <c r="W80" s="289"/>
      <c r="X80" s="249"/>
      <c r="Y80" s="249"/>
      <c r="Z80" s="289"/>
      <c r="AA80" s="249"/>
      <c r="AB80" s="249"/>
      <c r="AC80" s="289"/>
      <c r="AD80" s="289"/>
      <c r="AE80" s="289"/>
      <c r="AF80" s="277"/>
      <c r="AG80" s="353"/>
      <c r="AH80" s="275"/>
      <c r="AI80" s="275"/>
      <c r="AJ80" s="353"/>
      <c r="AK80" s="275"/>
      <c r="AL80" s="249"/>
      <c r="AM80" s="289"/>
      <c r="AN80" s="249"/>
      <c r="AO80" s="249"/>
      <c r="AP80" s="289"/>
      <c r="AQ80" s="249"/>
      <c r="AR80" s="249"/>
      <c r="AS80" s="289"/>
      <c r="AT80" s="249"/>
      <c r="AU80" s="249"/>
      <c r="AV80" s="289"/>
      <c r="AW80" s="249"/>
      <c r="AX80" s="249"/>
      <c r="AY80" s="289"/>
      <c r="AZ80" s="249"/>
      <c r="BA80" s="249"/>
      <c r="BB80" s="289"/>
      <c r="BC80" s="249"/>
      <c r="BD80" s="249"/>
      <c r="BE80" s="289"/>
      <c r="BF80" s="249"/>
      <c r="BG80" s="249"/>
      <c r="BH80" s="289"/>
      <c r="BI80" s="249"/>
      <c r="BJ80" s="249"/>
      <c r="BK80" s="289"/>
      <c r="BL80" s="249"/>
      <c r="BM80" s="249"/>
      <c r="BN80" s="289"/>
      <c r="BO80" s="249"/>
      <c r="BP80" s="249"/>
      <c r="BQ80" s="289"/>
      <c r="BR80" s="249"/>
      <c r="BS80" s="249"/>
      <c r="BT80" s="289"/>
      <c r="BU80" s="249"/>
      <c r="BV80" s="249"/>
      <c r="BW80" s="289"/>
      <c r="BX80" s="249"/>
      <c r="BY80" s="249"/>
      <c r="BZ80" s="289"/>
      <c r="CA80" s="249"/>
      <c r="CB80" s="249"/>
      <c r="CC80" s="289"/>
      <c r="CD80" s="249"/>
      <c r="CE80" s="249"/>
      <c r="CF80" s="289"/>
      <c r="CG80" s="249"/>
      <c r="CH80" s="249"/>
      <c r="CI80" s="289"/>
      <c r="CJ80" s="249"/>
      <c r="CK80" s="249"/>
      <c r="CL80" s="289"/>
      <c r="CM80" s="249"/>
      <c r="CN80" s="249"/>
      <c r="CO80" s="289"/>
      <c r="CP80" s="249"/>
      <c r="CQ80" s="249"/>
      <c r="CR80" s="289"/>
      <c r="CS80" s="249"/>
      <c r="CT80" s="249"/>
      <c r="CU80" s="289"/>
      <c r="CV80" s="249"/>
      <c r="CW80" s="249"/>
      <c r="CX80" s="289"/>
      <c r="CY80" s="249"/>
      <c r="CZ80" s="249"/>
      <c r="DA80" s="289"/>
    </row>
    <row r="81" spans="1:37" s="53" customFormat="1" x14ac:dyDescent="0.2">
      <c r="A81" s="249" t="s">
        <v>354</v>
      </c>
      <c r="B81" s="284">
        <v>1</v>
      </c>
      <c r="C81" s="247"/>
      <c r="D81" s="249"/>
      <c r="E81" s="289"/>
      <c r="F81" s="249"/>
      <c r="G81" s="249"/>
      <c r="H81" s="289"/>
      <c r="I81" s="249"/>
      <c r="J81" s="249"/>
      <c r="K81" s="289"/>
      <c r="L81" s="249"/>
      <c r="M81" s="249"/>
      <c r="N81" s="289"/>
      <c r="O81" s="249"/>
      <c r="P81" s="249"/>
      <c r="Q81" s="289"/>
      <c r="R81" s="249"/>
      <c r="S81" s="249"/>
      <c r="T81" s="289"/>
      <c r="U81" s="249"/>
      <c r="V81" s="249"/>
      <c r="W81" s="289"/>
      <c r="X81" s="249"/>
      <c r="Y81" s="249"/>
      <c r="Z81" s="289"/>
      <c r="AA81" s="249"/>
      <c r="AB81" s="24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53" customFormat="1" x14ac:dyDescent="0.2">
      <c r="A82" s="262" t="s">
        <v>124</v>
      </c>
      <c r="B82" s="284">
        <v>1</v>
      </c>
      <c r="C82" s="263" t="s">
        <v>125</v>
      </c>
      <c r="D82" s="249"/>
      <c r="E82" s="289"/>
      <c r="F82" s="249"/>
      <c r="G82" s="249"/>
      <c r="H82" s="289"/>
      <c r="I82" s="249"/>
      <c r="J82" s="249"/>
      <c r="K82" s="289"/>
      <c r="L82" s="249"/>
      <c r="M82" s="249"/>
      <c r="N82" s="289"/>
      <c r="O82" s="249"/>
      <c r="P82" s="249"/>
      <c r="Q82" s="289"/>
      <c r="R82" s="249"/>
      <c r="S82" s="249"/>
      <c r="T82" s="289"/>
      <c r="U82" s="249"/>
      <c r="V82" s="249"/>
      <c r="W82" s="289"/>
      <c r="X82" s="249"/>
      <c r="Y82" s="249"/>
      <c r="Z82" s="289"/>
      <c r="AA82" s="249"/>
      <c r="AB82" s="24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53" customFormat="1" x14ac:dyDescent="0.2">
      <c r="A83" s="249" t="s">
        <v>83</v>
      </c>
      <c r="B83" s="284">
        <v>0.5</v>
      </c>
      <c r="C83" s="249" t="s">
        <v>84</v>
      </c>
      <c r="D83" s="249"/>
      <c r="E83" s="289"/>
      <c r="F83" s="249"/>
      <c r="G83" s="249"/>
      <c r="H83" s="289"/>
      <c r="I83" s="249"/>
      <c r="J83" s="249"/>
      <c r="K83" s="289"/>
      <c r="L83" s="249"/>
      <c r="M83" s="249"/>
      <c r="N83" s="289"/>
      <c r="O83" s="249"/>
      <c r="P83" s="249"/>
      <c r="Q83" s="289"/>
      <c r="R83" s="249"/>
      <c r="S83" s="249"/>
      <c r="T83" s="289"/>
      <c r="U83" s="249"/>
      <c r="V83" s="249"/>
      <c r="W83" s="289"/>
      <c r="X83" s="249"/>
      <c r="Y83" s="249"/>
      <c r="Z83" s="289"/>
      <c r="AA83" s="249"/>
      <c r="AB83" s="249"/>
      <c r="AC83" s="289"/>
      <c r="AD83" s="289"/>
      <c r="AE83" s="289"/>
      <c r="AF83" s="277"/>
      <c r="AG83" s="353"/>
      <c r="AH83" s="249"/>
      <c r="AI83" s="249"/>
      <c r="AJ83" s="289"/>
      <c r="AK83" s="249"/>
    </row>
    <row r="84" spans="1:37" s="53" customFormat="1" x14ac:dyDescent="0.2">
      <c r="A84" s="249" t="s">
        <v>355</v>
      </c>
      <c r="B84" s="284">
        <v>0.25</v>
      </c>
      <c r="C84" s="247"/>
      <c r="D84" s="249"/>
      <c r="E84" s="289"/>
      <c r="F84" s="249"/>
      <c r="G84" s="249"/>
      <c r="H84" s="289"/>
      <c r="I84" s="249"/>
      <c r="J84" s="249"/>
      <c r="K84" s="289"/>
      <c r="L84" s="249"/>
      <c r="M84" s="249"/>
      <c r="N84" s="289"/>
      <c r="O84" s="249"/>
      <c r="P84" s="249"/>
      <c r="Q84" s="289"/>
      <c r="R84" s="249"/>
      <c r="S84" s="249"/>
      <c r="T84" s="289"/>
      <c r="U84" s="249"/>
      <c r="V84" s="249"/>
      <c r="W84" s="289"/>
      <c r="X84" s="249"/>
      <c r="Y84" s="249"/>
      <c r="Z84" s="289"/>
      <c r="AA84" s="249"/>
      <c r="AB84" s="24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53" customFormat="1" x14ac:dyDescent="0.2">
      <c r="A85" s="262" t="s">
        <v>41</v>
      </c>
      <c r="B85" s="284">
        <v>3.62</v>
      </c>
      <c r="C85" s="249" t="s">
        <v>42</v>
      </c>
      <c r="D85" s="249"/>
      <c r="E85" s="289"/>
      <c r="F85" s="249"/>
      <c r="G85" s="249"/>
      <c r="H85" s="289"/>
      <c r="I85" s="249"/>
      <c r="J85" s="249"/>
      <c r="K85" s="289"/>
      <c r="L85" s="249"/>
      <c r="M85" s="249"/>
      <c r="N85" s="289"/>
      <c r="O85" s="249"/>
      <c r="P85" s="249"/>
      <c r="Q85" s="289"/>
      <c r="R85" s="249"/>
      <c r="S85" s="249"/>
      <c r="T85" s="289"/>
      <c r="U85" s="249"/>
      <c r="V85" s="249"/>
      <c r="W85" s="289"/>
      <c r="X85" s="249"/>
      <c r="Y85" s="249"/>
      <c r="Z85" s="289"/>
      <c r="AA85" s="249"/>
      <c r="AB85" s="249"/>
      <c r="AC85" s="289"/>
      <c r="AD85" s="289"/>
      <c r="AE85" s="289"/>
      <c r="AF85" s="277"/>
      <c r="AG85" s="353"/>
      <c r="AH85" s="249"/>
      <c r="AI85" s="249"/>
      <c r="AJ85" s="289"/>
      <c r="AK85" s="249"/>
    </row>
    <row r="86" spans="1:37" s="53" customFormat="1" x14ac:dyDescent="0.2">
      <c r="A86" s="262" t="s">
        <v>46</v>
      </c>
      <c r="B86" s="284">
        <v>0.25</v>
      </c>
      <c r="C86" s="249" t="s">
        <v>47</v>
      </c>
      <c r="D86" s="249"/>
      <c r="E86" s="289"/>
      <c r="F86" s="249"/>
      <c r="G86" s="249"/>
      <c r="H86" s="289"/>
      <c r="I86" s="249"/>
      <c r="J86" s="249"/>
      <c r="K86" s="289"/>
      <c r="L86" s="249"/>
      <c r="M86" s="249"/>
      <c r="N86" s="289"/>
      <c r="O86" s="249"/>
      <c r="P86" s="249"/>
      <c r="Q86" s="289"/>
      <c r="R86" s="249"/>
      <c r="S86" s="249"/>
      <c r="T86" s="289"/>
      <c r="U86" s="249"/>
      <c r="V86" s="249"/>
      <c r="W86" s="289"/>
      <c r="X86" s="249"/>
      <c r="Y86" s="249"/>
      <c r="Z86" s="289"/>
      <c r="AA86" s="249"/>
      <c r="AB86" s="24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53" customFormat="1" x14ac:dyDescent="0.2">
      <c r="A87" s="267" t="s">
        <v>60</v>
      </c>
      <c r="B87" s="284">
        <v>10950</v>
      </c>
      <c r="C87" s="249" t="s">
        <v>61</v>
      </c>
      <c r="D87" s="249"/>
      <c r="E87" s="289"/>
      <c r="F87" s="249"/>
      <c r="G87" s="249"/>
      <c r="H87" s="289"/>
      <c r="I87" s="249"/>
      <c r="J87" s="249"/>
      <c r="K87" s="289"/>
      <c r="L87" s="249"/>
      <c r="M87" s="249"/>
      <c r="N87" s="289"/>
      <c r="O87" s="249"/>
      <c r="P87" s="249"/>
      <c r="Q87" s="289"/>
      <c r="R87" s="249"/>
      <c r="S87" s="249"/>
      <c r="T87" s="289"/>
      <c r="U87" s="249"/>
      <c r="V87" s="249"/>
      <c r="W87" s="289"/>
      <c r="X87" s="249"/>
      <c r="Y87" s="249"/>
      <c r="Z87" s="289"/>
      <c r="AA87" s="249"/>
      <c r="AB87" s="249"/>
      <c r="AC87" s="289"/>
      <c r="AD87" s="289"/>
      <c r="AE87" s="289"/>
      <c r="AF87" s="289"/>
      <c r="AG87" s="289"/>
      <c r="AH87" s="249"/>
      <c r="AI87" s="249"/>
      <c r="AJ87" s="289"/>
      <c r="AK87" s="249"/>
    </row>
    <row r="88" spans="1:37" s="53" customFormat="1" x14ac:dyDescent="0.2">
      <c r="A88" s="267" t="s">
        <v>65</v>
      </c>
      <c r="B88" s="284">
        <v>240</v>
      </c>
      <c r="C88" s="249" t="s">
        <v>66</v>
      </c>
      <c r="D88" s="249"/>
      <c r="E88" s="289"/>
      <c r="F88" s="249"/>
      <c r="G88" s="249"/>
      <c r="H88" s="289"/>
      <c r="I88" s="249"/>
      <c r="J88" s="249"/>
      <c r="K88" s="289"/>
      <c r="L88" s="249"/>
      <c r="M88" s="249"/>
      <c r="N88" s="289"/>
      <c r="O88" s="249"/>
      <c r="P88" s="249"/>
      <c r="Q88" s="289"/>
      <c r="R88" s="249"/>
      <c r="S88" s="249"/>
      <c r="T88" s="289"/>
      <c r="U88" s="249"/>
      <c r="V88" s="249"/>
      <c r="W88" s="289"/>
      <c r="X88" s="249"/>
      <c r="Y88" s="249"/>
      <c r="Z88" s="289"/>
      <c r="AA88" s="249"/>
      <c r="AB88" s="249"/>
      <c r="AC88" s="289"/>
      <c r="AD88" s="289"/>
      <c r="AE88" s="289"/>
      <c r="AF88" s="289"/>
      <c r="AG88" s="289"/>
      <c r="AH88" s="249"/>
      <c r="AI88" s="249"/>
      <c r="AJ88" s="289"/>
      <c r="AK88" s="249"/>
    </row>
    <row r="89" spans="1:37" s="53" customFormat="1" x14ac:dyDescent="0.2">
      <c r="A89" s="267" t="s">
        <v>76</v>
      </c>
      <c r="B89" s="284">
        <v>0.42</v>
      </c>
      <c r="C89" s="249" t="s">
        <v>47</v>
      </c>
      <c r="D89" s="249"/>
      <c r="E89" s="289"/>
      <c r="F89" s="249"/>
      <c r="G89" s="249"/>
      <c r="H89" s="289"/>
      <c r="I89" s="249"/>
      <c r="J89" s="249"/>
      <c r="K89" s="289"/>
      <c r="L89" s="249"/>
      <c r="M89" s="249"/>
      <c r="N89" s="289"/>
      <c r="O89" s="249"/>
      <c r="P89" s="249"/>
      <c r="Q89" s="289"/>
      <c r="R89" s="249"/>
      <c r="S89" s="249"/>
      <c r="T89" s="289"/>
      <c r="U89" s="249"/>
      <c r="V89" s="249"/>
      <c r="W89" s="289"/>
      <c r="X89" s="249"/>
      <c r="Y89" s="249"/>
      <c r="Z89" s="289"/>
      <c r="AA89" s="249"/>
      <c r="AB89" s="249"/>
      <c r="AC89" s="289"/>
      <c r="AD89" s="289"/>
      <c r="AE89" s="289"/>
      <c r="AF89" s="289"/>
      <c r="AG89" s="289"/>
      <c r="AH89" s="249"/>
      <c r="AI89" s="249"/>
      <c r="AJ89" s="289"/>
      <c r="AK89" s="249"/>
    </row>
    <row r="90" spans="1:37" s="53" customFormat="1" x14ac:dyDescent="0.2">
      <c r="A90" s="267" t="s">
        <v>85</v>
      </c>
      <c r="B90" s="284">
        <v>60</v>
      </c>
      <c r="C90" s="262" t="s">
        <v>61</v>
      </c>
      <c r="D90" s="249"/>
      <c r="E90" s="289"/>
      <c r="F90" s="249"/>
      <c r="G90" s="249"/>
      <c r="H90" s="289"/>
      <c r="I90" s="249"/>
      <c r="J90" s="249"/>
      <c r="K90" s="289"/>
      <c r="L90" s="249"/>
      <c r="M90" s="249"/>
      <c r="N90" s="289"/>
      <c r="O90" s="249"/>
      <c r="P90" s="249"/>
      <c r="Q90" s="289"/>
      <c r="R90" s="249"/>
      <c r="S90" s="249"/>
      <c r="T90" s="289"/>
      <c r="U90" s="249"/>
      <c r="V90" s="249"/>
      <c r="W90" s="289"/>
      <c r="X90" s="249"/>
      <c r="Y90" s="249"/>
      <c r="Z90" s="289"/>
      <c r="AA90" s="249"/>
      <c r="AB90" s="249"/>
      <c r="AC90" s="289"/>
      <c r="AD90" s="289"/>
      <c r="AE90" s="289"/>
      <c r="AF90" s="289"/>
      <c r="AG90" s="289"/>
      <c r="AH90" s="249"/>
      <c r="AI90" s="249"/>
      <c r="AJ90" s="289"/>
      <c r="AK90" s="249"/>
    </row>
    <row r="91" spans="1:37" s="53" customFormat="1" x14ac:dyDescent="0.2">
      <c r="A91" s="267" t="s">
        <v>87</v>
      </c>
      <c r="B91" s="284">
        <v>2</v>
      </c>
      <c r="C91" s="262" t="s">
        <v>66</v>
      </c>
      <c r="D91" s="249"/>
      <c r="E91" s="289"/>
      <c r="F91" s="249"/>
      <c r="G91" s="249"/>
      <c r="H91" s="289"/>
      <c r="I91" s="249"/>
      <c r="J91" s="249"/>
      <c r="K91" s="289"/>
      <c r="L91" s="249"/>
      <c r="M91" s="249"/>
      <c r="N91" s="289"/>
      <c r="O91" s="249"/>
      <c r="P91" s="249"/>
      <c r="Q91" s="289"/>
      <c r="R91" s="249"/>
      <c r="S91" s="249"/>
      <c r="T91" s="289"/>
      <c r="U91" s="249"/>
      <c r="V91" s="249"/>
      <c r="W91" s="289"/>
      <c r="X91" s="249"/>
      <c r="Y91" s="249"/>
      <c r="Z91" s="289"/>
      <c r="AA91" s="249"/>
      <c r="AB91" s="249"/>
      <c r="AC91" s="289"/>
      <c r="AD91" s="289"/>
      <c r="AE91" s="289"/>
      <c r="AF91" s="289"/>
      <c r="AG91" s="289"/>
      <c r="AH91" s="249"/>
      <c r="AI91" s="249"/>
      <c r="AJ91" s="289"/>
      <c r="AK91" s="249"/>
    </row>
    <row r="92" spans="1:37" s="53" customFormat="1" x14ac:dyDescent="0.2">
      <c r="A92" s="267" t="s">
        <v>89</v>
      </c>
      <c r="B92" s="284">
        <v>2.6999999999999999E-5</v>
      </c>
      <c r="C92" s="249" t="s">
        <v>82</v>
      </c>
      <c r="D92" s="249"/>
      <c r="E92" s="289"/>
      <c r="F92" s="249"/>
      <c r="G92" s="249"/>
      <c r="H92" s="289"/>
      <c r="I92" s="249"/>
      <c r="J92" s="249"/>
      <c r="K92" s="289"/>
      <c r="L92" s="249"/>
      <c r="M92" s="249"/>
      <c r="N92" s="289"/>
      <c r="O92" s="249"/>
      <c r="P92" s="249"/>
      <c r="Q92" s="289"/>
      <c r="R92" s="249"/>
      <c r="S92" s="249"/>
      <c r="T92" s="289"/>
      <c r="U92" s="249"/>
      <c r="V92" s="249"/>
      <c r="W92" s="289"/>
      <c r="X92" s="249"/>
      <c r="Y92" s="249"/>
      <c r="Z92" s="289"/>
      <c r="AA92" s="249"/>
      <c r="AB92" s="249"/>
      <c r="AC92" s="289"/>
      <c r="AD92" s="289"/>
      <c r="AE92" s="289"/>
      <c r="AF92" s="289"/>
      <c r="AG92" s="289"/>
      <c r="AH92" s="249"/>
      <c r="AI92" s="249"/>
      <c r="AJ92" s="289"/>
      <c r="AK92" s="249"/>
    </row>
    <row r="93" spans="1:37" s="53" customFormat="1" x14ac:dyDescent="0.2">
      <c r="A93" s="267" t="s">
        <v>91</v>
      </c>
      <c r="B93" s="284">
        <v>1</v>
      </c>
      <c r="C93" s="249" t="s">
        <v>47</v>
      </c>
      <c r="D93" s="249"/>
      <c r="E93" s="289"/>
      <c r="F93" s="249"/>
      <c r="G93" s="249"/>
      <c r="H93" s="289"/>
      <c r="I93" s="249"/>
      <c r="J93" s="249"/>
      <c r="K93" s="289"/>
      <c r="L93" s="249"/>
      <c r="M93" s="249"/>
      <c r="N93" s="289"/>
      <c r="O93" s="249"/>
      <c r="P93" s="249"/>
      <c r="Q93" s="289"/>
      <c r="R93" s="249"/>
      <c r="S93" s="249"/>
      <c r="T93" s="289"/>
      <c r="U93" s="249"/>
      <c r="V93" s="249"/>
      <c r="W93" s="289"/>
      <c r="X93" s="249"/>
      <c r="Y93" s="249"/>
      <c r="Z93" s="289"/>
      <c r="AA93" s="249"/>
      <c r="AB93" s="249"/>
      <c r="AC93" s="289"/>
      <c r="AD93" s="289"/>
      <c r="AE93" s="289"/>
      <c r="AF93" s="289"/>
      <c r="AG93" s="289"/>
      <c r="AH93" s="249"/>
      <c r="AI93" s="249"/>
      <c r="AJ93" s="289"/>
      <c r="AK93" s="249"/>
    </row>
    <row r="94" spans="1:37" s="53" customFormat="1" x14ac:dyDescent="0.2">
      <c r="A94" s="267" t="s">
        <v>92</v>
      </c>
      <c r="B94" s="284">
        <v>14</v>
      </c>
      <c r="C94" s="249" t="s">
        <v>93</v>
      </c>
      <c r="D94" s="249"/>
      <c r="E94" s="289"/>
      <c r="F94" s="249"/>
      <c r="G94" s="249"/>
      <c r="H94" s="289"/>
      <c r="I94" s="249"/>
      <c r="J94" s="249"/>
      <c r="K94" s="289"/>
      <c r="L94" s="249"/>
      <c r="M94" s="249"/>
      <c r="N94" s="289"/>
      <c r="O94" s="249"/>
      <c r="P94" s="249"/>
      <c r="Q94" s="289"/>
      <c r="R94" s="249"/>
      <c r="S94" s="249"/>
      <c r="T94" s="289"/>
      <c r="U94" s="249"/>
      <c r="V94" s="249"/>
      <c r="W94" s="289"/>
      <c r="X94" s="249"/>
      <c r="Y94" s="249"/>
      <c r="Z94" s="289"/>
      <c r="AA94" s="249"/>
      <c r="AB94" s="249"/>
      <c r="AC94" s="289"/>
      <c r="AD94" s="289"/>
      <c r="AE94" s="289"/>
      <c r="AF94" s="289"/>
      <c r="AG94" s="289"/>
      <c r="AH94" s="249"/>
      <c r="AI94" s="249"/>
      <c r="AJ94" s="289"/>
      <c r="AK94" s="249"/>
    </row>
    <row r="95" spans="1:37" s="53" customFormat="1" x14ac:dyDescent="0.2">
      <c r="A95" s="262" t="s">
        <v>356</v>
      </c>
      <c r="B95" s="283">
        <v>1</v>
      </c>
      <c r="C95" s="249"/>
      <c r="D95" s="249"/>
      <c r="E95" s="289"/>
      <c r="F95" s="249"/>
      <c r="G95" s="249"/>
      <c r="H95" s="289"/>
      <c r="I95" s="249"/>
      <c r="J95" s="249"/>
      <c r="K95" s="289"/>
      <c r="L95" s="249"/>
      <c r="M95" s="249"/>
      <c r="N95" s="289"/>
      <c r="O95" s="249"/>
      <c r="P95" s="249"/>
      <c r="Q95" s="289"/>
      <c r="R95" s="249"/>
      <c r="S95" s="249"/>
      <c r="T95" s="289"/>
      <c r="U95" s="249"/>
      <c r="V95" s="249"/>
      <c r="W95" s="289"/>
      <c r="X95" s="249"/>
      <c r="Y95" s="249"/>
      <c r="Z95" s="289"/>
      <c r="AA95" s="249"/>
      <c r="AB95" s="249"/>
      <c r="AC95" s="289"/>
      <c r="AD95" s="289"/>
      <c r="AE95" s="289"/>
      <c r="AF95" s="289"/>
      <c r="AG95" s="289"/>
      <c r="AH95" s="249"/>
      <c r="AI95" s="249"/>
      <c r="AJ95" s="289"/>
      <c r="AK95" s="249"/>
    </row>
    <row r="96" spans="1:37" s="53" customFormat="1" x14ac:dyDescent="0.2">
      <c r="A96" s="262" t="s">
        <v>351</v>
      </c>
      <c r="B96" s="283">
        <v>1.752</v>
      </c>
      <c r="C96" s="264" t="s">
        <v>224</v>
      </c>
      <c r="D96" s="249"/>
      <c r="E96" s="289"/>
      <c r="F96" s="249"/>
      <c r="G96" s="249"/>
      <c r="H96" s="289"/>
      <c r="I96" s="249"/>
      <c r="J96" s="249"/>
      <c r="K96" s="289"/>
      <c r="L96" s="249"/>
      <c r="M96" s="249"/>
      <c r="N96" s="289"/>
      <c r="O96" s="249"/>
      <c r="P96" s="249"/>
      <c r="Q96" s="289"/>
      <c r="R96" s="249"/>
      <c r="S96" s="249"/>
      <c r="T96" s="289"/>
      <c r="U96" s="249"/>
      <c r="V96" s="249"/>
      <c r="W96" s="289"/>
      <c r="X96" s="249"/>
      <c r="Y96" s="249"/>
      <c r="Z96" s="289"/>
      <c r="AA96" s="249"/>
      <c r="AB96" s="249"/>
      <c r="AC96" s="289"/>
      <c r="AD96" s="289"/>
      <c r="AE96" s="289"/>
      <c r="AF96" s="289"/>
      <c r="AG96" s="289"/>
      <c r="AH96" s="249"/>
      <c r="AI96" s="249"/>
      <c r="AJ96" s="289"/>
      <c r="AK96" s="249"/>
    </row>
    <row r="97" spans="1:3" s="53" customFormat="1" x14ac:dyDescent="0.2">
      <c r="A97" s="262" t="s">
        <v>352</v>
      </c>
      <c r="B97" s="283">
        <v>16.416</v>
      </c>
      <c r="C97" s="264" t="s">
        <v>224</v>
      </c>
    </row>
    <row r="98" spans="1:3" s="53" customFormat="1" ht="15" x14ac:dyDescent="0.2">
      <c r="A98" s="517" t="s">
        <v>5</v>
      </c>
      <c r="B98" s="517"/>
      <c r="C98" s="517"/>
    </row>
    <row r="99" spans="1:3" s="53" customFormat="1" x14ac:dyDescent="0.2">
      <c r="A99" s="262" t="s">
        <v>358</v>
      </c>
      <c r="B99" s="284">
        <v>10</v>
      </c>
      <c r="C99" s="267" t="s">
        <v>359</v>
      </c>
    </row>
    <row r="100" spans="1:3" s="53" customFormat="1" x14ac:dyDescent="0.2">
      <c r="A100" s="262" t="s">
        <v>360</v>
      </c>
      <c r="B100" s="284">
        <v>20</v>
      </c>
      <c r="C100" s="267" t="s">
        <v>359</v>
      </c>
    </row>
    <row r="101" spans="1:3" s="53" customFormat="1" x14ac:dyDescent="0.2">
      <c r="A101" s="262" t="s">
        <v>305</v>
      </c>
      <c r="B101" s="283">
        <v>0.05</v>
      </c>
      <c r="C101" s="262" t="s">
        <v>361</v>
      </c>
    </row>
    <row r="102" spans="1:3" s="53" customFormat="1" x14ac:dyDescent="0.2">
      <c r="A102" s="262" t="s">
        <v>306</v>
      </c>
      <c r="B102" s="283">
        <v>0.05</v>
      </c>
      <c r="C102" s="262" t="s">
        <v>361</v>
      </c>
    </row>
    <row r="103" spans="1:3" s="53" customFormat="1" x14ac:dyDescent="0.2">
      <c r="A103" s="262" t="s">
        <v>362</v>
      </c>
      <c r="B103" s="284">
        <v>200</v>
      </c>
      <c r="C103" s="263" t="s">
        <v>54</v>
      </c>
    </row>
    <row r="104" spans="1:3" s="53" customFormat="1" x14ac:dyDescent="0.2">
      <c r="A104" s="262" t="s">
        <v>363</v>
      </c>
      <c r="B104" s="284">
        <v>100</v>
      </c>
      <c r="C104" s="263" t="s">
        <v>54</v>
      </c>
    </row>
    <row r="105" spans="1:3" s="53" customFormat="1" x14ac:dyDescent="0.2">
      <c r="A105" s="249" t="s">
        <v>187</v>
      </c>
      <c r="B105" s="284">
        <v>1</v>
      </c>
      <c r="C105" s="249" t="s">
        <v>254</v>
      </c>
    </row>
    <row r="106" spans="1:3" s="53" customFormat="1" x14ac:dyDescent="0.2">
      <c r="A106" s="249" t="s">
        <v>188</v>
      </c>
      <c r="B106" s="284">
        <v>1</v>
      </c>
      <c r="C106" s="249" t="s">
        <v>254</v>
      </c>
    </row>
    <row r="107" spans="1:3" s="53" customFormat="1" x14ac:dyDescent="0.2">
      <c r="A107" s="94" t="s">
        <v>373</v>
      </c>
      <c r="B107" s="283">
        <v>6</v>
      </c>
      <c r="C107" s="270" t="s">
        <v>69</v>
      </c>
    </row>
    <row r="108" spans="1:3" s="53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53" customFormat="1" x14ac:dyDescent="0.2">
      <c r="A109" s="94" t="s">
        <v>59</v>
      </c>
      <c r="B109" s="283">
        <v>26</v>
      </c>
      <c r="C109" s="270" t="s">
        <v>69</v>
      </c>
    </row>
    <row r="110" spans="1:3" s="53" customFormat="1" x14ac:dyDescent="0.2">
      <c r="A110" s="94" t="s">
        <v>371</v>
      </c>
      <c r="B110" s="107">
        <v>75</v>
      </c>
      <c r="C110" s="94" t="s">
        <v>26</v>
      </c>
    </row>
    <row r="111" spans="1:3" s="53" customFormat="1" x14ac:dyDescent="0.2">
      <c r="A111" s="94" t="s">
        <v>370</v>
      </c>
      <c r="B111" s="283">
        <v>75</v>
      </c>
      <c r="C111" s="94" t="s">
        <v>26</v>
      </c>
    </row>
    <row r="112" spans="1:3" s="53" customFormat="1" x14ac:dyDescent="0.2">
      <c r="A112" s="94" t="s">
        <v>157</v>
      </c>
      <c r="B112" s="283">
        <v>75</v>
      </c>
      <c r="C112" s="94" t="s">
        <v>26</v>
      </c>
    </row>
    <row r="113" spans="1:3" s="53" customFormat="1" x14ac:dyDescent="0.2">
      <c r="A113" s="94" t="s">
        <v>105</v>
      </c>
      <c r="B113" s="283">
        <v>1</v>
      </c>
      <c r="C113" s="92" t="s">
        <v>224</v>
      </c>
    </row>
    <row r="114" spans="1:3" s="53" customFormat="1" x14ac:dyDescent="0.2">
      <c r="A114" s="92" t="s">
        <v>368</v>
      </c>
      <c r="B114" s="284">
        <v>1</v>
      </c>
      <c r="C114" s="92" t="s">
        <v>224</v>
      </c>
    </row>
    <row r="115" spans="1:3" s="53" customFormat="1" x14ac:dyDescent="0.2">
      <c r="A115" s="92" t="s">
        <v>369</v>
      </c>
      <c r="B115" s="284">
        <v>1</v>
      </c>
      <c r="C115" s="92" t="s">
        <v>224</v>
      </c>
    </row>
    <row r="116" spans="1:3" s="53" customFormat="1" x14ac:dyDescent="0.2">
      <c r="A116" s="249" t="s">
        <v>366</v>
      </c>
      <c r="B116" s="284">
        <v>1</v>
      </c>
      <c r="C116" s="249" t="s">
        <v>104</v>
      </c>
    </row>
    <row r="117" spans="1:3" s="53" customFormat="1" x14ac:dyDescent="0.2">
      <c r="A117" s="249" t="s">
        <v>367</v>
      </c>
      <c r="B117" s="284">
        <v>1</v>
      </c>
      <c r="C117" s="249" t="s">
        <v>104</v>
      </c>
    </row>
    <row r="118" spans="1:3" s="53" customFormat="1" x14ac:dyDescent="0.2">
      <c r="A118" s="94" t="s">
        <v>364</v>
      </c>
      <c r="B118" s="284">
        <v>1</v>
      </c>
      <c r="C118" s="92" t="s">
        <v>98</v>
      </c>
    </row>
    <row r="119" spans="1:3" s="53" customFormat="1" x14ac:dyDescent="0.2">
      <c r="A119" s="94" t="s">
        <v>365</v>
      </c>
      <c r="B119" s="284">
        <v>1</v>
      </c>
      <c r="C119" s="92" t="s">
        <v>98</v>
      </c>
    </row>
    <row r="120" spans="1:3" s="53" customFormat="1" x14ac:dyDescent="0.2">
      <c r="A120" s="263" t="s">
        <v>192</v>
      </c>
      <c r="B120" s="283">
        <v>1</v>
      </c>
      <c r="C120" s="249" t="s">
        <v>283</v>
      </c>
    </row>
    <row r="121" spans="1:3" s="53" customFormat="1" x14ac:dyDescent="0.2">
      <c r="A121" s="263" t="s">
        <v>189</v>
      </c>
      <c r="B121" s="283">
        <v>1</v>
      </c>
      <c r="C121" s="249" t="s">
        <v>283</v>
      </c>
    </row>
    <row r="122" spans="1:3" s="53" customFormat="1" x14ac:dyDescent="0.2">
      <c r="A122" s="263" t="s">
        <v>190</v>
      </c>
      <c r="B122" s="283">
        <v>1</v>
      </c>
      <c r="C122" s="249" t="s">
        <v>47</v>
      </c>
    </row>
    <row r="123" spans="1:3" s="53" customFormat="1" x14ac:dyDescent="0.2">
      <c r="A123" s="263" t="s">
        <v>191</v>
      </c>
      <c r="B123" s="283">
        <v>1</v>
      </c>
      <c r="C123" s="249" t="s">
        <v>47</v>
      </c>
    </row>
    <row r="124" spans="1:3" s="53" customFormat="1" x14ac:dyDescent="0.2">
      <c r="A124" s="263" t="s">
        <v>199</v>
      </c>
      <c r="B124" s="283">
        <v>1</v>
      </c>
      <c r="C124" s="249" t="s">
        <v>30</v>
      </c>
    </row>
    <row r="125" spans="1:3" s="53" customFormat="1" x14ac:dyDescent="0.2">
      <c r="A125" s="249" t="s">
        <v>193</v>
      </c>
      <c r="B125" s="283">
        <v>1</v>
      </c>
      <c r="C125" s="249" t="s">
        <v>283</v>
      </c>
    </row>
    <row r="126" spans="1:3" s="53" customFormat="1" x14ac:dyDescent="0.2">
      <c r="A126" s="249" t="s">
        <v>196</v>
      </c>
      <c r="B126" s="283">
        <v>1</v>
      </c>
      <c r="C126" s="249" t="s">
        <v>283</v>
      </c>
    </row>
    <row r="127" spans="1:3" s="53" customFormat="1" x14ac:dyDescent="0.2">
      <c r="A127" s="268" t="s">
        <v>197</v>
      </c>
      <c r="B127" s="283">
        <v>1</v>
      </c>
      <c r="C127" s="249" t="s">
        <v>47</v>
      </c>
    </row>
    <row r="128" spans="1:3" s="53" customFormat="1" x14ac:dyDescent="0.2">
      <c r="A128" s="262" t="s">
        <v>198</v>
      </c>
      <c r="B128" s="283">
        <v>1</v>
      </c>
      <c r="C128" s="249" t="s">
        <v>47</v>
      </c>
    </row>
    <row r="129" spans="1:3" s="53" customFormat="1" x14ac:dyDescent="0.2">
      <c r="A129" s="263" t="s">
        <v>200</v>
      </c>
      <c r="B129" s="283">
        <v>1</v>
      </c>
      <c r="C129" s="249" t="s">
        <v>30</v>
      </c>
    </row>
    <row r="130" spans="1:3" s="53" customFormat="1" x14ac:dyDescent="0.2">
      <c r="A130" s="262" t="s">
        <v>255</v>
      </c>
      <c r="B130" s="284">
        <v>1</v>
      </c>
      <c r="C130" s="249"/>
    </row>
    <row r="131" spans="1:3" s="53" customFormat="1" x14ac:dyDescent="0.2">
      <c r="A131" s="249" t="s">
        <v>83</v>
      </c>
      <c r="B131" s="284">
        <v>0.5</v>
      </c>
      <c r="C131" s="249"/>
    </row>
    <row r="132" spans="1:3" s="53" customFormat="1" ht="15" x14ac:dyDescent="0.2">
      <c r="A132" s="518" t="s">
        <v>180</v>
      </c>
      <c r="B132" s="518"/>
      <c r="C132" s="518"/>
    </row>
    <row r="133" spans="1:3" s="53" customFormat="1" x14ac:dyDescent="0.2">
      <c r="A133" s="262" t="s">
        <v>374</v>
      </c>
      <c r="B133" s="283">
        <v>200</v>
      </c>
      <c r="C133" s="263" t="s">
        <v>54</v>
      </c>
    </row>
    <row r="134" spans="1:3" s="53" customFormat="1" x14ac:dyDescent="0.2">
      <c r="A134" s="262" t="s">
        <v>375</v>
      </c>
      <c r="B134" s="283">
        <v>100</v>
      </c>
      <c r="C134" s="263" t="s">
        <v>54</v>
      </c>
    </row>
    <row r="135" spans="1:3" s="53" customFormat="1" x14ac:dyDescent="0.2">
      <c r="A135" s="262" t="s">
        <v>376</v>
      </c>
      <c r="B135" s="283">
        <v>10</v>
      </c>
      <c r="C135" s="267" t="s">
        <v>359</v>
      </c>
    </row>
    <row r="136" spans="1:3" s="53" customFormat="1" x14ac:dyDescent="0.2">
      <c r="A136" s="262" t="s">
        <v>377</v>
      </c>
      <c r="B136" s="283">
        <v>20</v>
      </c>
      <c r="C136" s="267" t="s">
        <v>359</v>
      </c>
    </row>
    <row r="137" spans="1:3" s="53" customFormat="1" x14ac:dyDescent="0.2">
      <c r="A137" s="267" t="s">
        <v>378</v>
      </c>
      <c r="B137" s="284">
        <v>0.78</v>
      </c>
      <c r="C137" s="262" t="s">
        <v>30</v>
      </c>
    </row>
    <row r="138" spans="1:3" s="53" customFormat="1" x14ac:dyDescent="0.2">
      <c r="A138" s="267" t="s">
        <v>379</v>
      </c>
      <c r="B138" s="284">
        <v>2.5</v>
      </c>
      <c r="C138" s="262" t="s">
        <v>30</v>
      </c>
    </row>
    <row r="139" spans="1:3" s="53" customFormat="1" x14ac:dyDescent="0.2">
      <c r="A139" s="262" t="s">
        <v>380</v>
      </c>
      <c r="B139" s="283">
        <v>68.099999999999994</v>
      </c>
      <c r="C139" s="267" t="s">
        <v>254</v>
      </c>
    </row>
    <row r="140" spans="1:3" s="53" customFormat="1" x14ac:dyDescent="0.2">
      <c r="A140" s="262" t="s">
        <v>381</v>
      </c>
      <c r="B140" s="283">
        <v>176.8</v>
      </c>
      <c r="C140" s="267" t="s">
        <v>254</v>
      </c>
    </row>
    <row r="141" spans="1:3" s="53" customFormat="1" x14ac:dyDescent="0.2">
      <c r="A141" s="262" t="s">
        <v>382</v>
      </c>
      <c r="B141" s="283">
        <v>41.7</v>
      </c>
      <c r="C141" s="267" t="s">
        <v>254</v>
      </c>
    </row>
    <row r="142" spans="1:3" s="53" customFormat="1" x14ac:dyDescent="0.2">
      <c r="A142" s="262" t="s">
        <v>383</v>
      </c>
      <c r="B142" s="283">
        <v>125.7</v>
      </c>
      <c r="C142" s="267" t="s">
        <v>254</v>
      </c>
    </row>
    <row r="143" spans="1:3" s="53" customFormat="1" x14ac:dyDescent="0.2">
      <c r="A143" s="262" t="s">
        <v>479</v>
      </c>
      <c r="B143" s="283">
        <v>349.5</v>
      </c>
      <c r="C143" s="267" t="s">
        <v>254</v>
      </c>
    </row>
    <row r="144" spans="1:3" s="53" customFormat="1" x14ac:dyDescent="0.2">
      <c r="A144" s="262" t="s">
        <v>480</v>
      </c>
      <c r="B144" s="283">
        <v>445.6</v>
      </c>
      <c r="C144" s="267" t="s">
        <v>254</v>
      </c>
    </row>
    <row r="145" spans="1:3" s="53" customFormat="1" x14ac:dyDescent="0.2">
      <c r="A145" s="262" t="s">
        <v>481</v>
      </c>
      <c r="B145" s="283">
        <v>40.1</v>
      </c>
      <c r="C145" s="267" t="s">
        <v>254</v>
      </c>
    </row>
    <row r="146" spans="1:3" s="53" customFormat="1" x14ac:dyDescent="0.2">
      <c r="A146" s="262" t="s">
        <v>482</v>
      </c>
      <c r="B146" s="283">
        <v>178</v>
      </c>
      <c r="C146" s="267" t="s">
        <v>254</v>
      </c>
    </row>
    <row r="147" spans="1:3" s="53" customFormat="1" x14ac:dyDescent="0.2">
      <c r="A147" s="262" t="s">
        <v>326</v>
      </c>
      <c r="B147" s="283">
        <v>10.95</v>
      </c>
      <c r="C147" s="262" t="s">
        <v>254</v>
      </c>
    </row>
    <row r="148" spans="1:3" s="53" customFormat="1" x14ac:dyDescent="0.2">
      <c r="A148" s="262" t="s">
        <v>327</v>
      </c>
      <c r="B148" s="283">
        <v>53.4</v>
      </c>
      <c r="C148" s="262" t="s">
        <v>254</v>
      </c>
    </row>
    <row r="149" spans="1:3" s="53" customFormat="1" x14ac:dyDescent="0.2">
      <c r="A149" s="262" t="s">
        <v>483</v>
      </c>
      <c r="B149" s="283">
        <v>32.799999999999997</v>
      </c>
      <c r="C149" s="267" t="s">
        <v>254</v>
      </c>
    </row>
    <row r="150" spans="1:3" s="53" customFormat="1" x14ac:dyDescent="0.2">
      <c r="A150" s="262" t="s">
        <v>484</v>
      </c>
      <c r="B150" s="283">
        <v>155.4</v>
      </c>
      <c r="C150" s="267" t="s">
        <v>254</v>
      </c>
    </row>
    <row r="151" spans="1:3" s="53" customFormat="1" x14ac:dyDescent="0.2">
      <c r="A151" s="262" t="s">
        <v>324</v>
      </c>
      <c r="B151" s="283">
        <v>23.6</v>
      </c>
      <c r="C151" s="262" t="s">
        <v>254</v>
      </c>
    </row>
    <row r="152" spans="1:3" s="53" customFormat="1" x14ac:dyDescent="0.2">
      <c r="A152" s="262" t="s">
        <v>325</v>
      </c>
      <c r="B152" s="283">
        <v>106.6</v>
      </c>
      <c r="C152" s="262" t="s">
        <v>254</v>
      </c>
    </row>
    <row r="153" spans="1:3" s="53" customFormat="1" x14ac:dyDescent="0.2">
      <c r="A153" s="262" t="s">
        <v>328</v>
      </c>
      <c r="B153" s="283">
        <v>18.5</v>
      </c>
      <c r="C153" s="262" t="s">
        <v>254</v>
      </c>
    </row>
    <row r="154" spans="1:3" s="53" customFormat="1" x14ac:dyDescent="0.2">
      <c r="A154" s="262" t="s">
        <v>329</v>
      </c>
      <c r="B154" s="283">
        <v>97.9</v>
      </c>
      <c r="C154" s="262" t="s">
        <v>254</v>
      </c>
    </row>
    <row r="155" spans="1:3" s="53" customFormat="1" x14ac:dyDescent="0.2">
      <c r="A155" s="262" t="s">
        <v>384</v>
      </c>
      <c r="B155" s="284">
        <v>6</v>
      </c>
      <c r="C155" s="93" t="s">
        <v>69</v>
      </c>
    </row>
    <row r="156" spans="1:3" s="53" customFormat="1" x14ac:dyDescent="0.2">
      <c r="A156" s="262" t="s">
        <v>385</v>
      </c>
      <c r="B156" s="284">
        <v>34</v>
      </c>
      <c r="C156" s="93" t="s">
        <v>69</v>
      </c>
    </row>
    <row r="157" spans="1:3" s="53" customFormat="1" x14ac:dyDescent="0.2">
      <c r="A157" s="262" t="s">
        <v>386</v>
      </c>
      <c r="B157" s="284">
        <v>40</v>
      </c>
      <c r="C157" s="93" t="s">
        <v>69</v>
      </c>
    </row>
    <row r="158" spans="1:3" s="53" customFormat="1" x14ac:dyDescent="0.2">
      <c r="A158" s="262" t="s">
        <v>387</v>
      </c>
      <c r="B158" s="284">
        <v>350</v>
      </c>
      <c r="C158" s="262" t="s">
        <v>26</v>
      </c>
    </row>
    <row r="159" spans="1:3" s="53" customFormat="1" x14ac:dyDescent="0.2">
      <c r="A159" s="262" t="s">
        <v>388</v>
      </c>
      <c r="B159" s="284">
        <v>350</v>
      </c>
      <c r="C159" s="262" t="s">
        <v>26</v>
      </c>
    </row>
    <row r="160" spans="1:3" s="53" customFormat="1" x14ac:dyDescent="0.2">
      <c r="A160" s="262" t="s">
        <v>389</v>
      </c>
      <c r="B160" s="283">
        <v>24</v>
      </c>
      <c r="C160" s="263" t="s">
        <v>224</v>
      </c>
    </row>
    <row r="161" spans="1:3" s="53" customFormat="1" x14ac:dyDescent="0.2">
      <c r="A161" s="262" t="s">
        <v>390</v>
      </c>
      <c r="B161" s="283">
        <v>24</v>
      </c>
      <c r="C161" s="263" t="s">
        <v>224</v>
      </c>
    </row>
    <row r="162" spans="1:3" s="53" customFormat="1" x14ac:dyDescent="0.2">
      <c r="A162" s="262" t="s">
        <v>396</v>
      </c>
      <c r="B162" s="283">
        <v>24</v>
      </c>
      <c r="C162" s="263" t="s">
        <v>224</v>
      </c>
    </row>
    <row r="163" spans="1:3" s="53" customFormat="1" x14ac:dyDescent="0.2">
      <c r="A163" s="249" t="s">
        <v>393</v>
      </c>
      <c r="B163" s="283">
        <v>0.54</v>
      </c>
      <c r="C163" s="267" t="s">
        <v>395</v>
      </c>
    </row>
    <row r="164" spans="1:3" s="53" customFormat="1" x14ac:dyDescent="0.2">
      <c r="A164" s="249" t="s">
        <v>394</v>
      </c>
      <c r="B164" s="283">
        <v>0.71</v>
      </c>
      <c r="C164" s="267" t="s">
        <v>395</v>
      </c>
    </row>
    <row r="165" spans="1:3" s="53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53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53" customFormat="1" x14ac:dyDescent="0.2">
      <c r="A167" s="262" t="s">
        <v>397</v>
      </c>
      <c r="B167" s="283">
        <v>1</v>
      </c>
      <c r="C167" s="267" t="s">
        <v>166</v>
      </c>
    </row>
    <row r="168" spans="1:3" s="53" customFormat="1" x14ac:dyDescent="0.2">
      <c r="A168" s="262" t="s">
        <v>398</v>
      </c>
      <c r="B168" s="283">
        <v>1</v>
      </c>
      <c r="C168" s="267" t="s">
        <v>166</v>
      </c>
    </row>
    <row r="169" spans="1:3" s="53" customFormat="1" x14ac:dyDescent="0.2">
      <c r="A169" s="262" t="s">
        <v>103</v>
      </c>
      <c r="B169" s="283">
        <v>0.4</v>
      </c>
      <c r="C169" s="247"/>
    </row>
    <row r="170" spans="1:3" s="53" customFormat="1" x14ac:dyDescent="0.2">
      <c r="A170" s="262" t="s">
        <v>158</v>
      </c>
      <c r="B170" s="283">
        <v>0.4</v>
      </c>
      <c r="C170" s="247"/>
    </row>
    <row r="171" spans="1:3" s="53" customFormat="1" x14ac:dyDescent="0.2">
      <c r="A171" s="262" t="s">
        <v>159</v>
      </c>
      <c r="B171" s="283">
        <v>1</v>
      </c>
      <c r="C171" s="247"/>
    </row>
    <row r="172" spans="1:3" s="53" customFormat="1" x14ac:dyDescent="0.2">
      <c r="A172" s="262" t="s">
        <v>62</v>
      </c>
      <c r="B172" s="283">
        <v>1</v>
      </c>
      <c r="C172" s="247"/>
    </row>
    <row r="173" spans="1:3" s="53" customFormat="1" x14ac:dyDescent="0.2">
      <c r="A173" s="262" t="s">
        <v>255</v>
      </c>
      <c r="B173" s="284">
        <v>1</v>
      </c>
      <c r="C173" s="247"/>
    </row>
    <row r="174" spans="1:3" s="53" customFormat="1" x14ac:dyDescent="0.2">
      <c r="A174" s="267" t="s">
        <v>399</v>
      </c>
      <c r="B174" s="283">
        <v>1</v>
      </c>
      <c r="C174" s="247"/>
    </row>
    <row r="175" spans="1:3" s="53" customFormat="1" x14ac:dyDescent="0.2">
      <c r="A175" s="267" t="s">
        <v>400</v>
      </c>
      <c r="B175" s="283">
        <v>1</v>
      </c>
      <c r="C175" s="247"/>
    </row>
    <row r="176" spans="1:3" s="53" customFormat="1" x14ac:dyDescent="0.2">
      <c r="A176" s="267" t="s">
        <v>401</v>
      </c>
      <c r="B176" s="283">
        <v>1</v>
      </c>
      <c r="C176" s="247"/>
    </row>
    <row r="177" spans="1:3" s="53" customFormat="1" x14ac:dyDescent="0.2">
      <c r="A177" s="267" t="s">
        <v>402</v>
      </c>
      <c r="B177" s="283">
        <v>1</v>
      </c>
      <c r="C177" s="247"/>
    </row>
    <row r="178" spans="1:3" s="53" customFormat="1" x14ac:dyDescent="0.2">
      <c r="A178" s="267" t="s">
        <v>403</v>
      </c>
      <c r="B178" s="283">
        <v>1</v>
      </c>
      <c r="C178" s="247"/>
    </row>
    <row r="179" spans="1:3" s="53" customFormat="1" x14ac:dyDescent="0.2">
      <c r="A179" s="267" t="s">
        <v>404</v>
      </c>
      <c r="B179" s="283">
        <v>1</v>
      </c>
      <c r="C179" s="247"/>
    </row>
    <row r="180" spans="1:3" s="53" customFormat="1" x14ac:dyDescent="0.2">
      <c r="A180" s="267" t="s">
        <v>405</v>
      </c>
      <c r="B180" s="284">
        <v>1</v>
      </c>
      <c r="C180" s="247"/>
    </row>
    <row r="181" spans="1:3" s="53" customFormat="1" x14ac:dyDescent="0.2">
      <c r="A181" s="262" t="s">
        <v>41</v>
      </c>
      <c r="B181" s="284">
        <v>3.62</v>
      </c>
      <c r="C181" s="249" t="s">
        <v>42</v>
      </c>
    </row>
    <row r="182" spans="1:3" s="53" customFormat="1" x14ac:dyDescent="0.2">
      <c r="A182" s="262" t="s">
        <v>46</v>
      </c>
      <c r="B182" s="284">
        <v>0.25</v>
      </c>
      <c r="C182" s="249" t="s">
        <v>47</v>
      </c>
    </row>
    <row r="183" spans="1:3" s="53" customFormat="1" x14ac:dyDescent="0.2">
      <c r="A183" s="267" t="s">
        <v>60</v>
      </c>
      <c r="B183" s="284">
        <v>10950</v>
      </c>
      <c r="C183" s="249" t="s">
        <v>61</v>
      </c>
    </row>
    <row r="184" spans="1:3" s="53" customFormat="1" x14ac:dyDescent="0.2">
      <c r="A184" s="267" t="s">
        <v>65</v>
      </c>
      <c r="B184" s="284">
        <v>240</v>
      </c>
      <c r="C184" s="249" t="s">
        <v>66</v>
      </c>
    </row>
    <row r="185" spans="1:3" s="53" customFormat="1" x14ac:dyDescent="0.2">
      <c r="A185" s="267" t="s">
        <v>76</v>
      </c>
      <c r="B185" s="284">
        <v>0.42</v>
      </c>
      <c r="C185" s="249" t="s">
        <v>47</v>
      </c>
    </row>
    <row r="186" spans="1:3" s="53" customFormat="1" x14ac:dyDescent="0.2">
      <c r="A186" s="267" t="s">
        <v>85</v>
      </c>
      <c r="B186" s="284">
        <v>60</v>
      </c>
      <c r="C186" s="262" t="s">
        <v>61</v>
      </c>
    </row>
    <row r="187" spans="1:3" s="53" customFormat="1" x14ac:dyDescent="0.2">
      <c r="A187" s="267" t="s">
        <v>87</v>
      </c>
      <c r="B187" s="284">
        <v>2</v>
      </c>
      <c r="C187" s="262" t="s">
        <v>66</v>
      </c>
    </row>
    <row r="188" spans="1:3" s="53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53" customFormat="1" x14ac:dyDescent="0.2">
      <c r="A189" s="267" t="s">
        <v>91</v>
      </c>
      <c r="B189" s="284">
        <v>1</v>
      </c>
      <c r="C189" s="249" t="s">
        <v>47</v>
      </c>
    </row>
    <row r="190" spans="1:3" s="53" customFormat="1" x14ac:dyDescent="0.2">
      <c r="A190" s="267" t="s">
        <v>92</v>
      </c>
      <c r="B190" s="284">
        <v>14</v>
      </c>
      <c r="C190" s="249" t="s">
        <v>93</v>
      </c>
    </row>
    <row r="191" spans="1:3" s="53" customFormat="1" x14ac:dyDescent="0.2">
      <c r="A191" s="262" t="s">
        <v>29</v>
      </c>
      <c r="B191" s="284">
        <v>92</v>
      </c>
      <c r="C191" s="262" t="s">
        <v>30</v>
      </c>
    </row>
    <row r="192" spans="1:3" s="53" customFormat="1" x14ac:dyDescent="0.2">
      <c r="A192" s="249" t="s">
        <v>287</v>
      </c>
      <c r="B192" s="283">
        <v>1.03</v>
      </c>
      <c r="C192" s="249" t="s">
        <v>288</v>
      </c>
    </row>
    <row r="193" spans="1:3" s="53" customFormat="1" x14ac:dyDescent="0.2">
      <c r="A193" s="262" t="s">
        <v>406</v>
      </c>
      <c r="B193" s="284">
        <v>20.3</v>
      </c>
      <c r="C193" s="249" t="s">
        <v>283</v>
      </c>
    </row>
    <row r="194" spans="1:3" s="53" customFormat="1" x14ac:dyDescent="0.2">
      <c r="A194" s="262" t="s">
        <v>407</v>
      </c>
      <c r="B194" s="284">
        <v>0.4</v>
      </c>
      <c r="C194" s="249" t="s">
        <v>283</v>
      </c>
    </row>
    <row r="195" spans="1:3" s="53" customFormat="1" x14ac:dyDescent="0.2">
      <c r="A195" s="262" t="s">
        <v>408</v>
      </c>
      <c r="B195" s="284">
        <v>1</v>
      </c>
      <c r="C195" s="247"/>
    </row>
    <row r="196" spans="1:3" s="53" customFormat="1" x14ac:dyDescent="0.2">
      <c r="A196" s="262" t="s">
        <v>409</v>
      </c>
      <c r="B196" s="284">
        <v>1</v>
      </c>
      <c r="C196" s="247"/>
    </row>
    <row r="197" spans="1:3" s="53" customFormat="1" x14ac:dyDescent="0.2">
      <c r="A197" s="262" t="s">
        <v>31</v>
      </c>
      <c r="B197" s="284">
        <v>53</v>
      </c>
      <c r="C197" s="262" t="s">
        <v>30</v>
      </c>
    </row>
    <row r="198" spans="1:3" s="53" customFormat="1" x14ac:dyDescent="0.2">
      <c r="A198" s="262" t="s">
        <v>410</v>
      </c>
      <c r="B198" s="284">
        <v>11.77</v>
      </c>
      <c r="C198" s="249" t="s">
        <v>283</v>
      </c>
    </row>
    <row r="199" spans="1:3" s="53" customFormat="1" x14ac:dyDescent="0.2">
      <c r="A199" s="262" t="s">
        <v>411</v>
      </c>
      <c r="B199" s="284">
        <v>0.5</v>
      </c>
      <c r="C199" s="249" t="s">
        <v>283</v>
      </c>
    </row>
    <row r="200" spans="1:3" s="53" customFormat="1" x14ac:dyDescent="0.2">
      <c r="A200" s="262" t="s">
        <v>412</v>
      </c>
      <c r="B200" s="284">
        <v>1</v>
      </c>
      <c r="C200" s="247"/>
    </row>
    <row r="201" spans="1:3" s="53" customFormat="1" x14ac:dyDescent="0.2">
      <c r="A201" s="262" t="s">
        <v>413</v>
      </c>
      <c r="B201" s="284">
        <v>1</v>
      </c>
      <c r="C201" s="247"/>
    </row>
    <row r="202" spans="1:3" s="53" customFormat="1" x14ac:dyDescent="0.2">
      <c r="A202" s="262" t="s">
        <v>173</v>
      </c>
      <c r="B202" s="283">
        <v>0.4</v>
      </c>
      <c r="C202" s="262" t="s">
        <v>30</v>
      </c>
    </row>
    <row r="203" spans="1:3" s="53" customFormat="1" x14ac:dyDescent="0.2">
      <c r="A203" s="262" t="s">
        <v>177</v>
      </c>
      <c r="B203" s="284">
        <v>0.2</v>
      </c>
      <c r="C203" s="249" t="s">
        <v>283</v>
      </c>
    </row>
    <row r="204" spans="1:3" s="53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53" customFormat="1" x14ac:dyDescent="0.2">
      <c r="A205" s="262" t="s">
        <v>178</v>
      </c>
      <c r="B205" s="283">
        <v>1</v>
      </c>
      <c r="C205" s="247"/>
    </row>
    <row r="206" spans="1:3" s="53" customFormat="1" x14ac:dyDescent="0.2">
      <c r="A206" s="262" t="s">
        <v>179</v>
      </c>
      <c r="B206" s="283">
        <v>1</v>
      </c>
      <c r="C206" s="247"/>
    </row>
    <row r="207" spans="1:3" s="53" customFormat="1" x14ac:dyDescent="0.2">
      <c r="A207" s="262" t="s">
        <v>414</v>
      </c>
      <c r="B207" s="283">
        <v>0.4</v>
      </c>
      <c r="C207" s="262" t="s">
        <v>30</v>
      </c>
    </row>
    <row r="208" spans="1:3" s="53" customFormat="1" x14ac:dyDescent="0.2">
      <c r="A208" s="262" t="s">
        <v>415</v>
      </c>
      <c r="B208" s="284">
        <v>0.2</v>
      </c>
      <c r="C208" s="249" t="s">
        <v>283</v>
      </c>
    </row>
    <row r="209" spans="1:3" s="53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53" customFormat="1" x14ac:dyDescent="0.2">
      <c r="A210" s="262" t="s">
        <v>417</v>
      </c>
      <c r="B210" s="284">
        <v>1</v>
      </c>
      <c r="C210" s="247"/>
    </row>
    <row r="211" spans="1:3" s="53" customFormat="1" x14ac:dyDescent="0.2">
      <c r="A211" s="262" t="s">
        <v>418</v>
      </c>
      <c r="B211" s="284">
        <v>1</v>
      </c>
      <c r="C211" s="247"/>
    </row>
    <row r="212" spans="1:3" s="53" customFormat="1" x14ac:dyDescent="0.2">
      <c r="A212" s="262" t="s">
        <v>174</v>
      </c>
      <c r="B212" s="284">
        <v>11.4</v>
      </c>
      <c r="C212" s="262" t="s">
        <v>30</v>
      </c>
    </row>
    <row r="213" spans="1:3" s="53" customFormat="1" x14ac:dyDescent="0.2">
      <c r="A213" s="262" t="s">
        <v>419</v>
      </c>
      <c r="B213" s="284">
        <v>4.7</v>
      </c>
      <c r="C213" s="249" t="s">
        <v>283</v>
      </c>
    </row>
    <row r="214" spans="1:3" s="53" customFormat="1" x14ac:dyDescent="0.2">
      <c r="A214" s="262" t="s">
        <v>420</v>
      </c>
      <c r="B214" s="284">
        <v>0.37</v>
      </c>
      <c r="C214" s="249" t="s">
        <v>283</v>
      </c>
    </row>
    <row r="215" spans="1:3" s="53" customFormat="1" x14ac:dyDescent="0.2">
      <c r="A215" s="262" t="s">
        <v>421</v>
      </c>
      <c r="B215" s="284">
        <v>1</v>
      </c>
      <c r="C215" s="247"/>
    </row>
    <row r="216" spans="1:3" s="53" customFormat="1" x14ac:dyDescent="0.2">
      <c r="A216" s="262" t="s">
        <v>422</v>
      </c>
      <c r="B216" s="284">
        <v>1</v>
      </c>
      <c r="C216" s="247"/>
    </row>
    <row r="217" spans="1:3" s="53" customFormat="1" x14ac:dyDescent="0.2">
      <c r="A217" s="249" t="s">
        <v>83</v>
      </c>
      <c r="B217" s="284">
        <v>0.5</v>
      </c>
      <c r="C217" s="249"/>
    </row>
    <row r="218" spans="1:3" s="53" customFormat="1" x14ac:dyDescent="0.2">
      <c r="A218" s="558" t="s">
        <v>423</v>
      </c>
      <c r="B218" s="558"/>
      <c r="C218" s="558"/>
    </row>
    <row r="219" spans="1:3" s="53" customFormat="1" x14ac:dyDescent="0.2">
      <c r="A219" s="249" t="s">
        <v>424</v>
      </c>
      <c r="B219" s="283">
        <v>60</v>
      </c>
      <c r="C219" s="263" t="s">
        <v>359</v>
      </c>
    </row>
    <row r="220" spans="1:3" s="53" customFormat="1" x14ac:dyDescent="0.2">
      <c r="A220" s="262" t="s">
        <v>425</v>
      </c>
      <c r="B220" s="283">
        <v>250</v>
      </c>
      <c r="C220" s="249" t="s">
        <v>26</v>
      </c>
    </row>
    <row r="221" spans="1:3" s="53" customFormat="1" x14ac:dyDescent="0.2">
      <c r="A221" s="262" t="s">
        <v>75</v>
      </c>
      <c r="B221" s="284">
        <v>25</v>
      </c>
      <c r="C221" s="249" t="s">
        <v>69</v>
      </c>
    </row>
    <row r="222" spans="1:3" s="53" customFormat="1" x14ac:dyDescent="0.2">
      <c r="A222" s="262" t="s">
        <v>426</v>
      </c>
      <c r="B222" s="283">
        <v>100</v>
      </c>
      <c r="C222" s="263" t="s">
        <v>54</v>
      </c>
    </row>
    <row r="223" spans="1:3" s="53" customFormat="1" x14ac:dyDescent="0.2">
      <c r="A223" s="249" t="s">
        <v>353</v>
      </c>
      <c r="B223" s="284">
        <v>1</v>
      </c>
      <c r="C223" s="247"/>
    </row>
    <row r="224" spans="1:3" s="53" customFormat="1" x14ac:dyDescent="0.2">
      <c r="A224" s="262" t="s">
        <v>56</v>
      </c>
      <c r="B224" s="284">
        <v>1</v>
      </c>
      <c r="C224" s="247"/>
    </row>
    <row r="225" spans="1:3" s="53" customFormat="1" x14ac:dyDescent="0.2">
      <c r="A225" s="262" t="s">
        <v>52</v>
      </c>
      <c r="B225" s="284">
        <v>0.4</v>
      </c>
      <c r="C225" s="247"/>
    </row>
    <row r="226" spans="1:3" s="53" customFormat="1" x14ac:dyDescent="0.2">
      <c r="A226" s="262" t="s">
        <v>62</v>
      </c>
      <c r="B226" s="284">
        <v>1</v>
      </c>
      <c r="C226" s="247"/>
    </row>
    <row r="227" spans="1:3" s="53" customFormat="1" x14ac:dyDescent="0.2">
      <c r="A227" s="262" t="s">
        <v>467</v>
      </c>
      <c r="B227" s="283">
        <v>4</v>
      </c>
      <c r="C227" s="249" t="s">
        <v>224</v>
      </c>
    </row>
    <row r="228" spans="1:3" s="53" customFormat="1" x14ac:dyDescent="0.2">
      <c r="A228" s="262" t="s">
        <v>468</v>
      </c>
      <c r="B228" s="283">
        <v>4</v>
      </c>
      <c r="C228" s="249" t="s">
        <v>224</v>
      </c>
    </row>
    <row r="229" spans="1:3" s="53" customFormat="1" x14ac:dyDescent="0.2">
      <c r="A229" s="262" t="s">
        <v>103</v>
      </c>
      <c r="B229" s="283">
        <v>0.4</v>
      </c>
      <c r="C229" s="247"/>
    </row>
    <row r="230" spans="1:3" s="53" customFormat="1" x14ac:dyDescent="0.2">
      <c r="A230" s="558" t="s">
        <v>427</v>
      </c>
      <c r="B230" s="558"/>
      <c r="C230" s="558"/>
    </row>
    <row r="231" spans="1:3" s="53" customFormat="1" x14ac:dyDescent="0.2">
      <c r="A231" s="249" t="s">
        <v>428</v>
      </c>
      <c r="B231" s="283">
        <v>60</v>
      </c>
      <c r="C231" s="263" t="s">
        <v>359</v>
      </c>
    </row>
    <row r="232" spans="1:3" s="53" customFormat="1" x14ac:dyDescent="0.2">
      <c r="A232" s="262" t="s">
        <v>40</v>
      </c>
      <c r="B232" s="283">
        <v>250</v>
      </c>
      <c r="C232" s="249" t="s">
        <v>26</v>
      </c>
    </row>
    <row r="233" spans="1:3" s="53" customFormat="1" x14ac:dyDescent="0.2">
      <c r="A233" s="262" t="s">
        <v>429</v>
      </c>
      <c r="B233" s="284">
        <v>25</v>
      </c>
      <c r="C233" s="249" t="s">
        <v>69</v>
      </c>
    </row>
    <row r="234" spans="1:3" s="53" customFormat="1" x14ac:dyDescent="0.2">
      <c r="A234" s="262" t="s">
        <v>79</v>
      </c>
      <c r="B234" s="283">
        <v>50</v>
      </c>
      <c r="C234" s="263" t="s">
        <v>54</v>
      </c>
    </row>
    <row r="235" spans="1:3" s="53" customFormat="1" x14ac:dyDescent="0.2">
      <c r="A235" s="249" t="s">
        <v>353</v>
      </c>
      <c r="B235" s="284">
        <v>1</v>
      </c>
      <c r="C235" s="247"/>
    </row>
    <row r="236" spans="1:3" s="53" customFormat="1" x14ac:dyDescent="0.2">
      <c r="A236" s="262" t="s">
        <v>56</v>
      </c>
      <c r="B236" s="284">
        <v>1</v>
      </c>
      <c r="C236" s="247"/>
    </row>
    <row r="237" spans="1:3" s="53" customFormat="1" x14ac:dyDescent="0.2">
      <c r="A237" s="262" t="s">
        <v>52</v>
      </c>
      <c r="B237" s="284">
        <v>0.4</v>
      </c>
      <c r="C237" s="247"/>
    </row>
    <row r="238" spans="1:3" s="53" customFormat="1" x14ac:dyDescent="0.2">
      <c r="A238" s="262" t="s">
        <v>62</v>
      </c>
      <c r="B238" s="284">
        <v>1</v>
      </c>
      <c r="C238" s="247"/>
    </row>
    <row r="239" spans="1:3" s="53" customFormat="1" x14ac:dyDescent="0.2">
      <c r="A239" s="262" t="s">
        <v>469</v>
      </c>
      <c r="B239" s="283">
        <v>0</v>
      </c>
      <c r="C239" s="249" t="s">
        <v>224</v>
      </c>
    </row>
    <row r="240" spans="1:3" s="53" customFormat="1" x14ac:dyDescent="0.2">
      <c r="A240" s="262" t="s">
        <v>470</v>
      </c>
      <c r="B240" s="283">
        <v>8</v>
      </c>
      <c r="C240" s="249" t="s">
        <v>224</v>
      </c>
    </row>
    <row r="241" spans="1:3" s="53" customFormat="1" x14ac:dyDescent="0.2">
      <c r="A241" s="262" t="s">
        <v>103</v>
      </c>
      <c r="B241" s="283">
        <v>0.4</v>
      </c>
      <c r="C241" s="247"/>
    </row>
    <row r="242" spans="1:3" s="53" customFormat="1" x14ac:dyDescent="0.2">
      <c r="A242" s="558" t="s">
        <v>430</v>
      </c>
      <c r="B242" s="558"/>
      <c r="C242" s="558"/>
    </row>
    <row r="243" spans="1:3" s="53" customFormat="1" x14ac:dyDescent="0.2">
      <c r="A243" s="249" t="s">
        <v>58</v>
      </c>
      <c r="B243" s="283">
        <v>60</v>
      </c>
      <c r="C243" s="263" t="s">
        <v>359</v>
      </c>
    </row>
    <row r="244" spans="1:3" s="53" customFormat="1" x14ac:dyDescent="0.2">
      <c r="A244" s="262" t="s">
        <v>431</v>
      </c>
      <c r="B244" s="283">
        <v>225</v>
      </c>
      <c r="C244" s="249" t="s">
        <v>26</v>
      </c>
    </row>
    <row r="245" spans="1:3" s="53" customFormat="1" x14ac:dyDescent="0.2">
      <c r="A245" s="262" t="s">
        <v>432</v>
      </c>
      <c r="B245" s="284">
        <v>25</v>
      </c>
      <c r="C245" s="249" t="s">
        <v>69</v>
      </c>
    </row>
    <row r="246" spans="1:3" s="53" customFormat="1" x14ac:dyDescent="0.2">
      <c r="A246" s="262" t="s">
        <v>433</v>
      </c>
      <c r="B246" s="283">
        <v>100</v>
      </c>
      <c r="C246" s="263" t="s">
        <v>54</v>
      </c>
    </row>
    <row r="247" spans="1:3" s="53" customFormat="1" x14ac:dyDescent="0.2">
      <c r="A247" s="249" t="s">
        <v>353</v>
      </c>
      <c r="B247" s="284">
        <v>1</v>
      </c>
      <c r="C247" s="247"/>
    </row>
    <row r="248" spans="1:3" s="53" customFormat="1" x14ac:dyDescent="0.2">
      <c r="A248" s="262" t="s">
        <v>56</v>
      </c>
      <c r="B248" s="284">
        <v>1</v>
      </c>
      <c r="C248" s="247"/>
    </row>
    <row r="249" spans="1:3" s="53" customFormat="1" x14ac:dyDescent="0.2">
      <c r="A249" s="262" t="s">
        <v>52</v>
      </c>
      <c r="B249" s="284">
        <v>0.4</v>
      </c>
      <c r="C249" s="247"/>
    </row>
    <row r="250" spans="1:3" s="53" customFormat="1" x14ac:dyDescent="0.2">
      <c r="A250" s="262" t="s">
        <v>62</v>
      </c>
      <c r="B250" s="284">
        <v>1</v>
      </c>
      <c r="C250" s="247"/>
    </row>
    <row r="251" spans="1:3" s="53" customFormat="1" x14ac:dyDescent="0.2">
      <c r="A251" s="262" t="s">
        <v>466</v>
      </c>
      <c r="B251" s="283">
        <v>8</v>
      </c>
      <c r="C251" s="249" t="s">
        <v>224</v>
      </c>
    </row>
    <row r="252" spans="1:3" s="53" customFormat="1" x14ac:dyDescent="0.2">
      <c r="A252" s="262" t="s">
        <v>465</v>
      </c>
      <c r="B252" s="283">
        <v>0</v>
      </c>
      <c r="C252" s="249" t="s">
        <v>224</v>
      </c>
    </row>
    <row r="253" spans="1:3" s="53" customFormat="1" x14ac:dyDescent="0.2">
      <c r="A253" s="262" t="s">
        <v>103</v>
      </c>
      <c r="B253" s="283">
        <v>0.4</v>
      </c>
      <c r="C253" s="247"/>
    </row>
    <row r="254" spans="1:3" s="53" customFormat="1" x14ac:dyDescent="0.2">
      <c r="A254" s="558" t="s">
        <v>434</v>
      </c>
      <c r="B254" s="558"/>
      <c r="C254" s="558"/>
    </row>
    <row r="255" spans="1:3" s="53" customFormat="1" x14ac:dyDescent="0.2">
      <c r="A255" s="249" t="s">
        <v>435</v>
      </c>
      <c r="B255" s="283">
        <v>60</v>
      </c>
      <c r="C255" s="263" t="s">
        <v>359</v>
      </c>
    </row>
    <row r="256" spans="1:3" s="53" customFormat="1" x14ac:dyDescent="0.2">
      <c r="A256" s="262" t="s">
        <v>221</v>
      </c>
      <c r="B256" s="283">
        <v>130</v>
      </c>
      <c r="C256" s="249" t="s">
        <v>26</v>
      </c>
    </row>
    <row r="257" spans="1:3" s="53" customFormat="1" x14ac:dyDescent="0.2">
      <c r="A257" s="262" t="s">
        <v>186</v>
      </c>
      <c r="B257" s="284">
        <v>1</v>
      </c>
      <c r="C257" s="249" t="s">
        <v>69</v>
      </c>
    </row>
    <row r="258" spans="1:3" s="53" customFormat="1" x14ac:dyDescent="0.2">
      <c r="A258" s="262" t="s">
        <v>436</v>
      </c>
      <c r="B258" s="283">
        <v>330</v>
      </c>
      <c r="C258" s="263" t="s">
        <v>54</v>
      </c>
    </row>
    <row r="259" spans="1:3" s="53" customFormat="1" x14ac:dyDescent="0.2">
      <c r="A259" s="249" t="s">
        <v>353</v>
      </c>
      <c r="B259" s="284">
        <v>1</v>
      </c>
      <c r="C259" s="247"/>
    </row>
    <row r="260" spans="1:3" s="53" customFormat="1" x14ac:dyDescent="0.2">
      <c r="A260" s="262" t="s">
        <v>56</v>
      </c>
      <c r="B260" s="284">
        <v>1</v>
      </c>
      <c r="C260" s="247"/>
    </row>
    <row r="261" spans="1:3" s="53" customFormat="1" x14ac:dyDescent="0.2">
      <c r="A261" s="262" t="s">
        <v>52</v>
      </c>
      <c r="B261" s="284">
        <v>0.4</v>
      </c>
      <c r="C261" s="247"/>
    </row>
    <row r="262" spans="1:3" s="53" customFormat="1" x14ac:dyDescent="0.2">
      <c r="A262" s="262" t="s">
        <v>62</v>
      </c>
      <c r="B262" s="284">
        <v>1</v>
      </c>
      <c r="C262" s="247"/>
    </row>
    <row r="263" spans="1:3" s="53" customFormat="1" x14ac:dyDescent="0.2">
      <c r="A263" s="262" t="s">
        <v>471</v>
      </c>
      <c r="B263" s="283">
        <v>8</v>
      </c>
      <c r="C263" s="249" t="s">
        <v>224</v>
      </c>
    </row>
    <row r="264" spans="1:3" s="53" customFormat="1" x14ac:dyDescent="0.2">
      <c r="A264" s="262" t="s">
        <v>472</v>
      </c>
      <c r="B264" s="283">
        <v>0</v>
      </c>
      <c r="C264" s="249" t="s">
        <v>224</v>
      </c>
    </row>
    <row r="265" spans="1:3" s="53" customFormat="1" x14ac:dyDescent="0.2">
      <c r="A265" s="262" t="s">
        <v>103</v>
      </c>
      <c r="B265" s="283">
        <v>0.4</v>
      </c>
      <c r="C265" s="247"/>
    </row>
    <row r="266" spans="1:3" s="53" customFormat="1" x14ac:dyDescent="0.2">
      <c r="A266" s="262" t="s">
        <v>220</v>
      </c>
      <c r="B266" s="283">
        <v>5</v>
      </c>
      <c r="C266" s="249" t="s">
        <v>129</v>
      </c>
    </row>
    <row r="267" spans="1:3" s="53" customFormat="1" x14ac:dyDescent="0.2">
      <c r="A267" s="262" t="s">
        <v>219</v>
      </c>
      <c r="B267" s="283">
        <v>26</v>
      </c>
      <c r="C267" s="249" t="s">
        <v>130</v>
      </c>
    </row>
    <row r="268" spans="1:3" s="53" customFormat="1" x14ac:dyDescent="0.2">
      <c r="A268" s="558" t="s">
        <v>437</v>
      </c>
      <c r="B268" s="558"/>
      <c r="C268" s="558"/>
    </row>
    <row r="269" spans="1:3" s="53" customFormat="1" x14ac:dyDescent="0.2">
      <c r="A269" s="249" t="s">
        <v>435</v>
      </c>
      <c r="B269" s="283">
        <v>60</v>
      </c>
      <c r="C269" s="263" t="s">
        <v>359</v>
      </c>
    </row>
    <row r="270" spans="1:3" s="53" customFormat="1" x14ac:dyDescent="0.2">
      <c r="A270" s="262" t="s">
        <v>221</v>
      </c>
      <c r="B270" s="283">
        <v>130</v>
      </c>
      <c r="C270" s="249" t="s">
        <v>26</v>
      </c>
    </row>
    <row r="271" spans="1:3" s="53" customFormat="1" x14ac:dyDescent="0.2">
      <c r="A271" s="262" t="s">
        <v>186</v>
      </c>
      <c r="B271" s="284">
        <v>1</v>
      </c>
      <c r="C271" s="249" t="s">
        <v>69</v>
      </c>
    </row>
    <row r="272" spans="1:3" s="53" customFormat="1" x14ac:dyDescent="0.2">
      <c r="A272" s="262" t="s">
        <v>436</v>
      </c>
      <c r="B272" s="283">
        <v>330</v>
      </c>
      <c r="C272" s="263" t="s">
        <v>54</v>
      </c>
    </row>
    <row r="273" spans="1:3" s="53" customFormat="1" x14ac:dyDescent="0.2">
      <c r="A273" s="262" t="s">
        <v>56</v>
      </c>
      <c r="B273" s="284">
        <v>1</v>
      </c>
      <c r="C273" s="247"/>
    </row>
    <row r="274" spans="1:3" s="53" customFormat="1" x14ac:dyDescent="0.2">
      <c r="A274" s="262" t="s">
        <v>52</v>
      </c>
      <c r="B274" s="284">
        <v>0.4</v>
      </c>
      <c r="C274" s="247"/>
    </row>
    <row r="275" spans="1:3" s="53" customFormat="1" x14ac:dyDescent="0.2">
      <c r="A275" s="262" t="s">
        <v>62</v>
      </c>
      <c r="B275" s="284">
        <v>1</v>
      </c>
      <c r="C275" s="247"/>
    </row>
    <row r="276" spans="1:3" s="53" customFormat="1" x14ac:dyDescent="0.2">
      <c r="A276" s="262" t="s">
        <v>471</v>
      </c>
      <c r="B276" s="283">
        <v>8</v>
      </c>
      <c r="C276" s="249" t="s">
        <v>224</v>
      </c>
    </row>
    <row r="277" spans="1:3" s="53" customFormat="1" x14ac:dyDescent="0.2">
      <c r="A277" s="262" t="s">
        <v>472</v>
      </c>
      <c r="B277" s="283">
        <v>0</v>
      </c>
      <c r="C277" s="249" t="s">
        <v>224</v>
      </c>
    </row>
    <row r="278" spans="1:3" s="53" customFormat="1" x14ac:dyDescent="0.2">
      <c r="A278" s="262" t="s">
        <v>103</v>
      </c>
      <c r="B278" s="283">
        <v>0.4</v>
      </c>
      <c r="C278" s="247"/>
    </row>
    <row r="279" spans="1:3" s="53" customFormat="1" x14ac:dyDescent="0.2">
      <c r="A279" s="262" t="s">
        <v>220</v>
      </c>
      <c r="B279" s="283">
        <v>5</v>
      </c>
      <c r="C279" s="249" t="s">
        <v>129</v>
      </c>
    </row>
    <row r="280" spans="1:3" s="53" customFormat="1" x14ac:dyDescent="0.2">
      <c r="A280" s="262" t="s">
        <v>219</v>
      </c>
      <c r="B280" s="283">
        <v>26</v>
      </c>
      <c r="C280" s="249" t="s">
        <v>130</v>
      </c>
    </row>
    <row r="281" spans="1:3" s="53" customFormat="1" x14ac:dyDescent="0.2">
      <c r="A281" s="663" t="s">
        <v>576</v>
      </c>
      <c r="B281" s="663"/>
      <c r="C281" s="663"/>
    </row>
    <row r="282" spans="1:3" s="53" customFormat="1" x14ac:dyDescent="0.2">
      <c r="A282" s="263" t="s">
        <v>577</v>
      </c>
      <c r="B282" s="283">
        <v>1.5</v>
      </c>
      <c r="C282" s="249"/>
    </row>
    <row r="283" spans="1:3" s="53" customFormat="1" x14ac:dyDescent="0.2">
      <c r="A283" s="249" t="s">
        <v>100</v>
      </c>
      <c r="B283" s="283">
        <v>0.3</v>
      </c>
      <c r="C283" s="249"/>
    </row>
    <row r="284" spans="1:3" s="53" customFormat="1" x14ac:dyDescent="0.2">
      <c r="A284" s="249" t="s">
        <v>107</v>
      </c>
      <c r="B284" s="283">
        <v>26</v>
      </c>
      <c r="C284" s="249" t="s">
        <v>69</v>
      </c>
    </row>
    <row r="285" spans="1:3" s="53" customFormat="1" x14ac:dyDescent="0.2">
      <c r="A285" s="263" t="s">
        <v>39</v>
      </c>
      <c r="B285" s="283">
        <v>70</v>
      </c>
      <c r="C285" s="249" t="s">
        <v>69</v>
      </c>
    </row>
    <row r="286" spans="1:3" s="53" customFormat="1" x14ac:dyDescent="0.2">
      <c r="A286" s="263" t="s">
        <v>83</v>
      </c>
      <c r="B286" s="283">
        <v>1</v>
      </c>
      <c r="C286" s="249" t="s">
        <v>108</v>
      </c>
    </row>
    <row r="287" spans="1:3" s="53" customFormat="1" x14ac:dyDescent="0.2">
      <c r="A287" s="249" t="s">
        <v>109</v>
      </c>
      <c r="B287" s="283">
        <v>1</v>
      </c>
      <c r="C287" s="249" t="s">
        <v>110</v>
      </c>
    </row>
    <row r="288" spans="1:3" s="53" customFormat="1" x14ac:dyDescent="0.2">
      <c r="A288" s="249" t="s">
        <v>114</v>
      </c>
      <c r="B288" s="283">
        <v>0.18</v>
      </c>
      <c r="C288" s="249" t="s">
        <v>108</v>
      </c>
    </row>
    <row r="289" spans="1:3" s="53" customFormat="1" x14ac:dyDescent="0.2">
      <c r="A289" s="249" t="s">
        <v>116</v>
      </c>
      <c r="B289" s="283">
        <v>1</v>
      </c>
      <c r="C289" s="249" t="s">
        <v>113</v>
      </c>
    </row>
    <row r="290" spans="1:3" s="53" customFormat="1" x14ac:dyDescent="0.2">
      <c r="A290" s="249" t="s">
        <v>118</v>
      </c>
      <c r="B290" s="283">
        <v>1</v>
      </c>
      <c r="C290" s="249" t="s">
        <v>113</v>
      </c>
    </row>
    <row r="291" spans="1:3" s="53" customFormat="1" x14ac:dyDescent="0.2">
      <c r="A291" s="249" t="s">
        <v>119</v>
      </c>
      <c r="B291" s="283">
        <v>1</v>
      </c>
      <c r="C291" s="249" t="s">
        <v>113</v>
      </c>
    </row>
    <row r="293" spans="1:3" s="53" customFormat="1" x14ac:dyDescent="0.2">
      <c r="A293" s="95" t="s">
        <v>299</v>
      </c>
      <c r="B293" s="284">
        <v>27.027027027027</v>
      </c>
      <c r="C293" s="249"/>
    </row>
  </sheetData>
  <mergeCells count="335">
    <mergeCell ref="HC2:HC4"/>
    <mergeCell ref="HD21:HF21"/>
    <mergeCell ref="FW1:FY1"/>
    <mergeCell ref="D41:F41"/>
    <mergeCell ref="GX2:GX4"/>
    <mergeCell ref="GY2:GY4"/>
    <mergeCell ref="GZ2:GZ4"/>
    <mergeCell ref="HA2:HA4"/>
    <mergeCell ref="HB2:HB4"/>
    <mergeCell ref="GS2:GS4"/>
    <mergeCell ref="GT2:GT4"/>
    <mergeCell ref="GU2:GU4"/>
    <mergeCell ref="GV2:GV4"/>
    <mergeCell ref="GW2:GW4"/>
    <mergeCell ref="GN2:GN4"/>
    <mergeCell ref="GO2:GO4"/>
    <mergeCell ref="GP2:GP4"/>
    <mergeCell ref="GQ2:GQ4"/>
    <mergeCell ref="GR2:GR4"/>
    <mergeCell ref="GI2:GI4"/>
    <mergeCell ref="GJ2:GJ4"/>
    <mergeCell ref="GK2:GK4"/>
    <mergeCell ref="GL2:GL4"/>
    <mergeCell ref="GM2:GM4"/>
    <mergeCell ref="GD2:GD4"/>
    <mergeCell ref="GE2:GE4"/>
    <mergeCell ref="GF2:GF4"/>
    <mergeCell ref="GG2:GG4"/>
    <mergeCell ref="GH2:GH4"/>
    <mergeCell ref="FY2:FY4"/>
    <mergeCell ref="FZ2:FZ4"/>
    <mergeCell ref="GA2:GA4"/>
    <mergeCell ref="GB2:GB4"/>
    <mergeCell ref="GC2:GC4"/>
    <mergeCell ref="FT2:FT4"/>
    <mergeCell ref="FU2:FU4"/>
    <mergeCell ref="FV2:FV4"/>
    <mergeCell ref="FW2:FW4"/>
    <mergeCell ref="FX2:FX4"/>
    <mergeCell ref="FO2:FO4"/>
    <mergeCell ref="FP2:FP4"/>
    <mergeCell ref="FQ2:FQ4"/>
    <mergeCell ref="FR2:FR4"/>
    <mergeCell ref="FS2:FS4"/>
    <mergeCell ref="FJ2:FJ4"/>
    <mergeCell ref="FK2:FK4"/>
    <mergeCell ref="FL2:FL4"/>
    <mergeCell ref="FM2:FM4"/>
    <mergeCell ref="FN2:FN4"/>
    <mergeCell ref="FE2:FE4"/>
    <mergeCell ref="FF2:FF4"/>
    <mergeCell ref="FG2:FG4"/>
    <mergeCell ref="FH2:FH4"/>
    <mergeCell ref="FI2:FI4"/>
    <mergeCell ref="EZ2:EZ4"/>
    <mergeCell ref="FA2:FA4"/>
    <mergeCell ref="FB2:FB4"/>
    <mergeCell ref="FC2:FC4"/>
    <mergeCell ref="FD2:FD4"/>
    <mergeCell ref="EU2:EU4"/>
    <mergeCell ref="EV2:EV4"/>
    <mergeCell ref="EW2:EW4"/>
    <mergeCell ref="EX2:EX4"/>
    <mergeCell ref="EY2:EY4"/>
    <mergeCell ref="EP2:EP4"/>
    <mergeCell ref="EQ2:EQ4"/>
    <mergeCell ref="ER2:ER4"/>
    <mergeCell ref="ES2:ES4"/>
    <mergeCell ref="ET2:ET4"/>
    <mergeCell ref="EK2:EK4"/>
    <mergeCell ref="EL2:EL4"/>
    <mergeCell ref="EM2:EM4"/>
    <mergeCell ref="EN2:EN4"/>
    <mergeCell ref="EO2:EO4"/>
    <mergeCell ref="EF2:EF4"/>
    <mergeCell ref="EG2:EG4"/>
    <mergeCell ref="EH2:EH4"/>
    <mergeCell ref="EI2:EI4"/>
    <mergeCell ref="EJ2:EJ4"/>
    <mergeCell ref="EA2:EA4"/>
    <mergeCell ref="EB2:EB4"/>
    <mergeCell ref="EC2:EC4"/>
    <mergeCell ref="ED2:ED4"/>
    <mergeCell ref="EE2:EE4"/>
    <mergeCell ref="DV2:DV4"/>
    <mergeCell ref="DW2:DW4"/>
    <mergeCell ref="DX2:DX4"/>
    <mergeCell ref="DY2:DY4"/>
    <mergeCell ref="DZ2:DZ4"/>
    <mergeCell ref="DQ2:DQ4"/>
    <mergeCell ref="DR2:DR4"/>
    <mergeCell ref="DS2:DS4"/>
    <mergeCell ref="DT2:DT4"/>
    <mergeCell ref="DU2:DU4"/>
    <mergeCell ref="HA1:HC1"/>
    <mergeCell ref="HD1:HF1"/>
    <mergeCell ref="DC2:DC4"/>
    <mergeCell ref="DD2:DD4"/>
    <mergeCell ref="DE2:DE4"/>
    <mergeCell ref="DF2:DF4"/>
    <mergeCell ref="DG2:DG4"/>
    <mergeCell ref="DH2:DH4"/>
    <mergeCell ref="DI2:DI4"/>
    <mergeCell ref="DJ2:DJ4"/>
    <mergeCell ref="DK2:DK4"/>
    <mergeCell ref="DL2:DL4"/>
    <mergeCell ref="DM2:DM4"/>
    <mergeCell ref="DN2:DN4"/>
    <mergeCell ref="DO2:DO4"/>
    <mergeCell ref="DP2:DP4"/>
    <mergeCell ref="GL1:GN1"/>
    <mergeCell ref="GO1:GQ1"/>
    <mergeCell ref="GR1:GT1"/>
    <mergeCell ref="GU1:GW1"/>
    <mergeCell ref="GX1:GZ1"/>
    <mergeCell ref="FZ1:GB1"/>
    <mergeCell ref="GC1:GE1"/>
    <mergeCell ref="GF1:GH1"/>
    <mergeCell ref="GI1:GK1"/>
    <mergeCell ref="FH1:FJ1"/>
    <mergeCell ref="FK1:FM1"/>
    <mergeCell ref="FN1:FP1"/>
    <mergeCell ref="FQ1:FS1"/>
    <mergeCell ref="FT1:FV1"/>
    <mergeCell ref="ES1:EU1"/>
    <mergeCell ref="EV1:EX1"/>
    <mergeCell ref="EY1:FA1"/>
    <mergeCell ref="FB1:FD1"/>
    <mergeCell ref="FE1:FG1"/>
    <mergeCell ref="ED1:EF1"/>
    <mergeCell ref="EG1:EI1"/>
    <mergeCell ref="EJ1:EL1"/>
    <mergeCell ref="EM1:EO1"/>
    <mergeCell ref="EP1:ER1"/>
    <mergeCell ref="DO1:DQ1"/>
    <mergeCell ref="DR1:DT1"/>
    <mergeCell ref="DU1:DW1"/>
    <mergeCell ref="DX1:DZ1"/>
    <mergeCell ref="EA1:EC1"/>
    <mergeCell ref="CZ1:DB1"/>
    <mergeCell ref="DC1:DE1"/>
    <mergeCell ref="DF1:DH1"/>
    <mergeCell ref="DI1:DK1"/>
    <mergeCell ref="DL1:DN1"/>
    <mergeCell ref="CC35:CG38"/>
    <mergeCell ref="A281:C281"/>
    <mergeCell ref="CT1:CV1"/>
    <mergeCell ref="CW1:CY1"/>
    <mergeCell ref="CO19:CO21"/>
    <mergeCell ref="CP19:CP21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CB19:CB21"/>
    <mergeCell ref="CC19:CC21"/>
    <mergeCell ref="CD19:CD21"/>
    <mergeCell ref="CE19:CE21"/>
    <mergeCell ref="CF19:CF21"/>
    <mergeCell ref="CS2:CS4"/>
    <mergeCell ref="CB18:CD18"/>
    <mergeCell ref="CE18:CG18"/>
    <mergeCell ref="CK18:CM18"/>
    <mergeCell ref="CN18:CP18"/>
    <mergeCell ref="CQ18:CS18"/>
    <mergeCell ref="CK2:CK4"/>
    <mergeCell ref="CL2:CL4"/>
    <mergeCell ref="CM2:CM4"/>
    <mergeCell ref="CN2:CN4"/>
    <mergeCell ref="CO2:CO4"/>
    <mergeCell ref="CQ1:CS1"/>
    <mergeCell ref="BV2:BV4"/>
    <mergeCell ref="BW2:BW4"/>
    <mergeCell ref="BX2:BX4"/>
    <mergeCell ref="BY2:BY4"/>
    <mergeCell ref="BZ2:BZ4"/>
    <mergeCell ref="CA2:CA4"/>
    <mergeCell ref="CB2:CB4"/>
    <mergeCell ref="CC2:CC4"/>
    <mergeCell ref="CD2:CD4"/>
    <mergeCell ref="CE2:CE4"/>
    <mergeCell ref="CF2:CF4"/>
    <mergeCell ref="CG2:CG4"/>
    <mergeCell ref="CH2:CH4"/>
    <mergeCell ref="CI2:CI4"/>
    <mergeCell ref="CJ2:CJ4"/>
    <mergeCell ref="CB1:CD1"/>
    <mergeCell ref="CE1:CG1"/>
    <mergeCell ref="CH1:CJ1"/>
    <mergeCell ref="CK1:CM1"/>
    <mergeCell ref="CN1:CP1"/>
    <mergeCell ref="CP2:CP4"/>
    <mergeCell ref="CQ2:CQ4"/>
    <mergeCell ref="CR2:CR4"/>
    <mergeCell ref="BK40:BO43"/>
    <mergeCell ref="AF42:AH44"/>
    <mergeCell ref="BS1:BU1"/>
    <mergeCell ref="BV1:BX1"/>
    <mergeCell ref="BY1:CA1"/>
    <mergeCell ref="BL21:BL23"/>
    <mergeCell ref="BM21:BM23"/>
    <mergeCell ref="BN21:BN23"/>
    <mergeCell ref="BO21:BO23"/>
    <mergeCell ref="BR2:BR4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BM2:BM4"/>
    <mergeCell ref="BN2:BN4"/>
    <mergeCell ref="BO2:BO4"/>
    <mergeCell ref="BP2:BP4"/>
    <mergeCell ref="BQ2:BQ4"/>
    <mergeCell ref="BH2:BH4"/>
    <mergeCell ref="BF2:BF4"/>
    <mergeCell ref="BG2:BG4"/>
    <mergeCell ref="V23:X23"/>
    <mergeCell ref="Y23:AA23"/>
    <mergeCell ref="BD21:BD23"/>
    <mergeCell ref="BE21:BE23"/>
    <mergeCell ref="BF21:BF23"/>
    <mergeCell ref="BJ21:BJ23"/>
    <mergeCell ref="BK21:BK23"/>
    <mergeCell ref="AV21:AV23"/>
    <mergeCell ref="AW21:AW23"/>
    <mergeCell ref="BA21:BA23"/>
    <mergeCell ref="BB21:BB23"/>
    <mergeCell ref="BC21:BC23"/>
    <mergeCell ref="AN21:AN23"/>
    <mergeCell ref="AR21:AR23"/>
    <mergeCell ref="AS21:AS23"/>
    <mergeCell ref="AT21:AT23"/>
    <mergeCell ref="AU21:AU23"/>
    <mergeCell ref="AI21:AI23"/>
    <mergeCell ref="AJ21:AJ23"/>
    <mergeCell ref="AK21:AK23"/>
    <mergeCell ref="AL21:AL23"/>
    <mergeCell ref="AM21:AM23"/>
    <mergeCell ref="AP2:AP4"/>
    <mergeCell ref="AQ2:AQ4"/>
    <mergeCell ref="AR2:AR4"/>
    <mergeCell ref="BD1:BF1"/>
    <mergeCell ref="BG1:BI1"/>
    <mergeCell ref="BJ1:BL1"/>
    <mergeCell ref="BM1:BO1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BI2:BI4"/>
    <mergeCell ref="BJ2:BJ4"/>
    <mergeCell ref="BK2:BK4"/>
    <mergeCell ref="BL2:BL4"/>
    <mergeCell ref="BC2:BC4"/>
    <mergeCell ref="BD2:BD4"/>
    <mergeCell ref="BE2:BE4"/>
    <mergeCell ref="BP1:BR1"/>
    <mergeCell ref="AO1:AQ1"/>
    <mergeCell ref="AR1:AT1"/>
    <mergeCell ref="AU1:AW1"/>
    <mergeCell ref="AX1:AZ1"/>
    <mergeCell ref="BA1:BC1"/>
    <mergeCell ref="V1:X1"/>
    <mergeCell ref="Y1:AA1"/>
    <mergeCell ref="AB1:AB4"/>
    <mergeCell ref="AI1:AK1"/>
    <mergeCell ref="AL1:AN1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N2:AN4"/>
    <mergeCell ref="AO2:AO4"/>
    <mergeCell ref="M20:O20"/>
    <mergeCell ref="P20:R20"/>
    <mergeCell ref="M21:M23"/>
    <mergeCell ref="N21:N23"/>
    <mergeCell ref="O21:O23"/>
    <mergeCell ref="P21:P23"/>
    <mergeCell ref="Q21:Q23"/>
    <mergeCell ref="R21:R23"/>
    <mergeCell ref="O2:O4"/>
    <mergeCell ref="P2:P4"/>
    <mergeCell ref="Q2:Q4"/>
    <mergeCell ref="R2:R4"/>
    <mergeCell ref="A242:C242"/>
    <mergeCell ref="A254:C254"/>
    <mergeCell ref="A268:C268"/>
    <mergeCell ref="D1:F1"/>
    <mergeCell ref="G1:I1"/>
    <mergeCell ref="G2:G4"/>
    <mergeCell ref="H2:H4"/>
    <mergeCell ref="I2:I4"/>
    <mergeCell ref="D29:F29"/>
    <mergeCell ref="A50:C50"/>
    <mergeCell ref="A98:C98"/>
    <mergeCell ref="A132:C132"/>
    <mergeCell ref="A218:C218"/>
    <mergeCell ref="A230:C230"/>
    <mergeCell ref="A1:C1"/>
    <mergeCell ref="A14:C17"/>
    <mergeCell ref="A2:C2"/>
    <mergeCell ref="J1:L1"/>
    <mergeCell ref="M1:O1"/>
    <mergeCell ref="P1:R1"/>
    <mergeCell ref="S1:U1"/>
    <mergeCell ref="J2:J4"/>
    <mergeCell ref="K2:K4"/>
    <mergeCell ref="L2:L4"/>
    <mergeCell ref="M2:M4"/>
    <mergeCell ref="N2:N4"/>
    <mergeCell ref="T2:T4"/>
    <mergeCell ref="U2:U4"/>
    <mergeCell ref="S2:S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3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13" style="249" bestFit="1" customWidth="1"/>
    <col min="3" max="3" width="20.140625" style="249" bestFit="1" customWidth="1"/>
    <col min="4" max="4" width="10" style="249" bestFit="1" customWidth="1"/>
    <col min="5" max="5" width="13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13" style="289" bestFit="1" customWidth="1"/>
    <col min="12" max="12" width="17.140625" style="249" bestFit="1" customWidth="1"/>
    <col min="13" max="13" width="11" style="249" bestFit="1" customWidth="1"/>
    <col min="14" max="14" width="13" style="289" bestFit="1" customWidth="1"/>
    <col min="15" max="15" width="21.28515625" style="249" bestFit="1" customWidth="1"/>
    <col min="16" max="16" width="12.42578125" style="249" bestFit="1" customWidth="1"/>
    <col min="17" max="17" width="13" style="289" bestFit="1" customWidth="1"/>
    <col min="18" max="18" width="18.7109375" style="249" bestFit="1" customWidth="1"/>
    <col min="19" max="19" width="13.5703125" style="249" bestFit="1" customWidth="1"/>
    <col min="20" max="20" width="13" style="289" bestFit="1" customWidth="1"/>
    <col min="21" max="21" width="18.7109375" style="249" bestFit="1" customWidth="1"/>
    <col min="22" max="22" width="10" style="249" bestFit="1" customWidth="1"/>
    <col min="23" max="23" width="13" style="289" bestFit="1" customWidth="1"/>
    <col min="24" max="24" width="17.42578125" style="249" bestFit="1" customWidth="1"/>
    <col min="25" max="25" width="10" style="249" bestFit="1" customWidth="1"/>
    <col min="26" max="26" width="13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9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13" style="289" bestFit="1" customWidth="1"/>
    <col min="37" max="37" width="17.42578125" style="249" bestFit="1" customWidth="1"/>
    <col min="38" max="38" width="11" style="249" bestFit="1" customWidth="1"/>
    <col min="39" max="39" width="13" style="289" bestFit="1" customWidth="1"/>
    <col min="40" max="40" width="16.42578125" style="249" bestFit="1" customWidth="1"/>
    <col min="41" max="41" width="12.7109375" style="249" bestFit="1" customWidth="1"/>
    <col min="42" max="42" width="13" style="289" bestFit="1" customWidth="1"/>
    <col min="43" max="43" width="16.42578125" style="249" bestFit="1" customWidth="1"/>
    <col min="44" max="44" width="9.5703125" style="249" bestFit="1" customWidth="1"/>
    <col min="45" max="45" width="13" style="289" bestFit="1" customWidth="1"/>
    <col min="46" max="46" width="17.42578125" style="249" bestFit="1" customWidth="1"/>
    <col min="47" max="47" width="11" style="249" bestFit="1" customWidth="1"/>
    <col min="48" max="48" width="13" style="289" bestFit="1" customWidth="1"/>
    <col min="49" max="49" width="16.42578125" style="249" bestFit="1" customWidth="1"/>
    <col min="50" max="50" width="12.7109375" style="249" bestFit="1" customWidth="1"/>
    <col min="51" max="51" width="13" style="289" bestFit="1" customWidth="1"/>
    <col min="52" max="52" width="16.42578125" style="249" bestFit="1" customWidth="1"/>
    <col min="53" max="53" width="9.5703125" style="249" bestFit="1" customWidth="1"/>
    <col min="54" max="54" width="13" style="289" bestFit="1" customWidth="1"/>
    <col min="55" max="55" width="17.42578125" style="249" bestFit="1" customWidth="1"/>
    <col min="56" max="56" width="11" style="249" bestFit="1" customWidth="1"/>
    <col min="57" max="57" width="13" style="289" bestFit="1" customWidth="1"/>
    <col min="58" max="58" width="16.42578125" style="249" bestFit="1" customWidth="1"/>
    <col min="59" max="59" width="12.7109375" style="249" bestFit="1" customWidth="1"/>
    <col min="60" max="60" width="13" style="289" bestFit="1" customWidth="1"/>
    <col min="61" max="61" width="16.42578125" style="249" bestFit="1" customWidth="1"/>
    <col min="62" max="62" width="11" style="249" bestFit="1" customWidth="1"/>
    <col min="63" max="63" width="13" style="289" bestFit="1" customWidth="1"/>
    <col min="64" max="64" width="17.42578125" style="249" bestFit="1" customWidth="1"/>
    <col min="65" max="65" width="12.42578125" style="249" bestFit="1" customWidth="1"/>
    <col min="66" max="66" width="13" style="289" bestFit="1" customWidth="1"/>
    <col min="67" max="67" width="16.42578125" style="249" bestFit="1" customWidth="1"/>
    <col min="68" max="68" width="13.5703125" style="249" bestFit="1" customWidth="1"/>
    <col min="69" max="69" width="13" style="289" bestFit="1" customWidth="1"/>
    <col min="70" max="70" width="16.42578125" style="249" bestFit="1" customWidth="1"/>
    <col min="71" max="71" width="10" style="249" bestFit="1" customWidth="1"/>
    <col min="72" max="72" width="13" style="289" bestFit="1" customWidth="1"/>
    <col min="73" max="73" width="17.42578125" style="249" bestFit="1" customWidth="1"/>
    <col min="74" max="74" width="11.5703125" style="249" bestFit="1" customWidth="1"/>
    <col min="75" max="75" width="13" style="289" bestFit="1" customWidth="1"/>
    <col min="76" max="76" width="11.5703125" style="249" bestFit="1" customWidth="1"/>
    <col min="77" max="77" width="10.7109375" style="249" bestFit="1" customWidth="1"/>
    <col min="78" max="78" width="9.5703125" style="289" bestFit="1" customWidth="1"/>
    <col min="79" max="79" width="15" style="249" bestFit="1" customWidth="1"/>
    <col min="80" max="80" width="11" style="249" bestFit="1" customWidth="1"/>
    <col min="81" max="81" width="13" style="289" bestFit="1" customWidth="1"/>
    <col min="82" max="82" width="17.42578125" style="249" bestFit="1" customWidth="1"/>
    <col min="83" max="83" width="12.42578125" style="249" bestFit="1" customWidth="1"/>
    <col min="84" max="84" width="13" style="289" bestFit="1" customWidth="1"/>
    <col min="85" max="85" width="16.42578125" style="249" bestFit="1" customWidth="1"/>
    <col min="86" max="86" width="13.5703125" style="249" bestFit="1" customWidth="1"/>
    <col min="87" max="87" width="13" style="289" bestFit="1" customWidth="1"/>
    <col min="88" max="88" width="16.42578125" style="249" bestFit="1" customWidth="1"/>
    <col min="89" max="89" width="8.7109375" style="249" bestFit="1" customWidth="1"/>
    <col min="90" max="90" width="13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" style="249" bestFit="1" customWidth="1"/>
    <col min="98" max="98" width="14.5703125" style="249" bestFit="1" customWidth="1"/>
    <col min="99" max="99" width="13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13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8.85546875" style="289" bestFit="1" customWidth="1"/>
    <col min="115" max="115" width="5.5703125" style="249" bestFit="1" customWidth="1"/>
    <col min="116" max="116" width="12.42578125" style="249" bestFit="1" customWidth="1"/>
    <col min="117" max="117" width="8.8554687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13" style="289" bestFit="1" customWidth="1"/>
    <col min="124" max="124" width="10" style="249" bestFit="1" customWidth="1"/>
    <col min="125" max="125" width="9.85546875" style="249" bestFit="1" customWidth="1"/>
    <col min="126" max="126" width="8.85546875" style="289" bestFit="1" customWidth="1"/>
    <col min="127" max="127" width="6" style="249" bestFit="1" customWidth="1"/>
    <col min="128" max="128" width="12" style="249" bestFit="1" customWidth="1"/>
    <col min="129" max="129" width="8.85546875" style="289" bestFit="1" customWidth="1"/>
    <col min="130" max="130" width="5.5703125" style="249" bestFit="1" customWidth="1"/>
    <col min="131" max="131" width="12" style="249" bestFit="1" customWidth="1"/>
    <col min="132" max="132" width="8.8554687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8.85546875" style="289" bestFit="1" customWidth="1"/>
    <col min="142" max="142" width="6" style="249" bestFit="1" customWidth="1"/>
    <col min="143" max="143" width="12" style="249" bestFit="1" customWidth="1"/>
    <col min="144" max="144" width="8.85546875" style="289" bestFit="1" customWidth="1"/>
    <col min="145" max="145" width="5.5703125" style="249" bestFit="1" customWidth="1"/>
    <col min="146" max="146" width="12" style="249" bestFit="1" customWidth="1"/>
    <col min="147" max="147" width="8.85546875" style="289" bestFit="1" customWidth="1"/>
    <col min="148" max="148" width="5.57031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" style="249" bestFit="1" customWidth="1"/>
    <col min="158" max="158" width="8.5703125" style="249" bestFit="1" customWidth="1"/>
    <col min="159" max="159" width="9.28515625" style="289" bestFit="1" customWidth="1"/>
    <col min="160" max="160" width="5.5703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8.85546875" style="289" bestFit="1" customWidth="1"/>
    <col min="172" max="172" width="5.5703125" style="249" bestFit="1" customWidth="1"/>
    <col min="173" max="173" width="4.85546875" style="249" bestFit="1" customWidth="1"/>
    <col min="174" max="174" width="9.28515625" style="289" bestFit="1" customWidth="1"/>
    <col min="175" max="175" width="5.5703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57031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" style="249" bestFit="1" customWidth="1"/>
    <col min="188" max="188" width="12" style="249" bestFit="1" customWidth="1"/>
    <col min="189" max="189" width="9.28515625" style="289" bestFit="1" customWidth="1"/>
    <col min="190" max="190" width="5.5703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" style="249" bestFit="1" customWidth="1"/>
    <col min="203" max="203" width="12" style="249" bestFit="1" customWidth="1"/>
    <col min="204" max="204" width="9.28515625" style="289" bestFit="1" customWidth="1"/>
    <col min="205" max="205" width="5.57031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customHeight="1" thickTop="1" thickBot="1" x14ac:dyDescent="0.25">
      <c r="A1" s="691" t="s">
        <v>279</v>
      </c>
      <c r="B1" s="692"/>
      <c r="C1" s="693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4"/>
      <c r="P1" s="645" t="s">
        <v>512</v>
      </c>
      <c r="Q1" s="613"/>
      <c r="R1" s="614"/>
      <c r="S1" s="645" t="s">
        <v>513</v>
      </c>
      <c r="T1" s="613"/>
      <c r="U1" s="646"/>
      <c r="V1" s="631" t="s">
        <v>517</v>
      </c>
      <c r="W1" s="632"/>
      <c r="X1" s="697"/>
      <c r="Y1" s="633" t="s">
        <v>518</v>
      </c>
      <c r="Z1" s="632"/>
      <c r="AA1" s="634"/>
      <c r="AB1" s="698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703"/>
      <c r="CB1" s="409" t="s">
        <v>535</v>
      </c>
      <c r="CC1" s="407"/>
      <c r="CD1" s="414"/>
      <c r="CE1" s="406" t="s">
        <v>536</v>
      </c>
      <c r="CF1" s="407"/>
      <c r="CG1" s="414"/>
      <c r="CH1" s="406" t="s">
        <v>537</v>
      </c>
      <c r="CI1" s="407"/>
      <c r="CJ1" s="408"/>
      <c r="CK1" s="409" t="s">
        <v>538</v>
      </c>
      <c r="CL1" s="407"/>
      <c r="CM1" s="414"/>
      <c r="CN1" s="406" t="s">
        <v>538</v>
      </c>
      <c r="CO1" s="407"/>
      <c r="CP1" s="414"/>
      <c r="CQ1" s="406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1/((1/H10)+(1/H11)+(1/H12)+(1/H13))</f>
        <v>1.6198327006277477E-5</v>
      </c>
      <c r="I2" s="625" t="s">
        <v>304</v>
      </c>
      <c r="J2" s="619" t="s">
        <v>507</v>
      </c>
      <c r="K2" s="623">
        <f>1/((1/K14)+(1/K15)+(1/K16)+(1/K17))</f>
        <v>2.3291708935520915E-4</v>
      </c>
      <c r="L2" s="621" t="s">
        <v>303</v>
      </c>
      <c r="M2" s="617" t="s">
        <v>516</v>
      </c>
      <c r="N2" s="647">
        <f>((N5*N6*N7)/((1-EXP(-N7*N6))*N10*N15*(N9/365)*N13*(((N14/24)*N12)+((N16/24)*N11))))/N17</f>
        <v>5.1433117107701283E-4</v>
      </c>
      <c r="O2" s="689" t="s">
        <v>303</v>
      </c>
      <c r="P2" s="639" t="s">
        <v>516</v>
      </c>
      <c r="Q2" s="647">
        <f>((Q5*Q6*Q7)/((1-EXP(-Q7*Q6))*Q10*Q15*(Q9/365)*Q13*(((Q14/24)*Q12)+((Q16/24)*Q11))))/Q17</f>
        <v>2.7602952819028312E-3</v>
      </c>
      <c r="R2" s="637" t="s">
        <v>303</v>
      </c>
      <c r="S2" s="639" t="s">
        <v>516</v>
      </c>
      <c r="T2" s="647">
        <f>((T5*T6*T7)/((1-EXP(-T7*T6))*T10*T15*(T9/365)*T13*(((T14/24)*T12)+((T16/24)*T11))))/T17</f>
        <v>6.0653856852338516E-4</v>
      </c>
      <c r="U2" s="643" t="s">
        <v>303</v>
      </c>
      <c r="V2" s="55"/>
      <c r="W2" s="357"/>
      <c r="X2" s="56"/>
      <c r="Y2" s="57"/>
      <c r="Z2" s="357"/>
      <c r="AA2" s="58"/>
      <c r="AB2" s="699"/>
      <c r="AC2" s="660">
        <f>1/((1/AC32)+(1/AC33)+(1/AC34))</f>
        <v>7.7546964373512736E-4</v>
      </c>
      <c r="AD2" s="657">
        <f>1/((1/AD32)+(1/AD33)+(1/AD34))</f>
        <v>1.936656760711485E-3</v>
      </c>
      <c r="AE2" s="657">
        <f>1/((1/AE32)+(1/AE33)+(1/AE34))</f>
        <v>8.6163293748347516E-4</v>
      </c>
      <c r="AF2" s="657">
        <f>1/((1/AF32)+(1/AF33)+(1/AF34))</f>
        <v>0.18040887103614206</v>
      </c>
      <c r="AG2" s="654">
        <f>1/((1/AG32)+(1/AG33)+(1/AG34))</f>
        <v>0.32955179273510032</v>
      </c>
      <c r="AH2" s="701" t="s">
        <v>303</v>
      </c>
      <c r="AI2" s="381" t="s">
        <v>516</v>
      </c>
      <c r="AJ2" s="387">
        <f>((AJ5*AJ6*AJ7)/((1-EXP(-AJ7*AJ6))*AJ15*(AJ9/365)*AJ10*(AJ16/24)*AJ11*AJ13))/AJ17</f>
        <v>1.9462568922663191E-3</v>
      </c>
      <c r="AK2" s="629" t="s">
        <v>303</v>
      </c>
      <c r="AL2" s="383" t="s">
        <v>516</v>
      </c>
      <c r="AM2" s="387">
        <f>((AM5*AM6*AM7)/((1-EXP(-AM7*AM6))*AM15*(AM9/365)*AM10*(AM16/24)*AM11*AM13))/AM17</f>
        <v>1.0445106225710708E-2</v>
      </c>
      <c r="AN2" s="629" t="s">
        <v>303</v>
      </c>
      <c r="AO2" s="383" t="s">
        <v>516</v>
      </c>
      <c r="AP2" s="387">
        <f>((AP5*AP6*AP7)/((1-EXP(-AP7*AP6))*AP15*(AP9/365)*AP10*(AP16/24)*AP11*AP13))/AP17</f>
        <v>2.2951746574916949E-3</v>
      </c>
      <c r="AQ2" s="635" t="s">
        <v>303</v>
      </c>
      <c r="AR2" s="381" t="s">
        <v>516</v>
      </c>
      <c r="AS2" s="387">
        <f>((AS5*AS6*AS7)/((1-EXP(-AS7*AS6))*AS15*(AS9/365)*AS10*(AS14/24)*AS12*AS13))/AS17</f>
        <v>8.6500306322947486E-4</v>
      </c>
      <c r="AT2" s="391" t="s">
        <v>303</v>
      </c>
      <c r="AU2" s="383" t="s">
        <v>516</v>
      </c>
      <c r="AV2" s="387">
        <f>((AV5*AV6*AV7)/((1-EXP(-AV7*AV6))*AV15*(AV9/365)*AV10*(AV14/24)*AV12*AV13))/AV17</f>
        <v>4.6422694336492026E-3</v>
      </c>
      <c r="AW2" s="391" t="s">
        <v>303</v>
      </c>
      <c r="AX2" s="383" t="s">
        <v>516</v>
      </c>
      <c r="AY2" s="387">
        <f>((AY5*AY6*AY7)/((1-EXP(-AY7*AY6))*AY15*(AY9/365)*AY10*(AY14/24)*AY12*AY13))/AY17</f>
        <v>1.0200776255518643E-3</v>
      </c>
      <c r="AZ2" s="385" t="s">
        <v>303</v>
      </c>
      <c r="BA2" s="381" t="s">
        <v>516</v>
      </c>
      <c r="BB2" s="387">
        <f>((BB5*BB6*BB7)/((1-EXP(-BB7*BB6))*BB15*(BB9/365)*BB10*((BB14+BB16)/24)*BB12*BB13))/BB17</f>
        <v>7.7850275690652762E-4</v>
      </c>
      <c r="BC2" s="391" t="s">
        <v>303</v>
      </c>
      <c r="BD2" s="383" t="s">
        <v>516</v>
      </c>
      <c r="BE2" s="387">
        <f>((BE5*BE6*BE7)/((1-EXP(-BE7*BE6))*BE15*(BE9/365)*BE10*((BE14+BE16)/24)*BE12*BE13))/BE17</f>
        <v>4.1780424902842835E-3</v>
      </c>
      <c r="BF2" s="391" t="s">
        <v>303</v>
      </c>
      <c r="BG2" s="383" t="s">
        <v>516</v>
      </c>
      <c r="BH2" s="387">
        <f>((BH5*BH6*BH7)/((1-EXP(-BH7*BH6))*BH15*(BH9/365)*BH10*((BH14+BH16)/24)*BH12*BH13))/BH17</f>
        <v>9.1806986299667801E-4</v>
      </c>
      <c r="BI2" s="385" t="s">
        <v>303</v>
      </c>
      <c r="BJ2" s="381" t="s">
        <v>558</v>
      </c>
      <c r="BK2" s="389">
        <f>((BK5*BK6*BK7)/((1-EXP(-BK7*BK6))*BK12*BK16*(BK9/365)*BK14*(BK15/24)*BK13))/BK17</f>
        <v>0.37913582717847033</v>
      </c>
      <c r="BL2" s="391" t="s">
        <v>303</v>
      </c>
      <c r="BM2" s="383" t="s">
        <v>559</v>
      </c>
      <c r="BN2" s="389">
        <f>((BN5*BN6*BN7)/((1-EXP(-BN7*BN6))*BN12*BN16*(BN9/365)*BN14*(BN15/24)*BN13))/BN17</f>
        <v>5.5118027617404568</v>
      </c>
      <c r="BO2" s="391" t="s">
        <v>303</v>
      </c>
      <c r="BP2" s="383" t="s">
        <v>560</v>
      </c>
      <c r="BQ2" s="389">
        <f>((BQ5*BQ6*BQ7)/((1-EXP(-BQ7*BQ6))*BQ12*BQ16*(BQ9/365)*BQ14*(BQ15/24)*BQ13))/BQ17</f>
        <v>0.57888988108881767</v>
      </c>
      <c r="BR2" s="385" t="s">
        <v>303</v>
      </c>
      <c r="BS2" s="59"/>
      <c r="BT2" s="110"/>
      <c r="BU2" s="250"/>
      <c r="BV2" s="402" t="s">
        <v>563</v>
      </c>
      <c r="BW2" s="400">
        <f>1/((1/BW10)+(1/BW11))</f>
        <v>0.98609492047444647</v>
      </c>
      <c r="BX2" s="404" t="s">
        <v>304</v>
      </c>
      <c r="BY2" s="402" t="s">
        <v>563</v>
      </c>
      <c r="BZ2" s="400">
        <f>1/((1/BZ13)+(1/BZ14)+(1/BZ15))</f>
        <v>0.1076780283566587</v>
      </c>
      <c r="CA2" s="398" t="s">
        <v>303</v>
      </c>
      <c r="CB2" s="410" t="s">
        <v>558</v>
      </c>
      <c r="CC2" s="400">
        <f>((CC5*CC6*CC7)/((1-EXP(-CC7*CC6))*CC10*CC14*(CC9/365)*CC12*(CC13/24)*CC11))/CC15</f>
        <v>0.20330242542636834</v>
      </c>
      <c r="CD2" s="404" t="s">
        <v>303</v>
      </c>
      <c r="CE2" s="402" t="s">
        <v>559</v>
      </c>
      <c r="CF2" s="400">
        <f>((CF5*CF6*CF7)/((1-EXP(-CF7*CF6))*CF10*CF14*(CF9/365)*CF12*(CF13/24)*CF11))/CF15</f>
        <v>2.955571037094598</v>
      </c>
      <c r="CG2" s="404" t="s">
        <v>303</v>
      </c>
      <c r="CH2" s="402" t="s">
        <v>560</v>
      </c>
      <c r="CI2" s="400">
        <f>((CI5*CI6*CI7)/((1-EXP(-CI7*CI6))*CI10*CI14*(CI9/365)*CI12*(CI13/24)*CI11))/CI15</f>
        <v>0.31041570973649651</v>
      </c>
      <c r="CJ2" s="398" t="s">
        <v>303</v>
      </c>
      <c r="CK2" s="410" t="s">
        <v>510</v>
      </c>
      <c r="CL2" s="400">
        <f>(CL5/(CL6*CL7*CL8*CL9))/CL10</f>
        <v>3.6893562073418228E-2</v>
      </c>
      <c r="CM2" s="404" t="s">
        <v>303</v>
      </c>
      <c r="CN2" s="402" t="s">
        <v>7</v>
      </c>
      <c r="CO2" s="400" t="e">
        <f>(CL2/(CO5*((CO10*CO12*CO13*(CO6+CO7))+(CO11*CO12))))*CL13</f>
        <v>#DIV/0!</v>
      </c>
      <c r="CP2" s="412" t="s">
        <v>303</v>
      </c>
      <c r="CQ2" s="402" t="s">
        <v>6</v>
      </c>
      <c r="CR2" s="400" t="e">
        <f>CL2/(CR5*CR6*(1/CR7))</f>
        <v>#DIV/0!</v>
      </c>
      <c r="CS2" s="415" t="s">
        <v>304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>
        <f>((DD5)/(DD6*(DD7+DD10)*DD20))/DD23</f>
        <v>1.8782310151648952E-5</v>
      </c>
      <c r="DE2" s="672" t="s">
        <v>303</v>
      </c>
      <c r="DF2" s="670" t="s">
        <v>510</v>
      </c>
      <c r="DG2" s="668">
        <f>(DD2/((1/DG24)*(DG5+DG6+DG7)))</f>
        <v>1.4011754208724326E-3</v>
      </c>
      <c r="DH2" s="666" t="s">
        <v>304</v>
      </c>
      <c r="DI2" s="680" t="s">
        <v>510</v>
      </c>
      <c r="DJ2" s="668">
        <f>(DD2/(DJ5+DJ6))*CU11</f>
        <v>6.8945309917843773E-5</v>
      </c>
      <c r="DK2" s="666" t="s">
        <v>304</v>
      </c>
      <c r="DL2" s="680" t="s">
        <v>554</v>
      </c>
      <c r="DM2" s="668">
        <f>(DD2/(DM5+DM6))*((DM9*DD21)/(1-EXP(-DD21*DM9)))</f>
        <v>6.8945309917843773E-5</v>
      </c>
      <c r="DN2" s="666" t="s">
        <v>304</v>
      </c>
      <c r="DO2" s="680" t="s">
        <v>553</v>
      </c>
      <c r="DP2" s="668">
        <f>-(DP5+DP6+DP7)/(DP23+DP24)</f>
        <v>-48.781547491595369</v>
      </c>
      <c r="DQ2" s="678" t="s">
        <v>19</v>
      </c>
      <c r="DR2" s="556" t="s">
        <v>510</v>
      </c>
      <c r="DS2" s="460">
        <f>(DS5/(DS6*DS7*DS16))/DS20</f>
        <v>1.1917729387479611E-5</v>
      </c>
      <c r="DT2" s="466" t="s">
        <v>303</v>
      </c>
      <c r="DU2" s="464" t="s">
        <v>510</v>
      </c>
      <c r="DV2" s="462">
        <f>DS2/(DV5*(1/DV8)*DV6*(1/DV7))</f>
        <v>0.35112303401327233</v>
      </c>
      <c r="DW2" s="480" t="s">
        <v>304</v>
      </c>
      <c r="DX2" s="478" t="s">
        <v>510</v>
      </c>
      <c r="DY2" s="462">
        <f>(DS2/(DY9*(1/DY14)*((DY10*DY12*DY13*(DY5+DY6))+(DY11*DY12))))*CU11</f>
        <v>5.5985214393305567E-3</v>
      </c>
      <c r="DZ2" s="480" t="s">
        <v>304</v>
      </c>
      <c r="EA2" s="478" t="s">
        <v>554</v>
      </c>
      <c r="EB2" s="462">
        <f>(DS2/(EB9*(1/EB14)*((EB10*EB12*EB13*(EB5+EB6))+(EB11*EB12))))*((EB15*DS18)/(1-EXP(-DS18*EB15)))</f>
        <v>5.5985214393305567E-3</v>
      </c>
      <c r="EC2" s="480" t="s">
        <v>304</v>
      </c>
      <c r="ED2" s="478" t="s">
        <v>553</v>
      </c>
      <c r="EE2" s="462">
        <f>-EE15/((EE10*EE12*EE13*(EE5+EE6))+(EE11*EE12))</f>
        <v>-15.807288534561259</v>
      </c>
      <c r="EF2" s="476" t="s">
        <v>19</v>
      </c>
      <c r="EG2" s="474" t="s">
        <v>510</v>
      </c>
      <c r="EH2" s="472">
        <f>(EH5/(EH6*EH7*EH16))/EH20</f>
        <v>3.2665328455267433E-5</v>
      </c>
      <c r="EI2" s="470" t="s">
        <v>303</v>
      </c>
      <c r="EJ2" s="468" t="s">
        <v>510</v>
      </c>
      <c r="EK2" s="502">
        <f>EH2/(EK5*EK6*(1/EK7))</f>
        <v>0.36254526587422231</v>
      </c>
      <c r="EL2" s="500" t="s">
        <v>304</v>
      </c>
      <c r="EM2" s="504" t="s">
        <v>510</v>
      </c>
      <c r="EN2" s="502">
        <f>(EH2/(EN9*((EN10*EN12*EN13*(EN5+EN6))+(EN11*EN12))))*CU11</f>
        <v>5.3208922151487389E-3</v>
      </c>
      <c r="EO2" s="500" t="s">
        <v>303</v>
      </c>
      <c r="EP2" s="504" t="s">
        <v>554</v>
      </c>
      <c r="EQ2" s="502">
        <f>(EH2/(EQ9*((EQ10*EQ12*EQ13*(EQ5+EQ6))+(EQ11*EQ12))))*((EQ14*EH18)/(1-EXP(-EH18*EQ14)))</f>
        <v>5.3208922151487389E-3</v>
      </c>
      <c r="ER2" s="500" t="s">
        <v>304</v>
      </c>
      <c r="ES2" s="504" t="s">
        <v>553</v>
      </c>
      <c r="ET2" s="502">
        <f>-ET15/((ET10*ET12*ET13*(ET5+ET6))+(ET11*ET12))</f>
        <v>-14.550086614194845</v>
      </c>
      <c r="EU2" s="514" t="s">
        <v>19</v>
      </c>
      <c r="EV2" s="512" t="s">
        <v>510</v>
      </c>
      <c r="EW2" s="510">
        <f>(EW5/(EW6*EW7*EW16))/EW20</f>
        <v>1.0925947261872952E-4</v>
      </c>
      <c r="EX2" s="508" t="s">
        <v>303</v>
      </c>
      <c r="EY2" s="506" t="s">
        <v>510</v>
      </c>
      <c r="EZ2" s="494" t="e">
        <f>EW2/(EZ5*EZ6*(1/EZ7))</f>
        <v>#DIV/0!</v>
      </c>
      <c r="FA2" s="498" t="s">
        <v>304</v>
      </c>
      <c r="FB2" s="496" t="s">
        <v>510</v>
      </c>
      <c r="FC2" s="494" t="e">
        <f>(EW2/(FC9*((FC10*FC12*FC13*(FC5+FC6))+(FC11*FC12))))*CU11</f>
        <v>#DIV/0!</v>
      </c>
      <c r="FD2" s="498" t="s">
        <v>303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304</v>
      </c>
      <c r="FH2" s="496" t="s">
        <v>553</v>
      </c>
      <c r="FI2" s="494">
        <f>-FI15/((FI10*FI12*FI13*(FI5+FI6))+(FI11*FI12))</f>
        <v>-5.3050397877984095</v>
      </c>
      <c r="FJ2" s="492" t="s">
        <v>19</v>
      </c>
      <c r="FK2" s="490" t="s">
        <v>510</v>
      </c>
      <c r="FL2" s="488">
        <f>(FL5/(FL6*FL7*FL16))/FL20</f>
        <v>3.7506358265384973E-5</v>
      </c>
      <c r="FM2" s="486" t="s">
        <v>303</v>
      </c>
      <c r="FN2" s="484" t="s">
        <v>510</v>
      </c>
      <c r="FO2" s="430">
        <f>FL2/(FO5*(1/FO6))</f>
        <v>9.3765895663462436E-3</v>
      </c>
      <c r="FP2" s="428" t="s">
        <v>304</v>
      </c>
      <c r="FQ2" s="482" t="s">
        <v>510</v>
      </c>
      <c r="FR2" s="430">
        <f>((FL2*FR6)/FR5)*CU11</f>
        <v>9.4580488086332468E-6</v>
      </c>
      <c r="FS2" s="428" t="s">
        <v>303</v>
      </c>
      <c r="FT2" s="426" t="s">
        <v>554</v>
      </c>
      <c r="FU2" s="430">
        <f>((FL2*FU6)/FU5)*((FU7*FL18)/(1-EXP(-FL18*FU7)))</f>
        <v>9.4580488086332468E-6</v>
      </c>
      <c r="FV2" s="428" t="s">
        <v>304</v>
      </c>
      <c r="FW2" s="426" t="s">
        <v>553</v>
      </c>
      <c r="FX2" s="430">
        <f>-FX5/FX6</f>
        <v>-1E-3</v>
      </c>
      <c r="FY2" s="438" t="s">
        <v>19</v>
      </c>
      <c r="FZ2" s="436" t="s">
        <v>510</v>
      </c>
      <c r="GA2" s="434">
        <f>(GA5/(GA6*GA7*GA16))/GA20</f>
        <v>5.4580415782691408E-5</v>
      </c>
      <c r="GB2" s="432" t="s">
        <v>303</v>
      </c>
      <c r="GC2" s="458" t="s">
        <v>510</v>
      </c>
      <c r="GD2" s="417" t="e">
        <f>(GA2/(GD5*GD6*(1/GD7)))</f>
        <v>#DIV/0!</v>
      </c>
      <c r="GE2" s="421" t="s">
        <v>304</v>
      </c>
      <c r="GF2" s="419" t="s">
        <v>510</v>
      </c>
      <c r="GG2" s="417" t="e">
        <f>(GA2/((GG9)*((GG10*GG12*GG13*(GG5+GG6))+(GG11*GG12))))*CU11</f>
        <v>#DIV/0!</v>
      </c>
      <c r="GH2" s="421" t="s">
        <v>303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304</v>
      </c>
      <c r="GL2" s="419" t="s">
        <v>553</v>
      </c>
      <c r="GM2" s="417">
        <f>-GM15/((GM10*GM12*GM13*(GM5+GM6))+(GM11*GM12))</f>
        <v>-5.3050397877984095</v>
      </c>
      <c r="GN2" s="456" t="s">
        <v>19</v>
      </c>
      <c r="GO2" s="454" t="s">
        <v>510</v>
      </c>
      <c r="GP2" s="452">
        <f>(GP5/(GP6*GP7*GP15))/GP19</f>
        <v>5.9759810977327537E-5</v>
      </c>
      <c r="GQ2" s="450" t="s">
        <v>303</v>
      </c>
      <c r="GR2" s="448" t="s">
        <v>510</v>
      </c>
      <c r="GS2" s="442" t="e">
        <f>GP2/(GS5*GS6*(1/GS7))</f>
        <v>#DIV/0!</v>
      </c>
      <c r="GT2" s="446" t="s">
        <v>304</v>
      </c>
      <c r="GU2" s="444" t="s">
        <v>510</v>
      </c>
      <c r="GV2" s="442" t="e">
        <f>(GP2/((GV9)*((GV10*GV12*GV13*(GV5+GV6))+(GV11*GV12))))*CU11</f>
        <v>#DIV/0!</v>
      </c>
      <c r="GW2" s="446" t="s">
        <v>303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304</v>
      </c>
      <c r="HA2" s="444" t="s">
        <v>553</v>
      </c>
      <c r="HB2" s="442">
        <f>-HB15/((HB10*HB12*HB13*(HB5+HB6))+(HB11*HB12))</f>
        <v>-7.0158163579297179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54">
        <v>0.124</v>
      </c>
      <c r="C3" s="240"/>
      <c r="D3" s="317" t="s">
        <v>15</v>
      </c>
      <c r="E3" s="285">
        <f>1/((1/E20)+(1/E21))</f>
        <v>8.1401263264531671E-6</v>
      </c>
      <c r="F3" s="253" t="s">
        <v>302</v>
      </c>
      <c r="G3" s="627"/>
      <c r="H3" s="623"/>
      <c r="I3" s="625"/>
      <c r="J3" s="619"/>
      <c r="K3" s="623"/>
      <c r="L3" s="621"/>
      <c r="M3" s="617"/>
      <c r="N3" s="647"/>
      <c r="O3" s="689"/>
      <c r="P3" s="639"/>
      <c r="Q3" s="647"/>
      <c r="R3" s="637"/>
      <c r="S3" s="639"/>
      <c r="T3" s="647"/>
      <c r="U3" s="643"/>
      <c r="V3" s="319" t="s">
        <v>16</v>
      </c>
      <c r="W3" s="358">
        <f>1/((1/W18)+(1/W19))</f>
        <v>1.1712960467543671E-5</v>
      </c>
      <c r="X3" s="254" t="s">
        <v>302</v>
      </c>
      <c r="Y3" s="321" t="s">
        <v>16</v>
      </c>
      <c r="Z3" s="358">
        <f>1/((1/Z18)+(1/Z19))</f>
        <v>1.05416644207893E-5</v>
      </c>
      <c r="AA3" s="255" t="s">
        <v>302</v>
      </c>
      <c r="AB3" s="699"/>
      <c r="AC3" s="661"/>
      <c r="AD3" s="658"/>
      <c r="AE3" s="658"/>
      <c r="AF3" s="658"/>
      <c r="AG3" s="655"/>
      <c r="AH3" s="701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9.1169414856275466E-4</v>
      </c>
      <c r="BU3" s="250" t="s">
        <v>302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 t="e">
        <f>1/((1/CU14)+(1/CU15)+(1/CU16)+(1/CU17)+(1/CU18)+(1/CU19)+(1/CU20)+(1/CU21)+(1/CU22)+(1/CU23))</f>
        <v>#DIV/0!</v>
      </c>
      <c r="CV3" s="71" t="s">
        <v>303</v>
      </c>
      <c r="CW3" s="326" t="s">
        <v>15</v>
      </c>
      <c r="CX3" s="117">
        <f>1/((1/CX20)+(1/CX21))</f>
        <v>5.0600879078294158E-6</v>
      </c>
      <c r="CY3" s="256" t="s">
        <v>302</v>
      </c>
      <c r="CZ3" s="338" t="s">
        <v>285</v>
      </c>
      <c r="DA3" s="336" t="e">
        <f>1/((1/DA13)+(1/DA15)+(1/DA16)+(1/DA17)+(1/DA18)+(1/DA19)+(1/DA20)+(1/DA21)+(1/DA22))</f>
        <v>#DIV/0!</v>
      </c>
      <c r="DB3" s="72" t="s">
        <v>303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2.232525680890138E-4</v>
      </c>
      <c r="HF3" s="252" t="s">
        <v>303</v>
      </c>
    </row>
    <row r="4" spans="1:214" ht="13.5" customHeight="1" thickBot="1" x14ac:dyDescent="0.25">
      <c r="A4" s="279" t="s">
        <v>457</v>
      </c>
      <c r="B4" s="70">
        <v>0.79200000000000004</v>
      </c>
      <c r="C4" s="241"/>
      <c r="D4" s="318" t="s">
        <v>16</v>
      </c>
      <c r="E4" s="286">
        <f>1/((1/E22)+(1/E23))</f>
        <v>8.1860463497547406E-6</v>
      </c>
      <c r="F4" s="257" t="s">
        <v>302</v>
      </c>
      <c r="G4" s="628"/>
      <c r="H4" s="624"/>
      <c r="I4" s="626"/>
      <c r="J4" s="620"/>
      <c r="K4" s="624"/>
      <c r="L4" s="622"/>
      <c r="M4" s="618"/>
      <c r="N4" s="648"/>
      <c r="O4" s="690"/>
      <c r="P4" s="640"/>
      <c r="Q4" s="648"/>
      <c r="R4" s="638"/>
      <c r="S4" s="640"/>
      <c r="T4" s="648"/>
      <c r="U4" s="644"/>
      <c r="V4" s="320" t="s">
        <v>15</v>
      </c>
      <c r="W4" s="359">
        <f>1/((1/W16)+(1/W17))</f>
        <v>1.1649774036679248E-5</v>
      </c>
      <c r="X4" s="258" t="s">
        <v>302</v>
      </c>
      <c r="Y4" s="322" t="s">
        <v>15</v>
      </c>
      <c r="Z4" s="359">
        <f>1/((1/Z16)+(1/Z17))</f>
        <v>1.0484796633011327E-5</v>
      </c>
      <c r="AA4" s="259" t="s">
        <v>302</v>
      </c>
      <c r="AB4" s="700"/>
      <c r="AC4" s="662"/>
      <c r="AD4" s="659"/>
      <c r="AE4" s="659"/>
      <c r="AF4" s="659"/>
      <c r="AG4" s="656"/>
      <c r="AH4" s="702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9.1683719117253103E-4</v>
      </c>
      <c r="BU4" s="260" t="s">
        <v>302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1/((1/CU14)+(1/CU15)+(1/CU16)+(1/CU17))</f>
        <v>4.9185984110247094E-5</v>
      </c>
      <c r="CV4" s="73" t="s">
        <v>303</v>
      </c>
      <c r="CW4" s="327" t="s">
        <v>16</v>
      </c>
      <c r="CX4" s="106">
        <f>1/((1/CX22)+(1/CX23))</f>
        <v>5.1040474865185394E-6</v>
      </c>
      <c r="CY4" s="261" t="s">
        <v>302</v>
      </c>
      <c r="CZ4" s="339" t="s">
        <v>11</v>
      </c>
      <c r="DA4" s="337">
        <f>1/((1/DA15)+(1/DA16)+(1/DA13))</f>
        <v>9.614254848334527E-4</v>
      </c>
      <c r="DB4" s="74" t="s">
        <v>303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1.9547645873399842E-8</v>
      </c>
      <c r="HF4" s="75" t="s">
        <v>303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0.52543733718458041</v>
      </c>
      <c r="DH5" s="249" t="s">
        <v>19</v>
      </c>
      <c r="DI5" s="262" t="s">
        <v>20</v>
      </c>
      <c r="DJ5" s="305">
        <f>DJ7</f>
        <v>1.4789999999999999E-2</v>
      </c>
      <c r="DK5" s="262"/>
      <c r="DL5" s="262" t="s">
        <v>20</v>
      </c>
      <c r="DM5" s="305">
        <f>DM7</f>
        <v>1.4789999999999999E-2</v>
      </c>
      <c r="DO5" s="249" t="s">
        <v>18</v>
      </c>
      <c r="DP5" s="118">
        <f>(DP8*DP9*DP10*((1-EXP(-DP11*DP12))))/(DP13*DP11)</f>
        <v>0.52543733718458041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3.8000000000000002E-4</v>
      </c>
      <c r="DW5" s="262"/>
      <c r="DX5" s="262" t="s">
        <v>21</v>
      </c>
      <c r="DY5" s="305">
        <f>DY7</f>
        <v>1.7000000000000001E-2</v>
      </c>
      <c r="DZ5" s="262"/>
      <c r="EA5" s="262" t="s">
        <v>21</v>
      </c>
      <c r="EB5" s="305">
        <f>EB7</f>
        <v>1.7000000000000001E-2</v>
      </c>
      <c r="EC5" s="263"/>
      <c r="ED5" s="262" t="s">
        <v>21</v>
      </c>
      <c r="EE5" s="305">
        <f>EE7</f>
        <v>1.7000000000000001E-2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1.6999999999999999E-3</v>
      </c>
      <c r="EL5" s="262"/>
      <c r="EM5" s="262" t="s">
        <v>21</v>
      </c>
      <c r="EN5" s="305">
        <f>EN7</f>
        <v>1.7000000000000001E-2</v>
      </c>
      <c r="EO5" s="262"/>
      <c r="EP5" s="262" t="s">
        <v>21</v>
      </c>
      <c r="EQ5" s="305">
        <f>EQ7</f>
        <v>1.7000000000000001E-2</v>
      </c>
      <c r="ER5" s="263"/>
      <c r="ES5" s="262" t="s">
        <v>21</v>
      </c>
      <c r="ET5" s="305">
        <f>ET7</f>
        <v>1.7000000000000001E-2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1.7000000000000001E-2</v>
      </c>
      <c r="FD5" s="262"/>
      <c r="FE5" s="262" t="s">
        <v>21</v>
      </c>
      <c r="FF5" s="305">
        <f>FF7</f>
        <v>1.7000000000000001E-2</v>
      </c>
      <c r="FG5" s="263"/>
      <c r="FH5" s="263" t="s">
        <v>21</v>
      </c>
      <c r="FI5" s="290">
        <f>FI7</f>
        <v>1.7000000000000001E-2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4</v>
      </c>
      <c r="FP5" s="263"/>
      <c r="FQ5" s="263" t="s">
        <v>122</v>
      </c>
      <c r="FR5" s="298">
        <f>B36</f>
        <v>4</v>
      </c>
      <c r="FS5" s="263"/>
      <c r="FT5" s="263" t="s">
        <v>122</v>
      </c>
      <c r="FU5" s="298">
        <f>B36</f>
        <v>4</v>
      </c>
      <c r="FV5" s="263"/>
      <c r="FW5" s="262" t="s">
        <v>181</v>
      </c>
      <c r="FX5" s="305">
        <f>B46</f>
        <v>1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1.7000000000000001E-2</v>
      </c>
      <c r="GH5" s="262"/>
      <c r="GI5" s="262" t="s">
        <v>21</v>
      </c>
      <c r="GJ5" s="305">
        <f>GJ7</f>
        <v>1.7000000000000001E-2</v>
      </c>
      <c r="GK5" s="262"/>
      <c r="GL5" s="262" t="s">
        <v>21</v>
      </c>
      <c r="GM5" s="305">
        <f>GM7</f>
        <v>1.7000000000000001E-2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1.7000000000000001E-2</v>
      </c>
      <c r="GW5" s="262"/>
      <c r="GX5" s="262" t="s">
        <v>21</v>
      </c>
      <c r="GY5" s="305">
        <f>GY7</f>
        <v>1.7000000000000001E-2</v>
      </c>
      <c r="GZ5" s="262"/>
      <c r="HA5" s="262" t="s">
        <v>21</v>
      </c>
      <c r="HB5" s="305">
        <f>HB7</f>
        <v>1.7000000000000001E-2</v>
      </c>
      <c r="HC5" s="263"/>
      <c r="HD5" s="265" t="s">
        <v>22</v>
      </c>
      <c r="HE5" s="305">
        <f>B47</f>
        <v>0.185000185000185</v>
      </c>
      <c r="HF5" s="262" t="s">
        <v>304</v>
      </c>
    </row>
    <row r="6" spans="1:214" ht="13.5" thickTop="1" x14ac:dyDescent="0.2">
      <c r="A6" s="278" t="s">
        <v>454</v>
      </c>
      <c r="B6" s="54">
        <v>5.8099999999999999E-2</v>
      </c>
      <c r="C6" s="240"/>
      <c r="D6" s="262" t="s">
        <v>23</v>
      </c>
      <c r="E6" s="288">
        <f>0.693/E7</f>
        <v>4.3312499999999997E-4</v>
      </c>
      <c r="G6" s="262" t="s">
        <v>439</v>
      </c>
      <c r="H6" s="287">
        <f>B20</f>
        <v>3.8480000000000001E-10</v>
      </c>
      <c r="I6" s="262" t="s">
        <v>35</v>
      </c>
      <c r="J6" s="262" t="s">
        <v>316</v>
      </c>
      <c r="K6" s="287">
        <f>B21</f>
        <v>6.7709999999999997E-10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4.3312499999999997E-4</v>
      </c>
      <c r="Y6" s="262" t="s">
        <v>23</v>
      </c>
      <c r="Z6" s="288">
        <f>0.693/Z7</f>
        <v>4.3312499999999997E-4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BK12</f>
        <v>1</v>
      </c>
      <c r="BR6" s="249" t="s">
        <v>69</v>
      </c>
      <c r="BS6" s="262" t="s">
        <v>23</v>
      </c>
      <c r="BT6" s="288">
        <f>0.693/BT7</f>
        <v>4.3312499999999997E-4</v>
      </c>
      <c r="BV6" s="262" t="s">
        <v>163</v>
      </c>
      <c r="BW6" s="287">
        <f>B20</f>
        <v>3.8480000000000001E-10</v>
      </c>
      <c r="BX6" s="262" t="s">
        <v>35</v>
      </c>
      <c r="BY6" s="262" t="s">
        <v>45</v>
      </c>
      <c r="BZ6" s="287">
        <f>B21</f>
        <v>6.7709999999999997E-10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5.1429999999999997E-10</v>
      </c>
      <c r="CM6" s="266" t="s">
        <v>13</v>
      </c>
      <c r="CN6" s="263" t="s">
        <v>21</v>
      </c>
      <c r="CO6" s="290">
        <f>CO8</f>
        <v>1.7000000000000001E-2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6.7709999999999997E-10</v>
      </c>
      <c r="CV6" s="262" t="s">
        <v>35</v>
      </c>
      <c r="CW6" s="262" t="s">
        <v>23</v>
      </c>
      <c r="CX6" s="288">
        <f>0.693/CX7</f>
        <v>4.3312499999999997E-4</v>
      </c>
      <c r="CZ6" s="262" t="s">
        <v>163</v>
      </c>
      <c r="DA6" s="287">
        <f>B20</f>
        <v>3.8480000000000001E-10</v>
      </c>
      <c r="DB6" s="262" t="s">
        <v>35</v>
      </c>
      <c r="DC6" s="262" t="s">
        <v>438</v>
      </c>
      <c r="DD6" s="287">
        <f>B30</f>
        <v>5.1429999999999997E-10</v>
      </c>
      <c r="DE6" s="267" t="s">
        <v>35</v>
      </c>
      <c r="DF6" s="249" t="s">
        <v>27</v>
      </c>
      <c r="DG6" s="118">
        <f>(DG8*DG9*DG14*((1-EXP(-DG11*DG12))))/(DG13*DG11)</f>
        <v>9.2368970701819411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9.2368970701819411</v>
      </c>
      <c r="DQ6" s="249" t="s">
        <v>19</v>
      </c>
      <c r="DR6" s="262" t="s">
        <v>438</v>
      </c>
      <c r="DS6" s="287">
        <f>B30</f>
        <v>5.1429999999999997E-10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5.1429999999999997E-10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5.1429999999999997E-10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5.1429999999999997E-10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1</v>
      </c>
      <c r="FS6" s="249" t="s">
        <v>19</v>
      </c>
      <c r="FT6" s="262" t="s">
        <v>181</v>
      </c>
      <c r="FU6" s="305">
        <f>B46</f>
        <v>1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5.1429999999999997E-10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5.1429999999999997E-10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1.6198327006277477E-5</v>
      </c>
      <c r="HF6" s="262" t="s">
        <v>304</v>
      </c>
    </row>
    <row r="7" spans="1:214" x14ac:dyDescent="0.2">
      <c r="A7" s="279" t="s">
        <v>455</v>
      </c>
      <c r="B7" s="70">
        <v>0.624</v>
      </c>
      <c r="C7" s="241"/>
      <c r="D7" s="266" t="s">
        <v>270</v>
      </c>
      <c r="E7" s="287">
        <f>B31</f>
        <v>1600</v>
      </c>
      <c r="F7" s="249" t="s">
        <v>69</v>
      </c>
      <c r="G7" s="262" t="s">
        <v>43</v>
      </c>
      <c r="H7" s="290">
        <f>B19</f>
        <v>2.8231E-8</v>
      </c>
      <c r="I7" s="263" t="s">
        <v>35</v>
      </c>
      <c r="J7" s="262" t="s">
        <v>43</v>
      </c>
      <c r="K7" s="290">
        <f>B19</f>
        <v>2.8231E-8</v>
      </c>
      <c r="L7" s="263" t="s">
        <v>35</v>
      </c>
      <c r="M7" s="262" t="s">
        <v>23</v>
      </c>
      <c r="N7" s="288">
        <f>0.693/N8</f>
        <v>4.3312499999999997E-4</v>
      </c>
      <c r="P7" s="262" t="s">
        <v>23</v>
      </c>
      <c r="Q7" s="288">
        <f>0.693/Q8</f>
        <v>4.3312499999999997E-4</v>
      </c>
      <c r="S7" s="262" t="s">
        <v>23</v>
      </c>
      <c r="T7" s="288">
        <f>0.693/T8</f>
        <v>4.3312499999999997E-4</v>
      </c>
      <c r="V7" s="266" t="s">
        <v>270</v>
      </c>
      <c r="W7" s="287">
        <f>B31</f>
        <v>1600</v>
      </c>
      <c r="X7" s="249" t="s">
        <v>69</v>
      </c>
      <c r="Y7" s="266" t="s">
        <v>270</v>
      </c>
      <c r="Z7" s="287">
        <f>B31</f>
        <v>1600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4.3312499999999997E-4</v>
      </c>
      <c r="AL7" s="262" t="s">
        <v>23</v>
      </c>
      <c r="AM7" s="288">
        <f>0.693/AM8</f>
        <v>4.3312499999999997E-4</v>
      </c>
      <c r="AO7" s="262" t="s">
        <v>23</v>
      </c>
      <c r="AP7" s="288">
        <f>0.693/AP8</f>
        <v>4.3312499999999997E-4</v>
      </c>
      <c r="AR7" s="262" t="s">
        <v>23</v>
      </c>
      <c r="AS7" s="288">
        <f>0.693/AS8</f>
        <v>4.3312499999999997E-4</v>
      </c>
      <c r="AU7" s="262" t="s">
        <v>23</v>
      </c>
      <c r="AV7" s="288">
        <f>0.693/AV8</f>
        <v>4.3312499999999997E-4</v>
      </c>
      <c r="AX7" s="262" t="s">
        <v>23</v>
      </c>
      <c r="AY7" s="288">
        <f>0.693/AY8</f>
        <v>4.3312499999999997E-4</v>
      </c>
      <c r="BA7" s="262" t="s">
        <v>23</v>
      </c>
      <c r="BB7" s="288">
        <f>0.693/BB8</f>
        <v>4.3312499999999997E-4</v>
      </c>
      <c r="BD7" s="262" t="s">
        <v>23</v>
      </c>
      <c r="BE7" s="288">
        <f>0.693/BE8</f>
        <v>4.3312499999999997E-4</v>
      </c>
      <c r="BG7" s="262" t="s">
        <v>23</v>
      </c>
      <c r="BH7" s="288">
        <f>0.693/BH8</f>
        <v>4.3312499999999997E-4</v>
      </c>
      <c r="BJ7" s="262" t="s">
        <v>23</v>
      </c>
      <c r="BK7" s="288">
        <f>0.693/BK8</f>
        <v>4.3312499999999997E-4</v>
      </c>
      <c r="BM7" s="262" t="s">
        <v>23</v>
      </c>
      <c r="BN7" s="288">
        <f>0.693/BN8</f>
        <v>4.3312499999999997E-4</v>
      </c>
      <c r="BP7" s="262" t="s">
        <v>23</v>
      </c>
      <c r="BQ7" s="288">
        <f>0.693/BQ8</f>
        <v>4.3312499999999997E-4</v>
      </c>
      <c r="BS7" s="266" t="s">
        <v>270</v>
      </c>
      <c r="BT7" s="287">
        <f>B31</f>
        <v>1600</v>
      </c>
      <c r="BU7" s="249" t="s">
        <v>69</v>
      </c>
      <c r="BV7" s="262" t="s">
        <v>43</v>
      </c>
      <c r="BW7" s="290">
        <f>E10</f>
        <v>2.8231E-8</v>
      </c>
      <c r="BX7" s="263" t="s">
        <v>35</v>
      </c>
      <c r="BY7" s="262" t="s">
        <v>43</v>
      </c>
      <c r="BZ7" s="290">
        <f>B19</f>
        <v>2.8231E-8</v>
      </c>
      <c r="CA7" s="263" t="s">
        <v>35</v>
      </c>
      <c r="CB7" s="262" t="s">
        <v>23</v>
      </c>
      <c r="CC7" s="288">
        <f>0.693/CC8</f>
        <v>4.3312499999999997E-4</v>
      </c>
      <c r="CE7" s="262" t="s">
        <v>23</v>
      </c>
      <c r="CF7" s="288">
        <f>0.693/CF8</f>
        <v>4.3312499999999997E-4</v>
      </c>
      <c r="CH7" s="262" t="s">
        <v>23</v>
      </c>
      <c r="CI7" s="288">
        <f>0.693/CI8</f>
        <v>4.3312499999999997E-4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2.8231E-8</v>
      </c>
      <c r="CV7" s="263" t="s">
        <v>35</v>
      </c>
      <c r="CW7" s="266" t="s">
        <v>270</v>
      </c>
      <c r="CX7" s="287">
        <f>B31</f>
        <v>1600</v>
      </c>
      <c r="CY7" s="249" t="s">
        <v>69</v>
      </c>
      <c r="CZ7" s="263" t="s">
        <v>43</v>
      </c>
      <c r="DA7" s="290">
        <f>B19</f>
        <v>2.8231E-8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3.6423470278489711</v>
      </c>
      <c r="DH7" s="249" t="s">
        <v>19</v>
      </c>
      <c r="DI7" s="262" t="s">
        <v>37</v>
      </c>
      <c r="DJ7" s="287">
        <f>B44</f>
        <v>1.4789999999999999E-2</v>
      </c>
      <c r="DL7" s="262" t="s">
        <v>37</v>
      </c>
      <c r="DM7" s="287">
        <f>B44</f>
        <v>1.4789999999999999E-2</v>
      </c>
      <c r="DO7" s="249" t="s">
        <v>36</v>
      </c>
      <c r="DP7" s="118">
        <f>(DP8*DP9*DP15*DP21*((1-EXP(-DP16*DP17))))/(DP18*DP16)</f>
        <v>3.6423470278489711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1.7000000000000001E-2</v>
      </c>
      <c r="EA7" s="262" t="s">
        <v>38</v>
      </c>
      <c r="EB7" s="287">
        <f>B45</f>
        <v>1.7000000000000001E-2</v>
      </c>
      <c r="EC7" s="263"/>
      <c r="ED7" s="262" t="s">
        <v>38</v>
      </c>
      <c r="EE7" s="287">
        <f>B45</f>
        <v>1.7000000000000001E-2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1.7000000000000001E-2</v>
      </c>
      <c r="EP7" s="262" t="s">
        <v>38</v>
      </c>
      <c r="EQ7" s="287">
        <f>B45</f>
        <v>1.7000000000000001E-2</v>
      </c>
      <c r="ER7" s="263"/>
      <c r="ES7" s="262" t="s">
        <v>38</v>
      </c>
      <c r="ET7" s="287">
        <f>B45</f>
        <v>1.7000000000000001E-2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1.7000000000000001E-2</v>
      </c>
      <c r="FD7" s="262"/>
      <c r="FE7" s="262" t="s">
        <v>38</v>
      </c>
      <c r="FF7" s="305">
        <f>B45</f>
        <v>1.7000000000000001E-2</v>
      </c>
      <c r="FG7" s="263"/>
      <c r="FH7" s="263" t="s">
        <v>38</v>
      </c>
      <c r="FI7" s="290">
        <f>B45</f>
        <v>1.7000000000000001E-2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1.7000000000000001E-2</v>
      </c>
      <c r="GH7" s="262"/>
      <c r="GI7" s="262" t="s">
        <v>38</v>
      </c>
      <c r="GJ7" s="305">
        <f>B45</f>
        <v>1.7000000000000001E-2</v>
      </c>
      <c r="GK7" s="262"/>
      <c r="GL7" s="262" t="s">
        <v>38</v>
      </c>
      <c r="GM7" s="305">
        <f>B45</f>
        <v>1.7000000000000001E-2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1.7000000000000001E-2</v>
      </c>
      <c r="GW7" s="262"/>
      <c r="GX7" s="262" t="s">
        <v>38</v>
      </c>
      <c r="GY7" s="305">
        <f>B45</f>
        <v>1.7000000000000001E-2</v>
      </c>
      <c r="GZ7" s="262"/>
      <c r="HA7" s="262" t="s">
        <v>38</v>
      </c>
      <c r="HB7" s="305">
        <f>B45</f>
        <v>1.7000000000000001E-2</v>
      </c>
      <c r="HC7" s="263"/>
      <c r="HD7" s="262" t="s">
        <v>23</v>
      </c>
      <c r="HE7" s="288">
        <f>0.693/HE8</f>
        <v>4.3312499999999997E-4</v>
      </c>
    </row>
    <row r="8" spans="1:214" x14ac:dyDescent="0.2">
      <c r="A8" s="279" t="s">
        <v>458</v>
      </c>
      <c r="B8" s="70">
        <v>6.8599999999999994E-2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1.6813889280000001E-11</v>
      </c>
      <c r="I8" s="263" t="s">
        <v>35</v>
      </c>
      <c r="J8" s="262" t="s">
        <v>71</v>
      </c>
      <c r="K8" s="287">
        <f>B23</f>
        <v>8.3719157040000005E-6</v>
      </c>
      <c r="L8" s="262" t="s">
        <v>445</v>
      </c>
      <c r="M8" s="266" t="s">
        <v>270</v>
      </c>
      <c r="N8" s="287">
        <f>B31</f>
        <v>1600</v>
      </c>
      <c r="O8" s="249" t="s">
        <v>69</v>
      </c>
      <c r="P8" s="266" t="s">
        <v>270</v>
      </c>
      <c r="Q8" s="287">
        <f>B31</f>
        <v>1600</v>
      </c>
      <c r="R8" s="249" t="s">
        <v>69</v>
      </c>
      <c r="S8" s="266" t="s">
        <v>270</v>
      </c>
      <c r="T8" s="287">
        <f>B31</f>
        <v>1600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1600</v>
      </c>
      <c r="AK8" s="249" t="s">
        <v>69</v>
      </c>
      <c r="AL8" s="266" t="s">
        <v>270</v>
      </c>
      <c r="AM8" s="287">
        <f>B31</f>
        <v>1600</v>
      </c>
      <c r="AN8" s="249" t="s">
        <v>69</v>
      </c>
      <c r="AO8" s="266" t="s">
        <v>270</v>
      </c>
      <c r="AP8" s="287">
        <f>B31</f>
        <v>1600</v>
      </c>
      <c r="AQ8" s="249" t="s">
        <v>69</v>
      </c>
      <c r="AR8" s="266" t="s">
        <v>270</v>
      </c>
      <c r="AS8" s="287">
        <f>B31</f>
        <v>1600</v>
      </c>
      <c r="AT8" s="249" t="s">
        <v>69</v>
      </c>
      <c r="AU8" s="266" t="s">
        <v>270</v>
      </c>
      <c r="AV8" s="287">
        <f>B31</f>
        <v>1600</v>
      </c>
      <c r="AW8" s="249" t="s">
        <v>69</v>
      </c>
      <c r="AX8" s="266" t="s">
        <v>270</v>
      </c>
      <c r="AY8" s="287">
        <f>B31</f>
        <v>1600</v>
      </c>
      <c r="AZ8" s="249" t="s">
        <v>69</v>
      </c>
      <c r="BA8" s="266" t="s">
        <v>270</v>
      </c>
      <c r="BB8" s="287">
        <f>B31</f>
        <v>1600</v>
      </c>
      <c r="BC8" s="249" t="s">
        <v>69</v>
      </c>
      <c r="BD8" s="266" t="s">
        <v>270</v>
      </c>
      <c r="BE8" s="287">
        <f>B31</f>
        <v>1600</v>
      </c>
      <c r="BF8" s="249" t="s">
        <v>69</v>
      </c>
      <c r="BG8" s="266" t="s">
        <v>270</v>
      </c>
      <c r="BH8" s="287">
        <f>B31</f>
        <v>1600</v>
      </c>
      <c r="BI8" s="249" t="s">
        <v>69</v>
      </c>
      <c r="BJ8" s="266" t="s">
        <v>270</v>
      </c>
      <c r="BK8" s="287">
        <f>B31</f>
        <v>1600</v>
      </c>
      <c r="BL8" s="249" t="s">
        <v>69</v>
      </c>
      <c r="BM8" s="266" t="s">
        <v>270</v>
      </c>
      <c r="BN8" s="287">
        <f>B31</f>
        <v>1600</v>
      </c>
      <c r="BO8" s="249" t="s">
        <v>69</v>
      </c>
      <c r="BP8" s="266" t="s">
        <v>270</v>
      </c>
      <c r="BQ8" s="287">
        <f>B31</f>
        <v>1600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1.6813889280000001E-11</v>
      </c>
      <c r="BX8" s="263" t="s">
        <v>35</v>
      </c>
      <c r="BY8" s="262" t="s">
        <v>71</v>
      </c>
      <c r="BZ8" s="287">
        <f>B23</f>
        <v>8.3719157040000005E-6</v>
      </c>
      <c r="CA8" s="262" t="s">
        <v>95</v>
      </c>
      <c r="CB8" s="266" t="s">
        <v>270</v>
      </c>
      <c r="CC8" s="287">
        <f>B31</f>
        <v>1600</v>
      </c>
      <c r="CD8" s="249" t="s">
        <v>69</v>
      </c>
      <c r="CE8" s="266" t="s">
        <v>270</v>
      </c>
      <c r="CF8" s="287">
        <f>B31</f>
        <v>1600</v>
      </c>
      <c r="CG8" s="249" t="s">
        <v>69</v>
      </c>
      <c r="CH8" s="266" t="s">
        <v>270</v>
      </c>
      <c r="CI8" s="287">
        <f>B31</f>
        <v>1600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1.7000000000000001E-2</v>
      </c>
      <c r="CT8" s="262" t="s">
        <v>71</v>
      </c>
      <c r="CU8" s="287">
        <f>B23</f>
        <v>8.3719157040000005E-6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1.6813889280000001E-11</v>
      </c>
      <c r="DB8" s="262" t="s">
        <v>35</v>
      </c>
      <c r="DC8" s="262" t="s">
        <v>380</v>
      </c>
      <c r="DD8" s="311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1600</v>
      </c>
      <c r="HF8" s="249" t="s">
        <v>69</v>
      </c>
    </row>
    <row r="9" spans="1:214" x14ac:dyDescent="0.2">
      <c r="A9" s="279" t="s">
        <v>459</v>
      </c>
      <c r="B9" s="70">
        <v>0.73699999999999999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5.1429999999999997E-10</v>
      </c>
      <c r="I9" s="267" t="s">
        <v>35</v>
      </c>
      <c r="J9" s="262" t="s">
        <v>438</v>
      </c>
      <c r="K9" s="287">
        <f>B30</f>
        <v>5.1429999999999997E-10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2.9489E-10</v>
      </c>
      <c r="AD9" s="287">
        <f>B22</f>
        <v>2.9489E-10</v>
      </c>
      <c r="AE9" s="287">
        <f>B22</f>
        <v>2.9489E-10</v>
      </c>
      <c r="AF9" s="287">
        <f>B22</f>
        <v>2.9489E-10</v>
      </c>
      <c r="AG9" s="287">
        <f>B22</f>
        <v>2.9489E-10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5.1429999999999997E-10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5.1429999999999997E-10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5.1429999999999997E-10</v>
      </c>
      <c r="DB9" s="263" t="s">
        <v>35</v>
      </c>
      <c r="DC9" s="262" t="s">
        <v>381</v>
      </c>
      <c r="DD9" s="311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3.8000000000000002E-4</v>
      </c>
      <c r="EA9" s="262" t="s">
        <v>278</v>
      </c>
      <c r="EB9" s="287">
        <f>B37</f>
        <v>3.8000000000000002E-4</v>
      </c>
      <c r="EC9" s="263"/>
      <c r="ED9" s="262" t="s">
        <v>278</v>
      </c>
      <c r="EE9" s="287">
        <f>B37</f>
        <v>3.8000000000000002E-4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1.6999999999999999E-3</v>
      </c>
      <c r="EP9" s="262" t="s">
        <v>275</v>
      </c>
      <c r="EQ9" s="310">
        <f>B38</f>
        <v>1.6999999999999999E-3</v>
      </c>
      <c r="ER9" s="263"/>
      <c r="ES9" s="262" t="s">
        <v>275</v>
      </c>
      <c r="ET9" s="310">
        <f>B38</f>
        <v>1.6999999999999999E-3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0.10100000000000001</v>
      </c>
      <c r="C10" s="241"/>
      <c r="D10" s="88" t="s">
        <v>43</v>
      </c>
      <c r="E10" s="187">
        <f>B19</f>
        <v>2.8231E-8</v>
      </c>
      <c r="F10" s="188" t="s">
        <v>35</v>
      </c>
      <c r="G10" s="266" t="s">
        <v>80</v>
      </c>
      <c r="H10" s="294">
        <f>(H5/(H6*H15))/H68</f>
        <v>5.0242369188967621E-3</v>
      </c>
      <c r="I10" s="271" t="s">
        <v>304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2.8231E-8</v>
      </c>
      <c r="X10" s="263" t="s">
        <v>44</v>
      </c>
      <c r="Y10" s="249" t="s">
        <v>43</v>
      </c>
      <c r="Z10" s="290">
        <f>B19</f>
        <v>2.8231E-8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2.8231E-8</v>
      </c>
      <c r="BU10" s="263" t="s">
        <v>35</v>
      </c>
      <c r="BV10" s="266" t="s">
        <v>80</v>
      </c>
      <c r="BW10" s="294">
        <f>(BW5/(BW6*BW12))/BW32</f>
        <v>0.98619329388560262</v>
      </c>
      <c r="BX10" s="271" t="s">
        <v>304</v>
      </c>
      <c r="BY10" s="188" t="s">
        <v>16</v>
      </c>
      <c r="BZ10" s="191">
        <f>(BZ33*BZ11)/(1-EXP(-BZ11*BZ33))</f>
        <v>1.0056411929569626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299</v>
      </c>
      <c r="CL10" s="289">
        <f>B293</f>
        <v>27.027027027027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2.8231E-8</v>
      </c>
      <c r="CY10" s="263" t="s">
        <v>35</v>
      </c>
      <c r="CZ10" s="263" t="s">
        <v>16</v>
      </c>
      <c r="DA10" s="288">
        <f>(DA38*DA11)/(1-EXP(-DA11*DA38))</f>
        <v>1.0086875128436219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1.4789999999999999E-2</v>
      </c>
      <c r="DL10" s="267"/>
      <c r="DO10" s="267" t="s">
        <v>37</v>
      </c>
      <c r="DP10" s="287">
        <f>B44</f>
        <v>1.4789999999999999E-2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0.751</v>
      </c>
      <c r="C11" s="241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(H5/(H7*H16*H28))/H68</f>
        <v>1.6280943969131347E-5</v>
      </c>
      <c r="I11" s="271" t="s">
        <v>304</v>
      </c>
      <c r="J11" s="188" t="s">
        <v>16</v>
      </c>
      <c r="K11" s="109">
        <f>(K46*K12)/(1-EXP(-K12*K46))</f>
        <v>1.0056411929569626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(BW5/(BW8*(1/BW31)*BW15))/BW32</f>
        <v>9885.600044547502</v>
      </c>
      <c r="BX11" s="271" t="s">
        <v>304</v>
      </c>
      <c r="BY11" s="266" t="s">
        <v>23</v>
      </c>
      <c r="BZ11" s="109">
        <f>0.693/BZ12</f>
        <v>4.3312499999999997E-4</v>
      </c>
      <c r="CA11" s="88"/>
      <c r="CB11" s="249" t="s">
        <v>456</v>
      </c>
      <c r="CC11" s="287">
        <f>B3</f>
        <v>0.124</v>
      </c>
      <c r="CE11" s="249" t="s">
        <v>454</v>
      </c>
      <c r="CF11" s="287">
        <f>B6</f>
        <v>5.8099999999999999E-2</v>
      </c>
      <c r="CH11" s="249" t="s">
        <v>460</v>
      </c>
      <c r="CI11" s="287">
        <f>B10</f>
        <v>0.10100000000000001</v>
      </c>
      <c r="CK11" s="266" t="s">
        <v>270</v>
      </c>
      <c r="CL11" s="287">
        <f>B31</f>
        <v>1600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1.0086875128436219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4.3312499999999997E-4</v>
      </c>
      <c r="DC11" s="262" t="s">
        <v>382</v>
      </c>
      <c r="DD11" s="311">
        <f>B141</f>
        <v>41.7</v>
      </c>
      <c r="DE11" s="267" t="s">
        <v>254</v>
      </c>
      <c r="DF11" s="267" t="s">
        <v>55</v>
      </c>
      <c r="DG11" s="288">
        <f>DG19+DG20</f>
        <v>2.8186643835616437E-5</v>
      </c>
      <c r="DL11" s="267"/>
      <c r="DO11" s="267" t="s">
        <v>55</v>
      </c>
      <c r="DP11" s="288">
        <f>DP19+DP20</f>
        <v>2.8186643835616437E-5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3.44E-2</v>
      </c>
      <c r="C12" s="241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(H5/(H8*(1/H45)*H21))/H68</f>
        <v>3158.079961806623</v>
      </c>
      <c r="I12" s="271" t="s">
        <v>304</v>
      </c>
      <c r="J12" s="266" t="s">
        <v>23</v>
      </c>
      <c r="K12" s="109">
        <f>0.693/K13</f>
        <v>4.3312499999999997E-4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1600</v>
      </c>
      <c r="CA12" s="88" t="s">
        <v>69</v>
      </c>
      <c r="CB12" s="249" t="s">
        <v>457</v>
      </c>
      <c r="CC12" s="287">
        <f>B4</f>
        <v>0.79200000000000004</v>
      </c>
      <c r="CE12" s="249" t="s">
        <v>455</v>
      </c>
      <c r="CF12" s="287">
        <f>B7</f>
        <v>0.624</v>
      </c>
      <c r="CH12" s="249" t="s">
        <v>461</v>
      </c>
      <c r="CI12" s="287">
        <f>B11</f>
        <v>0.751</v>
      </c>
      <c r="CK12" s="249" t="s">
        <v>23</v>
      </c>
      <c r="CL12" s="288">
        <f>693/CL11</f>
        <v>0.43312499999999998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4.3312499999999997E-4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1600</v>
      </c>
      <c r="DB12" s="249" t="s">
        <v>69</v>
      </c>
      <c r="DC12" s="262" t="s">
        <v>383</v>
      </c>
      <c r="DD12" s="311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0.45600000000000002</v>
      </c>
      <c r="C13" s="242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>
        <f>(H14/((1/H42)*(H50+H51+H52)))</f>
        <v>8.7538868361841243E-3</v>
      </c>
      <c r="I13" s="271" t="s">
        <v>304</v>
      </c>
      <c r="J13" s="266" t="s">
        <v>270</v>
      </c>
      <c r="K13" s="189">
        <f>B31</f>
        <v>1600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0.124</v>
      </c>
      <c r="BM13" s="249" t="s">
        <v>454</v>
      </c>
      <c r="BN13" s="287">
        <f>B6</f>
        <v>5.8099999999999999E-2</v>
      </c>
      <c r="BP13" s="249" t="s">
        <v>460</v>
      </c>
      <c r="BQ13" s="287">
        <f>B10</f>
        <v>0.10100000000000001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>
        <f>((BZ5/(BZ6*BZ16*(1/BZ36)))*BZ10)/BZ37</f>
        <v>0.22897112772244163</v>
      </c>
      <c r="CA13" s="271" t="s">
        <v>303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11.261394841645959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1600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>
        <f>(DA5/(DA6*DA23))/DA50</f>
        <v>3.0633951240552518E-3</v>
      </c>
      <c r="DB13" s="266" t="s">
        <v>304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>
        <f>(H5/(H9*(H22+H25)*H43))/H68</f>
        <v>1.1734306435897462E-4</v>
      </c>
      <c r="I14" s="271" t="s">
        <v>303</v>
      </c>
      <c r="J14" s="266" t="s">
        <v>80</v>
      </c>
      <c r="K14" s="294">
        <f>((K5/(K6*K19*(1/K49)))*K11)/K54</f>
        <v>4.9065241654808911E-2</v>
      </c>
      <c r="L14" s="271" t="s">
        <v>303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7.7413948559999998E-9</v>
      </c>
      <c r="X14" s="262" t="s">
        <v>64</v>
      </c>
      <c r="Y14" s="262" t="s">
        <v>63</v>
      </c>
      <c r="Z14" s="287">
        <f>B28</f>
        <v>7.7413948559999998E-9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0.79200000000000004</v>
      </c>
      <c r="BM14" s="249" t="s">
        <v>455</v>
      </c>
      <c r="BN14" s="287">
        <f>B7</f>
        <v>0.624</v>
      </c>
      <c r="BP14" s="249" t="s">
        <v>461</v>
      </c>
      <c r="BQ14" s="287">
        <f>B11</f>
        <v>0.751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((BZ5/(BZ7*BZ17*(1/BZ9)*BZ35))*BZ10)/BZ37</f>
        <v>1246.3504911294212</v>
      </c>
      <c r="CA14" s="271" t="s">
        <v>303</v>
      </c>
      <c r="CB14" s="249" t="s">
        <v>71</v>
      </c>
      <c r="CC14" s="290">
        <f>B23</f>
        <v>8.3719157040000005E-6</v>
      </c>
      <c r="CD14" s="263" t="s">
        <v>72</v>
      </c>
      <c r="CE14" s="249" t="s">
        <v>71</v>
      </c>
      <c r="CF14" s="290">
        <f>B25</f>
        <v>1.5599552831999999E-6</v>
      </c>
      <c r="CG14" s="263" t="s">
        <v>72</v>
      </c>
      <c r="CH14" s="249" t="s">
        <v>71</v>
      </c>
      <c r="CI14" s="290">
        <f>B27</f>
        <v>7.0991976959999998E-6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>
        <f>((CU5/(CU6*CU24*(1/CU47)))*CU11)/CU48</f>
        <v>3.4235736783206829E-2</v>
      </c>
      <c r="CV14" s="271" t="s">
        <v>303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(DA5/(DA7*DA24*DA46))/DA50</f>
        <v>1.0120586791622187E-5</v>
      </c>
      <c r="DB14" s="266" t="s">
        <v>304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1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((K5/(K7*K20*(1/K10)*K48))*K11)/K54</f>
        <v>11.128129385084122</v>
      </c>
      <c r="L15" s="271" t="s">
        <v>303</v>
      </c>
      <c r="M15" s="249" t="s">
        <v>448</v>
      </c>
      <c r="N15" s="290">
        <f>B23</f>
        <v>8.3719157040000005E-6</v>
      </c>
      <c r="O15" s="263" t="s">
        <v>446</v>
      </c>
      <c r="P15" s="249" t="s">
        <v>449</v>
      </c>
      <c r="Q15" s="290">
        <f>B25</f>
        <v>1.5599552831999999E-6</v>
      </c>
      <c r="R15" s="263" t="s">
        <v>446</v>
      </c>
      <c r="S15" s="249" t="s">
        <v>453</v>
      </c>
      <c r="T15" s="290">
        <f>B27</f>
        <v>7.0991976959999998E-6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8.3719157040000005E-6</v>
      </c>
      <c r="AK15" s="263" t="s">
        <v>72</v>
      </c>
      <c r="AL15" s="262" t="s">
        <v>449</v>
      </c>
      <c r="AM15" s="290">
        <f>B25</f>
        <v>1.5599552831999999E-6</v>
      </c>
      <c r="AN15" s="263" t="s">
        <v>72</v>
      </c>
      <c r="AO15" s="262" t="s">
        <v>452</v>
      </c>
      <c r="AP15" s="290">
        <f>B27</f>
        <v>7.0991976959999998E-6</v>
      </c>
      <c r="AQ15" s="263" t="s">
        <v>72</v>
      </c>
      <c r="AR15" s="249" t="s">
        <v>448</v>
      </c>
      <c r="AS15" s="290">
        <f>B23</f>
        <v>8.3719157040000005E-6</v>
      </c>
      <c r="AT15" s="263" t="s">
        <v>72</v>
      </c>
      <c r="AU15" s="262" t="s">
        <v>449</v>
      </c>
      <c r="AV15" s="290">
        <f>B25</f>
        <v>1.5599552831999999E-6</v>
      </c>
      <c r="AW15" s="263" t="s">
        <v>72</v>
      </c>
      <c r="AX15" s="262" t="s">
        <v>452</v>
      </c>
      <c r="AY15" s="290">
        <f>B27</f>
        <v>7.0991976959999998E-6</v>
      </c>
      <c r="AZ15" s="263" t="s">
        <v>72</v>
      </c>
      <c r="BA15" s="249" t="s">
        <v>448</v>
      </c>
      <c r="BB15" s="290">
        <f>B23</f>
        <v>8.3719157040000005E-6</v>
      </c>
      <c r="BC15" s="263" t="s">
        <v>72</v>
      </c>
      <c r="BD15" s="262" t="s">
        <v>449</v>
      </c>
      <c r="BE15" s="290">
        <f>B25</f>
        <v>1.5599552831999999E-6</v>
      </c>
      <c r="BF15" s="263" t="s">
        <v>72</v>
      </c>
      <c r="BG15" s="262" t="s">
        <v>452</v>
      </c>
      <c r="BH15" s="290">
        <f>B27</f>
        <v>7.0991976959999998E-6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(((BZ5)/(BZ8*BZ22*(1/BZ34)*BZ25*BZ28*(1/24)*BZ31*BZ32))*BZ10)/BZ37</f>
        <v>0.20330242542636828</v>
      </c>
      <c r="CA15" s="271" t="s">
        <v>303</v>
      </c>
      <c r="CB15" s="95" t="s">
        <v>299</v>
      </c>
      <c r="CC15" s="289">
        <f>B293</f>
        <v>27.027027027027</v>
      </c>
      <c r="CE15" s="95" t="s">
        <v>299</v>
      </c>
      <c r="CF15" s="289">
        <f>B293</f>
        <v>27.027027027027</v>
      </c>
      <c r="CH15" s="95" t="s">
        <v>299</v>
      </c>
      <c r="CI15" s="289">
        <f>B293</f>
        <v>27.027027027027</v>
      </c>
      <c r="CT15" s="266" t="s">
        <v>74</v>
      </c>
      <c r="CU15" s="295">
        <f>((CU5/(CU7*CU25*(1/CU10)*CU46))*CU11)/CU48</f>
        <v>6.9384404993223274</v>
      </c>
      <c r="CV15" s="271" t="s">
        <v>303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(DA5/(DA8*DA25*(DA47/DA48)))/DA50</f>
        <v>2011.5746725313193</v>
      </c>
      <c r="DB15" s="266" t="s">
        <v>304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307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x14ac:dyDescent="0.2">
      <c r="A16" s="585"/>
      <c r="B16" s="586"/>
      <c r="C16" s="6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((K5/(K8*K45*((K40*K44*(1/24))+(K41*K43*(1/24)))*K32*(1/K47)*K34))*K11)/K54</f>
        <v>5.1433117107701272E-4</v>
      </c>
      <c r="L16" s="271" t="s">
        <v>303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((W5)/((W11/W12)*W8*W9*W10*W13))/W20</f>
        <v>1.1649919906800651E-5</v>
      </c>
      <c r="X16" s="88" t="s">
        <v>15</v>
      </c>
      <c r="Y16" s="88" t="s">
        <v>74</v>
      </c>
      <c r="Z16" s="294">
        <f>((Z5)/((Z11/Z12)*Z8*Z9*Z10*Z13))/Z20</f>
        <v>1.0484927916120589E-5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0.124</v>
      </c>
      <c r="AG16" s="305">
        <f>B3</f>
        <v>0.124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8.3719157040000005E-6</v>
      </c>
      <c r="BL16" s="263" t="s">
        <v>72</v>
      </c>
      <c r="BM16" s="262" t="s">
        <v>449</v>
      </c>
      <c r="BN16" s="290">
        <f>B25</f>
        <v>1.5599552831999999E-6</v>
      </c>
      <c r="BO16" s="263" t="s">
        <v>72</v>
      </c>
      <c r="BP16" s="262" t="s">
        <v>452</v>
      </c>
      <c r="BQ16" s="290">
        <f>B27</f>
        <v>7.0991976959999998E-6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2"/>
      <c r="CC16" s="293"/>
      <c r="CD16" s="262"/>
      <c r="CE16" s="262"/>
      <c r="CF16" s="293"/>
      <c r="CG16" s="262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((CU5*CU44*CU12)/((1-EXP(-CU12*CU44))*CU8*CU31*(1/365)*CU32*((CU38*(1/24)*CU42)+(CU39*(1/24)*CU41))*CU43))/CU48</f>
        <v>1.7249135899528157E-4</v>
      </c>
      <c r="CV16" s="271" t="s">
        <v>303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>
        <f>DG2</f>
        <v>1.4011754208724326E-3</v>
      </c>
      <c r="DB16" s="266" t="s">
        <v>304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4.9501186643835612E-2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4.9501186643835612E-2</v>
      </c>
      <c r="DQ16" s="262" t="s">
        <v>82</v>
      </c>
      <c r="DR16" s="267" t="s">
        <v>400</v>
      </c>
      <c r="DS16" s="297">
        <f>B175</f>
        <v>1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4.9501186643835612E-2</v>
      </c>
      <c r="EF16" s="262" t="s">
        <v>82</v>
      </c>
      <c r="EG16" s="267" t="s">
        <v>401</v>
      </c>
      <c r="EH16" s="297">
        <f>B176</f>
        <v>1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4.9501186643835612E-2</v>
      </c>
      <c r="EU16" s="262" t="s">
        <v>82</v>
      </c>
      <c r="EV16" s="267" t="s">
        <v>402</v>
      </c>
      <c r="EW16" s="297">
        <f>B177</f>
        <v>1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4.9501186643835612E-2</v>
      </c>
      <c r="FJ16" s="262" t="s">
        <v>82</v>
      </c>
      <c r="FK16" s="267" t="s">
        <v>403</v>
      </c>
      <c r="FL16" s="297">
        <f>B178</f>
        <v>1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4.9501186643835612E-2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4.9501186643835612E-2</v>
      </c>
      <c r="HC16" s="262" t="s">
        <v>82</v>
      </c>
      <c r="HD16" s="262"/>
      <c r="HE16" s="293"/>
      <c r="HF16" s="262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>
        <f>(K18/(K50+K51))*K11</f>
        <v>4.2943709460746337E-4</v>
      </c>
      <c r="L17" s="271" t="s">
        <v>303</v>
      </c>
      <c r="M17" s="95" t="s">
        <v>299</v>
      </c>
      <c r="N17" s="293">
        <f>B293</f>
        <v>27.027027027027</v>
      </c>
      <c r="O17" s="262"/>
      <c r="P17" s="95" t="s">
        <v>299</v>
      </c>
      <c r="Q17" s="293">
        <f>B293</f>
        <v>27.027027027027</v>
      </c>
      <c r="R17" s="262"/>
      <c r="S17" s="95" t="s">
        <v>299</v>
      </c>
      <c r="T17" s="293">
        <f>B293</f>
        <v>27.027027027027</v>
      </c>
      <c r="U17" s="262"/>
      <c r="V17" s="88" t="s">
        <v>78</v>
      </c>
      <c r="W17" s="296">
        <f>((W5)/((W11/W12)*W8*W9*W14*(1/365)))/W20</f>
        <v>0.93040941595741211</v>
      </c>
      <c r="X17" s="88" t="s">
        <v>15</v>
      </c>
      <c r="Y17" s="88" t="s">
        <v>78</v>
      </c>
      <c r="Z17" s="296">
        <f>((Z5)/((Z11/Z12)*Z8*Z9*Z14*(1/365)))/Z20</f>
        <v>0.83736847436167094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95" t="s">
        <v>299</v>
      </c>
      <c r="AJ17" s="293">
        <f>B293</f>
        <v>27.027027027027</v>
      </c>
      <c r="AK17" s="262"/>
      <c r="AL17" s="95" t="s">
        <v>299</v>
      </c>
      <c r="AM17" s="293">
        <f>B293</f>
        <v>27.027027027027</v>
      </c>
      <c r="AN17" s="262"/>
      <c r="AO17" s="95" t="s">
        <v>299</v>
      </c>
      <c r="AP17" s="293">
        <f>B293</f>
        <v>27.027027027027</v>
      </c>
      <c r="AQ17" s="262"/>
      <c r="AR17" s="95" t="s">
        <v>299</v>
      </c>
      <c r="AS17" s="293">
        <f>B293</f>
        <v>27.027027027027</v>
      </c>
      <c r="AT17" s="262"/>
      <c r="AU17" s="95" t="s">
        <v>299</v>
      </c>
      <c r="AV17" s="293">
        <f>B293</f>
        <v>27.027027027027</v>
      </c>
      <c r="AW17" s="262"/>
      <c r="AX17" s="95" t="s">
        <v>299</v>
      </c>
      <c r="AY17" s="293">
        <f>B293</f>
        <v>27.027027027027</v>
      </c>
      <c r="AZ17" s="262"/>
      <c r="BA17" s="95" t="s">
        <v>299</v>
      </c>
      <c r="BB17" s="293">
        <f>B293</f>
        <v>27.027027027027</v>
      </c>
      <c r="BC17" s="262"/>
      <c r="BD17" s="95" t="s">
        <v>299</v>
      </c>
      <c r="BE17" s="293">
        <f>B293</f>
        <v>27.027027027027</v>
      </c>
      <c r="BF17" s="262"/>
      <c r="BG17" s="95" t="s">
        <v>299</v>
      </c>
      <c r="BH17" s="293">
        <f>B293</f>
        <v>27.027027027027</v>
      </c>
      <c r="BI17" s="262"/>
      <c r="BJ17" s="95" t="s">
        <v>299</v>
      </c>
      <c r="BK17" s="293">
        <f>B293</f>
        <v>27.027027027027</v>
      </c>
      <c r="BL17" s="262"/>
      <c r="BM17" s="95" t="s">
        <v>299</v>
      </c>
      <c r="BN17" s="293">
        <f>B293</f>
        <v>27.027027027027</v>
      </c>
      <c r="BO17" s="262"/>
      <c r="BP17" s="95" t="s">
        <v>299</v>
      </c>
      <c r="BQ17" s="293">
        <f>B293</f>
        <v>27.027027027027</v>
      </c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>
        <f>DJ2</f>
        <v>6.8945309917843773E-5</v>
      </c>
      <c r="CV17" s="271" t="s">
        <v>303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4.3312499999999997E-4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7.7413948559999998E-9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>
        <f>(K5/(K9*(K25+K28)*K39))/K54</f>
        <v>1.1734306435897462E-4</v>
      </c>
      <c r="L18" s="271" t="s">
        <v>303</v>
      </c>
      <c r="V18" s="88" t="s">
        <v>74</v>
      </c>
      <c r="W18" s="294">
        <f>((W5*W6*W9)/((W11/W12)*(1-EXP(-W6*W9))*W10*W13*W8*W9))/W20</f>
        <v>1.1713107128840276E-5</v>
      </c>
      <c r="X18" s="88" t="s">
        <v>16</v>
      </c>
      <c r="Y18" s="88" t="s">
        <v>74</v>
      </c>
      <c r="Z18" s="294">
        <f>((Z5*Z6*Z9)/((Z11/Z12)*(1-EXP(-Z6*Z9))*Z10*Z13*Z8*Z9))/Z20</f>
        <v>1.0541796415956246E-5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14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303</v>
      </c>
      <c r="CW18" s="266" t="s">
        <v>63</v>
      </c>
      <c r="CX18" s="189">
        <f>B28</f>
        <v>7.7413948559999998E-9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4.3312499999999997E-4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4.3312499999999997E-4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4.3312499999999997E-4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4.3312499999999997E-4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4.3312499999999997E-4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1600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2.8231E-8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((W5*W6*W9)/((W11/W12)*(1-EXP(-W6*W9))*W14*W8*W9*(1/365)))/W20</f>
        <v>0.93545580141106122</v>
      </c>
      <c r="X19" s="88" t="s">
        <v>16</v>
      </c>
      <c r="Y19" s="88" t="s">
        <v>78</v>
      </c>
      <c r="Z19" s="296">
        <f>((Z5*Z6*Z9)/((Z11/Z12)*(1-EXP(-Z6*Z9))*Z14*Z8*Z9*(1/365)))/Z20</f>
        <v>0.84191022126995518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0.79200000000000004</v>
      </c>
      <c r="AG19" s="305">
        <f>B4</f>
        <v>0.79200000000000004</v>
      </c>
      <c r="AH19" s="267"/>
      <c r="BS19" s="262" t="s">
        <v>63</v>
      </c>
      <c r="BT19" s="287">
        <f>E18</f>
        <v>7.7413948559999998E-9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((CC22*CC23*CC24)/((1-EXP(-CC24*CC23))*CC27*CC31*(CC26/365)*CC29*(CC30/24)*CC28))/CC32</f>
        <v>7.0200781154511027</v>
      </c>
      <c r="CD19" s="404" t="s">
        <v>307</v>
      </c>
      <c r="CE19" s="402" t="s">
        <v>562</v>
      </c>
      <c r="CF19" s="400">
        <f>((CF22*CF23*CF24)/((1-EXP(-CF24*CF23))*CF27*CF31*(CF26/365)*CF29*(CF30/24)*CF28))/CF32</f>
        <v>0.74045572465023413</v>
      </c>
      <c r="CG19" s="398" t="s">
        <v>303</v>
      </c>
      <c r="CK19" s="410" t="s">
        <v>510</v>
      </c>
      <c r="CL19" s="400">
        <f>(CL22/(CL23*CL24*CL25*CL26))/CL27</f>
        <v>3.6893562073418228E-2</v>
      </c>
      <c r="CM19" s="404" t="s">
        <v>303</v>
      </c>
      <c r="CN19" s="402" t="s">
        <v>7</v>
      </c>
      <c r="CO19" s="400">
        <f>(CL19/(CO22*((CO27*CO29*CO30*(CO23+CO24))+(CO28*CO29))))*CL30</f>
        <v>192.89334213451741</v>
      </c>
      <c r="CP19" s="412" t="s">
        <v>303</v>
      </c>
      <c r="CQ19" s="402" t="s">
        <v>6</v>
      </c>
      <c r="CR19" s="400">
        <f>CL19/(CR22*CR23*(1/CR24))</f>
        <v>21702.09533730484</v>
      </c>
      <c r="CS19" s="415" t="s">
        <v>304</v>
      </c>
      <c r="CT19" s="266" t="s">
        <v>258</v>
      </c>
      <c r="CU19" s="295" t="e">
        <f>GV2</f>
        <v>#DIV/0!</v>
      </c>
      <c r="CV19" s="271" t="s">
        <v>303</v>
      </c>
      <c r="CW19" s="266" t="s">
        <v>255</v>
      </c>
      <c r="CX19" s="304">
        <f>B173</f>
        <v>1</v>
      </c>
      <c r="CY19" s="88"/>
      <c r="CZ19" s="266" t="s">
        <v>184</v>
      </c>
      <c r="DA19" s="295">
        <f>EK2</f>
        <v>0.36254526587422231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1600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1600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1600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1600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1600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299</v>
      </c>
      <c r="GP19" s="344">
        <f>B293</f>
        <v>27.027027027027</v>
      </c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3.8480000000000001E-10</v>
      </c>
      <c r="C20" s="263" t="s">
        <v>35</v>
      </c>
      <c r="D20" s="88" t="s">
        <v>74</v>
      </c>
      <c r="E20" s="294">
        <f>((E5)/(E10*E11))/E26</f>
        <v>8.1404719845656734E-6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299</v>
      </c>
      <c r="W20" s="289">
        <f>B293</f>
        <v>27.027027027027</v>
      </c>
      <c r="Y20" s="95" t="s">
        <v>299</v>
      </c>
      <c r="Z20" s="289">
        <f>B293</f>
        <v>27.027027027027</v>
      </c>
      <c r="AB20" s="262" t="s">
        <v>71</v>
      </c>
      <c r="AC20" s="287">
        <f>B23</f>
        <v>8.3719157040000005E-6</v>
      </c>
      <c r="AD20" s="287">
        <f>B23</f>
        <v>8.3719157040000005E-6</v>
      </c>
      <c r="AE20" s="287">
        <f>B23</f>
        <v>8.3719157040000005E-6</v>
      </c>
      <c r="AF20" s="287">
        <f>B23</f>
        <v>8.3719157040000005E-6</v>
      </c>
      <c r="AG20" s="287">
        <f>B23</f>
        <v>8.3719157040000005E-6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>
        <f>EN2</f>
        <v>5.3208922151487389E-3</v>
      </c>
      <c r="CV20" s="271" t="s">
        <v>303</v>
      </c>
      <c r="CW20" s="88" t="s">
        <v>74</v>
      </c>
      <c r="CX20" s="294">
        <f>((CX5)/((CX14/CX15)*CX10*CX11))/CX26</f>
        <v>5.0602933958110937E-6</v>
      </c>
      <c r="CY20" s="88" t="s">
        <v>15</v>
      </c>
      <c r="CZ20" s="266" t="s">
        <v>493</v>
      </c>
      <c r="DA20" s="295">
        <f>DV2</f>
        <v>0.35112303401327233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1.1866438356164383E-6</v>
      </c>
      <c r="DH20" s="249" t="s">
        <v>82</v>
      </c>
      <c r="DL20" s="267"/>
      <c r="DO20" s="267" t="s">
        <v>90</v>
      </c>
      <c r="DP20" s="288">
        <f>0.693/B35</f>
        <v>1.1866438356164383E-6</v>
      </c>
      <c r="DQ20" s="249" t="s">
        <v>82</v>
      </c>
      <c r="DR20" s="95" t="s">
        <v>299</v>
      </c>
      <c r="DS20" s="289">
        <f>B293</f>
        <v>27.027027027027</v>
      </c>
      <c r="DU20" s="267"/>
      <c r="EA20" s="267"/>
      <c r="EB20" s="307"/>
      <c r="EC20" s="263"/>
      <c r="ED20" s="267" t="s">
        <v>90</v>
      </c>
      <c r="EE20" s="299">
        <f>0.693/B35</f>
        <v>1.1866438356164383E-6</v>
      </c>
      <c r="EF20" s="263" t="s">
        <v>82</v>
      </c>
      <c r="EG20" s="95" t="s">
        <v>299</v>
      </c>
      <c r="EH20" s="345">
        <f>B293</f>
        <v>27.027027027027</v>
      </c>
      <c r="EJ20" s="267"/>
      <c r="EP20" s="267"/>
      <c r="EQ20" s="307"/>
      <c r="ER20" s="263"/>
      <c r="ES20" s="267" t="s">
        <v>90</v>
      </c>
      <c r="ET20" s="299">
        <f>0.693/B35</f>
        <v>1.1866438356164383E-6</v>
      </c>
      <c r="EU20" s="263" t="s">
        <v>82</v>
      </c>
      <c r="EV20" s="95" t="s">
        <v>299</v>
      </c>
      <c r="EW20" s="345">
        <f>B293</f>
        <v>27.027027027027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1.1866438356164383E-6</v>
      </c>
      <c r="FJ20" s="263" t="s">
        <v>82</v>
      </c>
      <c r="FK20" s="95" t="s">
        <v>299</v>
      </c>
      <c r="FL20" s="345">
        <f>B293</f>
        <v>27.027027027027</v>
      </c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299</v>
      </c>
      <c r="GA20" s="344">
        <f>B293</f>
        <v>27.027027027027</v>
      </c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1.1866438356164383E-6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1.1866438356164383E-6</v>
      </c>
      <c r="HC20" s="263" t="s">
        <v>82</v>
      </c>
    </row>
    <row r="21" spans="1:214" ht="15" thickTop="1" thickBot="1" x14ac:dyDescent="0.25">
      <c r="A21" s="262" t="s">
        <v>316</v>
      </c>
      <c r="B21" s="315">
        <v>6.7709999999999997E-10</v>
      </c>
      <c r="C21" s="262" t="s">
        <v>35</v>
      </c>
      <c r="D21" s="88" t="s">
        <v>78</v>
      </c>
      <c r="E21" s="295">
        <f>((E5)/((E14/E15)*E8*E9*E18*(1/365)*E19))/E26</f>
        <v>0.19170523680441182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((N24*N25*N26)/((1-EXP(-N26*N25))*N29*N34*(N28/365)*N32*(((N33/24)*N31)+((N35/24)*N30))))/N36</f>
        <v>2.8367342281709097E-3</v>
      </c>
      <c r="O21" s="637" t="s">
        <v>307</v>
      </c>
      <c r="P21" s="639" t="s">
        <v>516</v>
      </c>
      <c r="Q21" s="647">
        <f>((Q24*Q25*Q26)/((1-EXP(-Q26*Q25))*Q29*Q34*(Q28/365)*Q32*(((Q33/24)*Q31)+((Q35/24)*Q30))))/Q36</f>
        <v>9.643709457693993E-4</v>
      </c>
      <c r="R21" s="643" t="s">
        <v>303</v>
      </c>
      <c r="AB21" s="262" t="s">
        <v>43</v>
      </c>
      <c r="AC21" s="290">
        <f>B19</f>
        <v>2.8231E-8</v>
      </c>
      <c r="AD21" s="290">
        <f>B19</f>
        <v>2.8231E-8</v>
      </c>
      <c r="AE21" s="290">
        <f>B19</f>
        <v>2.8231E-8</v>
      </c>
      <c r="AF21" s="290">
        <f>B19</f>
        <v>2.8231E-8</v>
      </c>
      <c r="AG21" s="290">
        <f>B19</f>
        <v>2.8231E-8</v>
      </c>
      <c r="AH21" s="263" t="s">
        <v>35</v>
      </c>
      <c r="AI21" s="381" t="s">
        <v>516</v>
      </c>
      <c r="AJ21" s="387">
        <f>((AJ24*AJ25*AJ26)/((1-EXP(-AJ26*AJ25))*AJ34*(AJ28/365)*AJ29*(AJ35/24)*AJ30*AJ32))/AJ36</f>
        <v>1.0734355321191926E-2</v>
      </c>
      <c r="AK21" s="629" t="s">
        <v>307</v>
      </c>
      <c r="AL21" s="383" t="s">
        <v>516</v>
      </c>
      <c r="AM21" s="387">
        <f>((AM24*AM25*AM26)/((1-EXP(-AM26*AM25))*AM34*(AM28/365)*AM29*(AM35/24)*AM30*AM32))/AM36</f>
        <v>3.6492316729993478E-3</v>
      </c>
      <c r="AN21" s="635" t="s">
        <v>303</v>
      </c>
      <c r="AR21" s="381" t="s">
        <v>516</v>
      </c>
      <c r="AS21" s="387">
        <f>((AS24*AS25*AS26)/((1-EXP(-AS26*AS25))*AS34*(AS28/365)*AS29*(AS33/24)*AS31*AS32))/AS36</f>
        <v>4.7708245871964121E-3</v>
      </c>
      <c r="AT21" s="391" t="s">
        <v>307</v>
      </c>
      <c r="AU21" s="383" t="s">
        <v>516</v>
      </c>
      <c r="AV21" s="387">
        <f>((AV24*AV25*AV26)/((1-EXP(-AV26*AV25))*AV34*(AV28/365)*AV29*(AV33/24)*AV31*AV32))/AV36</f>
        <v>1.621880743555266E-3</v>
      </c>
      <c r="AW21" s="385" t="s">
        <v>303</v>
      </c>
      <c r="BA21" s="381" t="s">
        <v>516</v>
      </c>
      <c r="BB21" s="387">
        <f>((BB24*BB25*BB26)/((1-EXP(-BB26*BB25))*BB34*(BB28/365)*BB29*((BB33+BB35)/24)*BB31*BB32))/BB36</f>
        <v>4.2937421284767706E-3</v>
      </c>
      <c r="BC21" s="391" t="s">
        <v>307</v>
      </c>
      <c r="BD21" s="383" t="s">
        <v>516</v>
      </c>
      <c r="BE21" s="387">
        <f>((BE24*BE25*BE26)/((1-EXP(-BE26*BE25))*BE34*(BE28/365)*BE29*((BE33+BE35)/24)*BE31*BE32))/BE36</f>
        <v>1.4596926691997393E-3</v>
      </c>
      <c r="BF21" s="385" t="s">
        <v>303</v>
      </c>
      <c r="BJ21" s="381" t="s">
        <v>561</v>
      </c>
      <c r="BK21" s="389">
        <f>((BK24*BK25*BK26)/((1-EXP(-BK26*BK25))*BK31*BK35*(BK28/365)*BK33*(BK34/24)*BK32))/BK36</f>
        <v>13.091644713914105</v>
      </c>
      <c r="BL21" s="391" t="s">
        <v>307</v>
      </c>
      <c r="BM21" s="383" t="s">
        <v>562</v>
      </c>
      <c r="BN21" s="389">
        <f>((BN24*BN25*BN26)/((1-EXP(-BN26*BN25))*BN31*BN35*(BN28/365)*BN33*(BN34/24)*BN32))/BN36</f>
        <v>1.3808654425324387</v>
      </c>
      <c r="BO21" s="385" t="s">
        <v>303</v>
      </c>
      <c r="BS21" s="88" t="s">
        <v>74</v>
      </c>
      <c r="BT21" s="294">
        <f>((BT5)/(BT10*BT11))/BT29</f>
        <v>9.1173286227135529E-4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>
        <f>DY2</f>
        <v>5.5985214393305567E-3</v>
      </c>
      <c r="CV21" s="271" t="s">
        <v>303</v>
      </c>
      <c r="CW21" s="88" t="s">
        <v>78</v>
      </c>
      <c r="CX21" s="296">
        <f>((CX5)/((CX14/CX15)*CX8*CX9*CX18*(1/365)*CX19))/CX26</f>
        <v>0.12460840392286769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4.3312499999999997E-4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2.9489E-10</v>
      </c>
      <c r="C22" s="262" t="s">
        <v>35</v>
      </c>
      <c r="D22" s="88" t="s">
        <v>74</v>
      </c>
      <c r="E22" s="295">
        <f>((E5*E9*E6)/((1-EXP(-E6*E9))*E10*E11))/E26</f>
        <v>8.1863939577913559E-6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((BT5)/((BT14/24)*(BT8/365)*BT9*BT19*BT20))/BT29</f>
        <v>21.470986522094126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1.6999999999999999E-3</v>
      </c>
      <c r="CQ22" s="262" t="s">
        <v>265</v>
      </c>
      <c r="CR22" s="287">
        <f>CO22</f>
        <v>1.6999999999999999E-3</v>
      </c>
      <c r="CT22" s="266" t="s">
        <v>492</v>
      </c>
      <c r="CU22" s="295" t="e">
        <f>GG2</f>
        <v>#DIV/0!</v>
      </c>
      <c r="CV22" s="271" t="s">
        <v>303</v>
      </c>
      <c r="CW22" s="88" t="s">
        <v>74</v>
      </c>
      <c r="CX22" s="294">
        <f>((CX5*CX9*CX6)/((CX14/CX15)*(1-EXP(-CX6*CX9))*CX10*CX11))/CX26</f>
        <v>5.1042547596796977E-6</v>
      </c>
      <c r="CY22" s="88" t="s">
        <v>16</v>
      </c>
      <c r="CZ22" s="266" t="s">
        <v>183</v>
      </c>
      <c r="DA22" s="296">
        <f>FO2</f>
        <v>9.3765895663462436E-3</v>
      </c>
      <c r="DB22" s="88"/>
      <c r="DC22" s="266" t="s">
        <v>270</v>
      </c>
      <c r="DD22" s="287">
        <f>B31</f>
        <v>1600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8.3719157040000005E-6</v>
      </c>
      <c r="C23" s="262" t="s">
        <v>95</v>
      </c>
      <c r="D23" s="88" t="s">
        <v>78</v>
      </c>
      <c r="E23" s="296">
        <f>((E5*E9*E6)/((E14/E15)*E8*E9*(1-EXP(-E6*E9))*E18*(1/365)*E19))/E26</f>
        <v>0.19278668303608573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97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((BT5*BT28*BT6)/((1-EXP(-BT6*BT28))*BT10*BT11))/BT29</f>
        <v>9.1687612327263197E-4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5.1429999999999997E-10</v>
      </c>
      <c r="CM23" s="266" t="s">
        <v>13</v>
      </c>
      <c r="CN23" s="249" t="s">
        <v>21</v>
      </c>
      <c r="CO23" s="290">
        <f>CO25</f>
        <v>1.7000000000000001E-2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>
        <f>FR2</f>
        <v>9.4580488086332468E-6</v>
      </c>
      <c r="CV23" s="271" t="s">
        <v>303</v>
      </c>
      <c r="CW23" s="88" t="s">
        <v>78</v>
      </c>
      <c r="CX23" s="296">
        <f>((CX5*CX9*CX6)/((CX14/CX15)*CX8*CX9*(1-EXP(-CX6*CX9))*CX18*(1/365)*CX19))/CX26</f>
        <v>0.1256909410323708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C23" s="95" t="s">
        <v>299</v>
      </c>
      <c r="DD23" s="345">
        <f>B293</f>
        <v>27.027027027027</v>
      </c>
      <c r="DF23" s="262" t="s">
        <v>17</v>
      </c>
      <c r="DG23" s="287">
        <f>B35</f>
        <v>584000</v>
      </c>
      <c r="DH23" s="249" t="s">
        <v>257</v>
      </c>
      <c r="DO23" s="262" t="s">
        <v>20</v>
      </c>
      <c r="DP23" s="305">
        <f>DP25</f>
        <v>1.4789999999999999E-2</v>
      </c>
      <c r="EA23" s="262"/>
      <c r="EB23" s="293"/>
      <c r="EC23" s="263"/>
      <c r="ED23" s="262" t="s">
        <v>20</v>
      </c>
      <c r="EE23" s="305">
        <f>EE25</f>
        <v>1.7000000000000001E-2</v>
      </c>
      <c r="EF23" s="263"/>
      <c r="EP23" s="262"/>
      <c r="EQ23" s="293"/>
      <c r="ER23" s="263"/>
      <c r="ES23" s="262" t="s">
        <v>20</v>
      </c>
      <c r="ET23" s="305">
        <f>ET25</f>
        <v>1.7000000000000001E-2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1.4789999999999999E-2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1.4789999999999999E-2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1.4789999999999999E-2</v>
      </c>
      <c r="HC23" s="263"/>
      <c r="HD23" s="219" t="s">
        <v>574</v>
      </c>
      <c r="HE23" s="348">
        <f>(HE25*HE33*HE38*HE32*10^-3*HE31*HE27)/(HE30*HE41*(1-EXP(-HE27*HE31)))</f>
        <v>3.9117805062007039E-3</v>
      </c>
      <c r="HF23" s="252" t="s">
        <v>303</v>
      </c>
    </row>
    <row r="24" spans="1:214" ht="14.25" thickTop="1" thickBot="1" x14ac:dyDescent="0.25">
      <c r="A24" s="262" t="s">
        <v>450</v>
      </c>
      <c r="B24" s="315">
        <v>1.5179205599999999E-6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((BT5*BT28*BT6)/((BT14/24)*(BT8/365)*BT9*(1-EXP(-BT6*BT28))*BT19*BT20))/BT29</f>
        <v>21.592108500041604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4.3312499999999997E-4</v>
      </c>
      <c r="CE24" s="262" t="s">
        <v>23</v>
      </c>
      <c r="CF24" s="288">
        <f>0.693/CF25</f>
        <v>4.3312499999999997E-4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3.4250938622659906E-7</v>
      </c>
      <c r="HF24" s="75" t="s">
        <v>303</v>
      </c>
    </row>
    <row r="25" spans="1:214" ht="13.5" thickTop="1" x14ac:dyDescent="0.2">
      <c r="A25" s="262" t="s">
        <v>449</v>
      </c>
      <c r="B25" s="315">
        <v>1.5599552831999999E-6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1.05416644207893E-5</v>
      </c>
      <c r="X25" s="254" t="s">
        <v>302</v>
      </c>
      <c r="Y25" s="321" t="s">
        <v>16</v>
      </c>
      <c r="Z25" s="358">
        <f>1/((1/Z38)+(1/Z39))</f>
        <v>5.0418593320635224E-4</v>
      </c>
      <c r="AA25" s="255" t="s">
        <v>302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1600</v>
      </c>
      <c r="CD25" s="249" t="s">
        <v>69</v>
      </c>
      <c r="CE25" s="266" t="s">
        <v>270</v>
      </c>
      <c r="CF25" s="287">
        <f>B31</f>
        <v>1600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1.7000000000000001E-2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1.4789999999999999E-2</v>
      </c>
      <c r="EA25" s="262"/>
      <c r="EC25" s="263"/>
      <c r="ED25" s="262" t="s">
        <v>38</v>
      </c>
      <c r="EE25" s="287">
        <f>B45</f>
        <v>1.7000000000000001E-2</v>
      </c>
      <c r="EF25" s="263"/>
      <c r="EP25" s="262"/>
      <c r="ER25" s="263"/>
      <c r="ES25" s="263" t="s">
        <v>37</v>
      </c>
      <c r="ET25" s="287">
        <f>B45</f>
        <v>1.7000000000000001E-2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1.4789999999999999E-2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1.4789999999999999E-2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1.4789999999999999E-2</v>
      </c>
      <c r="HC25" s="263"/>
      <c r="HD25" s="265" t="s">
        <v>22</v>
      </c>
      <c r="HE25" s="305">
        <f>B47</f>
        <v>0.185000185000185</v>
      </c>
      <c r="HF25" s="262" t="s">
        <v>304</v>
      </c>
    </row>
    <row r="26" spans="1:214" ht="13.5" thickBot="1" x14ac:dyDescent="0.25">
      <c r="A26" s="262" t="s">
        <v>451</v>
      </c>
      <c r="B26" s="315">
        <v>4.4650217087999997E-6</v>
      </c>
      <c r="C26" s="262" t="s">
        <v>95</v>
      </c>
      <c r="D26" s="95" t="s">
        <v>299</v>
      </c>
      <c r="E26" s="289">
        <f>B293</f>
        <v>27.027027027027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4.3312499999999997E-4</v>
      </c>
      <c r="P26" s="262" t="s">
        <v>23</v>
      </c>
      <c r="Q26" s="288">
        <f>0.693/Q27</f>
        <v>4.3312499999999997E-4</v>
      </c>
      <c r="V26" s="320" t="s">
        <v>15</v>
      </c>
      <c r="W26" s="359">
        <f>1/((1/W38)+(1/W39))</f>
        <v>1.0484796633011327E-5</v>
      </c>
      <c r="X26" s="258" t="s">
        <v>302</v>
      </c>
      <c r="Y26" s="322" t="s">
        <v>15</v>
      </c>
      <c r="Z26" s="360">
        <f>1/((1/Z40)+(1/Z41))</f>
        <v>5.0407676120246749E-4</v>
      </c>
      <c r="AA26" s="259" t="s">
        <v>302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4.3312499999999997E-4</v>
      </c>
      <c r="AL26" s="262" t="s">
        <v>23</v>
      </c>
      <c r="AM26" s="288">
        <f>0.693/AM27</f>
        <v>4.3312499999999997E-4</v>
      </c>
      <c r="AR26" s="262" t="s">
        <v>23</v>
      </c>
      <c r="AS26" s="288">
        <f>0.693/AS27</f>
        <v>4.3312499999999997E-4</v>
      </c>
      <c r="AU26" s="262" t="s">
        <v>23</v>
      </c>
      <c r="AV26" s="288">
        <f>0.693/AV27</f>
        <v>4.3312499999999997E-4</v>
      </c>
      <c r="BA26" s="262" t="s">
        <v>23</v>
      </c>
      <c r="BB26" s="288">
        <f>0.693/BB27</f>
        <v>4.3312499999999997E-4</v>
      </c>
      <c r="BD26" s="262" t="s">
        <v>23</v>
      </c>
      <c r="BE26" s="288">
        <f>0.693/BE27</f>
        <v>4.3312499999999997E-4</v>
      </c>
      <c r="BJ26" s="262" t="s">
        <v>23</v>
      </c>
      <c r="BK26" s="288">
        <f>0.693/BK27</f>
        <v>4.3312499999999997E-4</v>
      </c>
      <c r="BM26" s="262" t="s">
        <v>23</v>
      </c>
      <c r="BN26" s="288">
        <f>0.693/BN27</f>
        <v>4.3312499999999997E-4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95" t="s">
        <v>299</v>
      </c>
      <c r="CX26" s="346">
        <f>B293</f>
        <v>27.027027027027</v>
      </c>
      <c r="CY26" s="88"/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1.7000000000000001E-2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1.6198327006277477E-5</v>
      </c>
      <c r="HF26" s="262" t="s">
        <v>304</v>
      </c>
    </row>
    <row r="27" spans="1:214" ht="15" thickTop="1" x14ac:dyDescent="0.2">
      <c r="A27" s="262" t="s">
        <v>452</v>
      </c>
      <c r="B27" s="315">
        <v>7.0991976959999998E-6</v>
      </c>
      <c r="C27" s="262" t="s">
        <v>95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1600</v>
      </c>
      <c r="O27" s="249" t="s">
        <v>69</v>
      </c>
      <c r="P27" s="266" t="s">
        <v>270</v>
      </c>
      <c r="Q27" s="287">
        <f>B31</f>
        <v>1600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4.3312499999999997E-4</v>
      </c>
      <c r="AD27" s="288">
        <f>0.693/AD28</f>
        <v>4.3312499999999997E-4</v>
      </c>
      <c r="AE27" s="288">
        <f>0.693/AE28</f>
        <v>4.3312499999999997E-4</v>
      </c>
      <c r="AF27" s="288">
        <f>0.693/AF28</f>
        <v>4.3312499999999997E-4</v>
      </c>
      <c r="AG27" s="288">
        <f>0.693/AG28</f>
        <v>4.3312499999999997E-4</v>
      </c>
      <c r="AI27" s="266" t="s">
        <v>270</v>
      </c>
      <c r="AJ27" s="287">
        <f>B31</f>
        <v>1600</v>
      </c>
      <c r="AK27" s="249" t="s">
        <v>69</v>
      </c>
      <c r="AL27" s="266" t="s">
        <v>270</v>
      </c>
      <c r="AM27" s="287">
        <f>B31</f>
        <v>1600</v>
      </c>
      <c r="AN27" s="249" t="s">
        <v>69</v>
      </c>
      <c r="AR27" s="266" t="s">
        <v>270</v>
      </c>
      <c r="AS27" s="287">
        <f>B31</f>
        <v>1600</v>
      </c>
      <c r="AT27" s="249" t="s">
        <v>69</v>
      </c>
      <c r="AU27" s="266" t="s">
        <v>270</v>
      </c>
      <c r="AV27" s="287">
        <f>B31</f>
        <v>1600</v>
      </c>
      <c r="AW27" s="249" t="s">
        <v>69</v>
      </c>
      <c r="BA27" s="266" t="s">
        <v>270</v>
      </c>
      <c r="BB27" s="287">
        <f>B31</f>
        <v>1600</v>
      </c>
      <c r="BC27" s="249" t="s">
        <v>69</v>
      </c>
      <c r="BD27" s="266" t="s">
        <v>270</v>
      </c>
      <c r="BE27" s="287">
        <f>B31</f>
        <v>1600</v>
      </c>
      <c r="BF27" s="249" t="s">
        <v>69</v>
      </c>
      <c r="BJ27" s="266" t="s">
        <v>270</v>
      </c>
      <c r="BK27" s="287">
        <f>B31</f>
        <v>1600</v>
      </c>
      <c r="BL27" s="249" t="s">
        <v>69</v>
      </c>
      <c r="BM27" s="266" t="s">
        <v>270</v>
      </c>
      <c r="BN27" s="287">
        <f>B31</f>
        <v>1600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299</v>
      </c>
      <c r="CL27" s="289">
        <f>B293</f>
        <v>27.027027027027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3.8000000000000002E-4</v>
      </c>
      <c r="EP27" s="262"/>
      <c r="EQ27" s="310"/>
      <c r="ES27" s="262" t="s">
        <v>275</v>
      </c>
      <c r="ET27" s="310">
        <f>B38</f>
        <v>1.6999999999999999E-3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4.3312499999999997E-4</v>
      </c>
    </row>
    <row r="28" spans="1:214" ht="15.75" thickBot="1" x14ac:dyDescent="0.25">
      <c r="A28" s="262" t="s">
        <v>63</v>
      </c>
      <c r="B28" s="315">
        <v>7.7413948559999998E-9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4.3312499999999997E-4</v>
      </c>
      <c r="Y28" s="262" t="s">
        <v>23</v>
      </c>
      <c r="Z28" s="288">
        <f>0.693/Z29</f>
        <v>4.3312499999999997E-4</v>
      </c>
      <c r="AB28" s="266" t="s">
        <v>270</v>
      </c>
      <c r="AC28" s="287">
        <f>B31</f>
        <v>1600</v>
      </c>
      <c r="AD28" s="287">
        <f>B31</f>
        <v>1600</v>
      </c>
      <c r="AE28" s="287">
        <f>B31</f>
        <v>1600</v>
      </c>
      <c r="AF28" s="287">
        <f>B31</f>
        <v>1600</v>
      </c>
      <c r="AG28" s="287">
        <f>B31</f>
        <v>1600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3.44E-2</v>
      </c>
      <c r="CE28" s="249" t="s">
        <v>458</v>
      </c>
      <c r="CF28" s="287">
        <f>B8</f>
        <v>6.8599999999999994E-2</v>
      </c>
      <c r="CK28" s="266" t="s">
        <v>270</v>
      </c>
      <c r="CL28" s="287">
        <f>B31</f>
        <v>1600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1600</v>
      </c>
      <c r="HF28" s="249" t="s">
        <v>69</v>
      </c>
    </row>
    <row r="29" spans="1:214" ht="18.75" thickTop="1" x14ac:dyDescent="0.2">
      <c r="A29" s="266" t="s">
        <v>161</v>
      </c>
      <c r="B29" s="315">
        <v>1.6813889280000001E-11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1600</v>
      </c>
      <c r="X29" s="249" t="s">
        <v>69</v>
      </c>
      <c r="Y29" s="266" t="s">
        <v>270</v>
      </c>
      <c r="Z29" s="287">
        <f>B31</f>
        <v>1600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95" t="s">
        <v>299</v>
      </c>
      <c r="BT29" s="313">
        <f>B293</f>
        <v>27.027027027027</v>
      </c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0.45600000000000002</v>
      </c>
      <c r="CE29" s="249" t="s">
        <v>459</v>
      </c>
      <c r="CF29" s="287">
        <f>B9</f>
        <v>0.73699999999999999</v>
      </c>
      <c r="CK29" s="249" t="s">
        <v>23</v>
      </c>
      <c r="CL29" s="288">
        <f>693/CL28</f>
        <v>0.43312499999999998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5.1429999999999997E-10</v>
      </c>
      <c r="C30" s="267" t="s">
        <v>35</v>
      </c>
      <c r="D30" s="203" t="s">
        <v>510</v>
      </c>
      <c r="E30" s="204">
        <f>E37</f>
        <v>1.46403024100866E-4</v>
      </c>
      <c r="F30" s="184" t="s">
        <v>303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354">
        <f>(AC26*AC27)/(1-EXP(-AC27*AC26))</f>
        <v>1.0054238331718262</v>
      </c>
      <c r="AD30" s="354">
        <f>(AD26*AD27)/(1-EXP(-AD27*AD26))</f>
        <v>1.0054238331718262</v>
      </c>
      <c r="AE30" s="354">
        <f>(AE26*AE27)/(1-EXP(-AE27*AE26))</f>
        <v>1.0054238331718262</v>
      </c>
      <c r="AF30" s="354">
        <f>(AF26*AF27)/(1-EXP(-AF27*AF26))</f>
        <v>1.0002165781331087</v>
      </c>
      <c r="AG30" s="354">
        <f>(AG26*AG27)/(1-EXP(-AG27*AG26))</f>
        <v>1.0002165781331087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11.261394841645959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315">
        <v>1600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0.124</v>
      </c>
      <c r="CB31" s="249" t="s">
        <v>71</v>
      </c>
      <c r="CC31" s="290">
        <f>B24</f>
        <v>1.5179205599999999E-6</v>
      </c>
      <c r="CD31" s="262" t="s">
        <v>282</v>
      </c>
      <c r="CE31" s="249" t="s">
        <v>71</v>
      </c>
      <c r="CF31" s="290">
        <f>B26</f>
        <v>4.4650217087999997E-6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2.8231E-8</v>
      </c>
      <c r="X32" s="263" t="s">
        <v>44</v>
      </c>
      <c r="Y32" s="249" t="s">
        <v>43</v>
      </c>
      <c r="Z32" s="290">
        <f>B19</f>
        <v>2.8231E-8</v>
      </c>
      <c r="AA32" s="263" t="s">
        <v>44</v>
      </c>
      <c r="AB32" s="266" t="s">
        <v>80</v>
      </c>
      <c r="AC32" s="294">
        <f>((AC5/(AC9*AC14*AC8*AC11*(1/AC6)))*AC30)/AC38</f>
        <v>0.20184167290776958</v>
      </c>
      <c r="AD32" s="294">
        <f>((AD5/(AD9*AD14*AD8*AD11*(1/AD6)))*AD30)/AD38</f>
        <v>0.40368334581553916</v>
      </c>
      <c r="AE32" s="294">
        <f>((AE5/(AE9*AE14*AE8*AE11*(1/AE6)))*AE30)/AE38</f>
        <v>0.22426852545307727</v>
      </c>
      <c r="AF32" s="294">
        <f>((AF5/(AF9*AF14*AF8*AF11*(1/AF6)))*AF30)/AF38</f>
        <v>2.9253540465940442</v>
      </c>
      <c r="AG32" s="294">
        <f>((AG5/(AG9*AG14*AG8*AG11*(1/AG6)))*AG30)/AG38</f>
        <v>2.9253540465940442</v>
      </c>
      <c r="AH32" s="266" t="s">
        <v>303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3.44E-2</v>
      </c>
      <c r="BM32" s="249" t="s">
        <v>458</v>
      </c>
      <c r="BN32" s="287">
        <f>B8</f>
        <v>6.8599999999999994E-2</v>
      </c>
      <c r="BV32" s="95" t="s">
        <v>299</v>
      </c>
      <c r="BW32" s="289">
        <f>B293</f>
        <v>27.027027027027</v>
      </c>
      <c r="BY32" s="262" t="s">
        <v>62</v>
      </c>
      <c r="BZ32" s="305">
        <f>B4</f>
        <v>0.79200000000000004</v>
      </c>
      <c r="CB32" s="95" t="s">
        <v>299</v>
      </c>
      <c r="CC32" s="289">
        <f>B293</f>
        <v>27.027027027027</v>
      </c>
      <c r="CE32" s="95" t="s">
        <v>299</v>
      </c>
      <c r="CF32" s="289">
        <f>B293</f>
        <v>27.027027027027</v>
      </c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70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((AC5/(AC21*AC17*AC8*AC11*(1/AC35)*((8/1)/(24/1))*AC31))*AC30)/AC38</f>
        <v>14.329932699650691</v>
      </c>
      <c r="AD33" s="295">
        <f>((AD5/(AD21*AD17*AD8*((8/1)/(24/1))*AD11*(1/AD35)*AD31))*AD30)/AD38</f>
        <v>14.329932699650694</v>
      </c>
      <c r="AE33" s="295">
        <f>((AE5/(AE21*AE17*AE8*((8/1)/(24/1))*AE11*(1/AE35)*AE31))*AE30)/AE38</f>
        <v>15.922147444056325</v>
      </c>
      <c r="AF33" s="295">
        <f>((AF5/(AF21*AF17*AF8*AF11*(1/AF36)*(AF23/24)*AF31))*AF30)/AF38</f>
        <v>0.39008428379389148</v>
      </c>
      <c r="AG33" s="295">
        <f>((AG5/(AG21*AG17*AG8*AG11*(1/AG37)*(AG23/24)*AG31))*AG30)/AG38</f>
        <v>18.179085527827574</v>
      </c>
      <c r="AH33" s="88" t="s">
        <v>303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0.45600000000000002</v>
      </c>
      <c r="BM33" s="249" t="s">
        <v>459</v>
      </c>
      <c r="BN33" s="287">
        <f>B9</f>
        <v>0.73699999999999999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5.1429999999999997E-10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1.5179205599999999E-6</v>
      </c>
      <c r="O34" s="263" t="s">
        <v>447</v>
      </c>
      <c r="P34" s="249" t="s">
        <v>451</v>
      </c>
      <c r="Q34" s="290">
        <f>B26</f>
        <v>4.4650217087999997E-6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((AC5/(AC20*(AC8/365)*AC11*((AC23+AC24)/24)*AC16*AC19))*AC30)/AC38</f>
        <v>7.785027569065274E-4</v>
      </c>
      <c r="AD34" s="296">
        <f>((AD5/(AD20*(AD8/365)*AD11*(AD24/24)*AD18*AD19))*AD30)/AD38</f>
        <v>1.9462568922663183E-3</v>
      </c>
      <c r="AE34" s="296">
        <f>((AE5/(AE20*(AE8/365)*AE11*(AE23/24)*AE16*AE19))*AE30)/AE38</f>
        <v>8.6500306322947497E-4</v>
      </c>
      <c r="AF34" s="296">
        <f>((AF5/(AF20*(AF8/365)*AF11*(AF23/24)*AF16*AF19))*AF30)/AF38</f>
        <v>0.37913582717847039</v>
      </c>
      <c r="AG34" s="296">
        <f>((AG5/(AG20*(AG8/365)*AG11*(AG23/24)*AG16*AG19))*AG30)/AG38</f>
        <v>0.37913582717847039</v>
      </c>
      <c r="AH34" s="266" t="s">
        <v>303</v>
      </c>
      <c r="AI34" s="262" t="s">
        <v>450</v>
      </c>
      <c r="AJ34" s="290">
        <f>B24</f>
        <v>1.5179205599999999E-6</v>
      </c>
      <c r="AK34" s="262" t="s">
        <v>282</v>
      </c>
      <c r="AL34" s="262" t="s">
        <v>451</v>
      </c>
      <c r="AM34" s="290">
        <f>B26</f>
        <v>4.4650217087999997E-6</v>
      </c>
      <c r="AN34" s="263" t="s">
        <v>72</v>
      </c>
      <c r="AR34" s="262" t="s">
        <v>450</v>
      </c>
      <c r="AS34" s="290">
        <f>B24</f>
        <v>1.5179205599999999E-6</v>
      </c>
      <c r="AT34" s="262" t="s">
        <v>282</v>
      </c>
      <c r="AU34" s="262" t="s">
        <v>451</v>
      </c>
      <c r="AV34" s="290">
        <f>B26</f>
        <v>4.4650217087999997E-6</v>
      </c>
      <c r="AW34" s="263" t="s">
        <v>72</v>
      </c>
      <c r="BA34" s="262" t="s">
        <v>450</v>
      </c>
      <c r="BB34" s="290">
        <f>B24</f>
        <v>1.5179205599999999E-6</v>
      </c>
      <c r="BC34" s="262" t="s">
        <v>282</v>
      </c>
      <c r="BD34" s="262" t="s">
        <v>451</v>
      </c>
      <c r="BE34" s="290">
        <f>B26</f>
        <v>4.4650217087999997E-6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1</v>
      </c>
      <c r="HF34" s="249" t="s">
        <v>19</v>
      </c>
    </row>
    <row r="35" spans="1:214" ht="12.75" customHeight="1" x14ac:dyDescent="0.2">
      <c r="A35" s="266" t="s">
        <v>270</v>
      </c>
      <c r="B35" s="315">
        <v>584000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1.5179205599999999E-6</v>
      </c>
      <c r="BL35" s="262" t="s">
        <v>282</v>
      </c>
      <c r="BM35" s="262" t="s">
        <v>451</v>
      </c>
      <c r="BN35" s="290">
        <f>B26</f>
        <v>4.4650217087999997E-6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x14ac:dyDescent="0.2">
      <c r="A36" s="262" t="s">
        <v>122</v>
      </c>
      <c r="B36" s="315">
        <v>4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95" t="s">
        <v>299</v>
      </c>
      <c r="N36" s="361">
        <f>B293</f>
        <v>27.027027027027</v>
      </c>
      <c r="O36" s="281"/>
      <c r="P36" s="95" t="s">
        <v>299</v>
      </c>
      <c r="Q36" s="361">
        <f>B293</f>
        <v>27.027027027027</v>
      </c>
      <c r="R36" s="281"/>
      <c r="V36" s="262" t="s">
        <v>63</v>
      </c>
      <c r="W36" s="287">
        <f>B28</f>
        <v>7.7413948559999998E-9</v>
      </c>
      <c r="X36" s="262" t="s">
        <v>64</v>
      </c>
      <c r="Y36" s="262" t="s">
        <v>63</v>
      </c>
      <c r="Z36" s="287">
        <f>B28</f>
        <v>7.7413948559999998E-9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299</v>
      </c>
      <c r="AJ36" s="289">
        <f>B293</f>
        <v>27.027027027027</v>
      </c>
      <c r="AL36" s="95" t="s">
        <v>299</v>
      </c>
      <c r="AM36" s="289">
        <f>B293</f>
        <v>27.027027027027</v>
      </c>
      <c r="AR36" s="95" t="s">
        <v>299</v>
      </c>
      <c r="AS36" s="289">
        <f>B293</f>
        <v>27.027027027027</v>
      </c>
      <c r="AU36" s="95" t="s">
        <v>299</v>
      </c>
      <c r="AV36" s="289">
        <f>B293</f>
        <v>27.027027027027</v>
      </c>
      <c r="BA36" s="95" t="s">
        <v>299</v>
      </c>
      <c r="BB36" s="289">
        <f>B293</f>
        <v>27.027027027027</v>
      </c>
      <c r="BD36" s="95" t="s">
        <v>299</v>
      </c>
      <c r="BE36" s="289">
        <f>B293</f>
        <v>27.027027027027</v>
      </c>
      <c r="BJ36" s="95" t="s">
        <v>299</v>
      </c>
      <c r="BK36" s="289">
        <f>B293</f>
        <v>27.027027027027</v>
      </c>
      <c r="BM36" s="95" t="s">
        <v>299</v>
      </c>
      <c r="BN36" s="289">
        <f>B293</f>
        <v>27.027027027027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ht="12.75" customHeight="1" x14ac:dyDescent="0.2">
      <c r="A37" s="262" t="s">
        <v>278</v>
      </c>
      <c r="B37" s="315">
        <v>3.8000000000000002E-4</v>
      </c>
      <c r="C37" s="263" t="s">
        <v>298</v>
      </c>
      <c r="D37" s="262" t="s">
        <v>80</v>
      </c>
      <c r="E37" s="300">
        <f>(E32/(E34*E33*E35*E36))/E38</f>
        <v>1.46403024100866E-4</v>
      </c>
      <c r="F37" s="263" t="s">
        <v>303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BY37" s="95" t="s">
        <v>299</v>
      </c>
      <c r="BZ37" s="345">
        <f>B293</f>
        <v>27.027027027027</v>
      </c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1.6999999999999999E-3</v>
      </c>
      <c r="C38" s="263" t="s">
        <v>298</v>
      </c>
      <c r="D38" s="95" t="s">
        <v>299</v>
      </c>
      <c r="E38" s="289">
        <f>B293</f>
        <v>27.027027027027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((W27)/((W33/W34)*W30*W31*W32*W35))/W42</f>
        <v>1.0484927916120589E-5</v>
      </c>
      <c r="X38" s="88" t="s">
        <v>15</v>
      </c>
      <c r="Y38" s="88" t="s">
        <v>74</v>
      </c>
      <c r="Z38" s="294">
        <f>((Z27*Z31*Z28)/((1-EXP(-Z28))*Z31*Z32*Z30*Z44*(Z33/Z34)*Z35))/Z46</f>
        <v>5.0419224626127113E-4</v>
      </c>
      <c r="AA38" s="88" t="s">
        <v>16</v>
      </c>
      <c r="AB38" s="95" t="s">
        <v>299</v>
      </c>
      <c r="AC38" s="345">
        <f>B293</f>
        <v>27.027027027027</v>
      </c>
      <c r="AD38" s="345">
        <f>B293</f>
        <v>27.027027027027</v>
      </c>
      <c r="AE38" s="345">
        <f>B293</f>
        <v>27.027027027027</v>
      </c>
      <c r="AF38" s="345">
        <f>B293</f>
        <v>27.027027027027</v>
      </c>
      <c r="AG38" s="345">
        <f>B293</f>
        <v>27.027027027027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x14ac:dyDescent="0.2">
      <c r="A39" s="262" t="s">
        <v>276</v>
      </c>
      <c r="B39" s="315">
        <v>0</v>
      </c>
      <c r="C39" s="263" t="s">
        <v>298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((W27)/((W33/W34)*W30*W31*W36*(1/365)))/W42</f>
        <v>0.83736847436167094</v>
      </c>
      <c r="X39" s="88" t="s">
        <v>15</v>
      </c>
      <c r="Y39" s="88" t="s">
        <v>78</v>
      </c>
      <c r="Z39" s="296">
        <f>((Z27*Z31*Z28)/((1-EXP(-Z28*Z31))*Z36*Z30*Z44*(Z33/Z34)*Z37*(Z44/Z45)))/Z46</f>
        <v>40.266818753008273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((W27*W28*W31)/((W33/W34)*(1-EXP(-W28*W31))*W32*W35*W30*W31))/W42</f>
        <v>1.0541796415956246E-5</v>
      </c>
      <c r="X40" s="88" t="s">
        <v>16</v>
      </c>
      <c r="Y40" s="88" t="s">
        <v>74</v>
      </c>
      <c r="Z40" s="294">
        <f>(Z27/((Z32*Z30*Z44*(Z33/Z34)*Z35)))/Z46</f>
        <v>5.0408307289041279E-4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((W27*W28*W31)/((W33/W34)*(1-EXP(-W28*W31))*W36*W30*W31*(1/365)))/W42</f>
        <v>0.84191022126995518</v>
      </c>
      <c r="X41" s="88" t="s">
        <v>16</v>
      </c>
      <c r="Y41" s="88" t="s">
        <v>78</v>
      </c>
      <c r="Z41" s="296">
        <f>(Z27/(Z36*Z30*(1/Z45)*Z44*(Z33/Z34)*Z37))/Z46</f>
        <v>40.258099728926481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1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1.6999999999999999E-3</v>
      </c>
      <c r="C42" s="263" t="s">
        <v>298</v>
      </c>
      <c r="D42" s="203" t="s">
        <v>510</v>
      </c>
      <c r="E42" s="204">
        <f>E52</f>
        <v>3.6600756025216494E-2</v>
      </c>
      <c r="F42" s="184" t="s">
        <v>304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299</v>
      </c>
      <c r="W42" s="289">
        <f>B293</f>
        <v>27.027027027027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1.4789999999999999E-2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1.7000000000000001E-2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1</v>
      </c>
      <c r="C46" s="249" t="s">
        <v>19</v>
      </c>
      <c r="D46" s="262" t="s">
        <v>438</v>
      </c>
      <c r="E46" s="287">
        <f>B30</f>
        <v>5.1429999999999997E-10</v>
      </c>
      <c r="F46" s="262" t="s">
        <v>289</v>
      </c>
      <c r="G46" s="249" t="s">
        <v>20</v>
      </c>
      <c r="H46" s="287">
        <f>H48</f>
        <v>1.4789999999999999E-2</v>
      </c>
      <c r="I46" s="263"/>
      <c r="J46" s="269" t="s">
        <v>107</v>
      </c>
      <c r="K46" s="292">
        <f>K34</f>
        <v>26</v>
      </c>
      <c r="L46" s="269" t="s">
        <v>69</v>
      </c>
      <c r="Y46" s="95" t="s">
        <v>299</v>
      </c>
      <c r="Z46" s="289">
        <f>B293</f>
        <v>27.027027027027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f>5/27.027</f>
        <v>0.185000185000185</v>
      </c>
      <c r="C47" s="262" t="s">
        <v>581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1.4789999999999999E-2</v>
      </c>
      <c r="K48" s="289">
        <v>1000</v>
      </c>
      <c r="L48" s="249" t="s">
        <v>115</v>
      </c>
      <c r="CT48" s="95" t="s">
        <v>299</v>
      </c>
      <c r="CU48" s="289">
        <f>B293</f>
        <v>27.027027027027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53" customFormat="1" x14ac:dyDescent="0.2">
      <c r="A49" s="249" t="s">
        <v>331</v>
      </c>
      <c r="B49" s="284">
        <v>0.25</v>
      </c>
      <c r="C49" s="249"/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I49" s="249"/>
      <c r="J49" s="249"/>
      <c r="K49" s="297">
        <v>1000</v>
      </c>
      <c r="L49" s="249" t="s">
        <v>24</v>
      </c>
      <c r="M49" s="249"/>
      <c r="N49" s="289"/>
      <c r="O49" s="249"/>
      <c r="P49" s="249"/>
      <c r="Q49" s="289"/>
      <c r="R49" s="249"/>
      <c r="S49" s="249"/>
      <c r="T49" s="289"/>
      <c r="U49" s="249"/>
      <c r="V49" s="249"/>
      <c r="W49" s="289"/>
      <c r="X49" s="249"/>
      <c r="Y49" s="249"/>
      <c r="Z49" s="289"/>
      <c r="AA49" s="249"/>
      <c r="AB49" s="249"/>
      <c r="AC49" s="289"/>
      <c r="AD49" s="289"/>
      <c r="AE49" s="289"/>
      <c r="AF49" s="289"/>
      <c r="AG49" s="289"/>
      <c r="AH49" s="249"/>
      <c r="AI49" s="249"/>
      <c r="AJ49" s="289"/>
      <c r="AK49" s="249"/>
      <c r="AL49" s="249"/>
      <c r="AM49" s="289"/>
      <c r="AN49" s="249"/>
      <c r="AO49" s="249"/>
      <c r="AP49" s="289"/>
      <c r="AQ49" s="249"/>
      <c r="AR49" s="249"/>
      <c r="AS49" s="289"/>
      <c r="AT49" s="249"/>
      <c r="AU49" s="249"/>
      <c r="AV49" s="289"/>
      <c r="AW49" s="249"/>
      <c r="AX49" s="249"/>
      <c r="AY49" s="289"/>
      <c r="AZ49" s="249"/>
      <c r="BA49" s="249"/>
      <c r="BB49" s="289"/>
      <c r="BC49" s="249"/>
      <c r="BD49" s="249"/>
      <c r="BE49" s="289"/>
      <c r="BF49" s="249"/>
      <c r="BG49" s="249"/>
      <c r="BH49" s="289"/>
      <c r="BI49" s="249"/>
      <c r="BJ49" s="249"/>
      <c r="BK49" s="289"/>
      <c r="BL49" s="249"/>
      <c r="BM49" s="249"/>
      <c r="BN49" s="289"/>
      <c r="BO49" s="249"/>
      <c r="BP49" s="249"/>
      <c r="BQ49" s="289"/>
      <c r="BR49" s="249"/>
      <c r="BS49" s="249"/>
      <c r="BT49" s="289"/>
      <c r="BU49" s="249"/>
      <c r="BV49" s="249"/>
      <c r="BW49" s="289"/>
      <c r="BX49" s="249"/>
      <c r="BY49" s="262"/>
      <c r="BZ49" s="293"/>
      <c r="CA49" s="249"/>
      <c r="CB49" s="249"/>
      <c r="CC49" s="289"/>
      <c r="CD49" s="249"/>
      <c r="CE49" s="249"/>
      <c r="CF49" s="289"/>
      <c r="CG49" s="249"/>
      <c r="CH49" s="249"/>
      <c r="CI49" s="289"/>
      <c r="CJ49" s="249"/>
      <c r="CK49" s="249"/>
      <c r="CL49" s="289"/>
      <c r="CM49" s="249"/>
      <c r="CN49" s="249"/>
      <c r="CO49" s="289"/>
      <c r="CP49" s="249"/>
      <c r="CQ49" s="249"/>
      <c r="CR49" s="289"/>
      <c r="CS49" s="249"/>
      <c r="CT49" s="249"/>
      <c r="CU49" s="289"/>
      <c r="CV49" s="249"/>
      <c r="CW49" s="249"/>
      <c r="CX49" s="289"/>
      <c r="CY49" s="249"/>
      <c r="CZ49" s="249"/>
      <c r="DA49" s="292">
        <v>1000</v>
      </c>
      <c r="DB49" s="267" t="s">
        <v>115</v>
      </c>
      <c r="DC49" s="249"/>
      <c r="DD49" s="289"/>
      <c r="DE49" s="249"/>
      <c r="DF49" s="249"/>
      <c r="DG49" s="289"/>
      <c r="DH49" s="249"/>
      <c r="DI49" s="249"/>
      <c r="DJ49" s="289"/>
      <c r="DK49" s="249"/>
      <c r="DL49" s="249"/>
      <c r="DM49" s="289"/>
      <c r="DN49" s="249"/>
      <c r="DO49" s="249"/>
      <c r="DP49" s="289"/>
      <c r="DQ49" s="249"/>
      <c r="DR49" s="249"/>
      <c r="DS49" s="289"/>
      <c r="DT49" s="249"/>
      <c r="DU49" s="249"/>
      <c r="DV49" s="289"/>
      <c r="DW49" s="264"/>
      <c r="DX49" s="264"/>
      <c r="DY49" s="328"/>
      <c r="DZ49" s="264"/>
    </row>
    <row r="50" spans="1:130" s="53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4</v>
      </c>
      <c r="F50" s="263" t="s">
        <v>19</v>
      </c>
      <c r="G50" s="249" t="s">
        <v>18</v>
      </c>
      <c r="H50" s="288">
        <f>(H53*H54*H48*((1-EXP(-H55*H56))))/(H57*H55)</f>
        <v>0.52543733718458041</v>
      </c>
      <c r="I50" s="249" t="s">
        <v>19</v>
      </c>
      <c r="J50" s="249" t="s">
        <v>20</v>
      </c>
      <c r="K50" s="287">
        <f>K52</f>
        <v>1.4789999999999999E-2</v>
      </c>
      <c r="L50" s="249"/>
      <c r="M50" s="249"/>
      <c r="N50" s="289"/>
      <c r="O50" s="249"/>
      <c r="P50" s="249"/>
      <c r="Q50" s="289"/>
      <c r="R50" s="249"/>
      <c r="S50" s="249"/>
      <c r="T50" s="289"/>
      <c r="U50" s="249"/>
      <c r="V50" s="249"/>
      <c r="W50" s="289"/>
      <c r="X50" s="249"/>
      <c r="Y50" s="249"/>
      <c r="Z50" s="289"/>
      <c r="AA50" s="249"/>
      <c r="AB50" s="249"/>
      <c r="AC50" s="289"/>
      <c r="AD50" s="289"/>
      <c r="AE50" s="289"/>
      <c r="AF50" s="289"/>
      <c r="AG50" s="289"/>
      <c r="AH50" s="249"/>
      <c r="AI50" s="249"/>
      <c r="AJ50" s="289"/>
      <c r="AK50" s="249"/>
      <c r="AL50" s="249"/>
      <c r="AM50" s="289"/>
      <c r="AN50" s="249"/>
      <c r="AO50" s="249"/>
      <c r="AP50" s="289"/>
      <c r="AQ50" s="249"/>
      <c r="AR50" s="249"/>
      <c r="AS50" s="289"/>
      <c r="AT50" s="249"/>
      <c r="AU50" s="249"/>
      <c r="AV50" s="289"/>
      <c r="AW50" s="249"/>
      <c r="AX50" s="249"/>
      <c r="AY50" s="289"/>
      <c r="AZ50" s="249"/>
      <c r="BA50" s="249"/>
      <c r="BB50" s="289"/>
      <c r="BC50" s="249"/>
      <c r="BD50" s="249"/>
      <c r="BE50" s="289"/>
      <c r="BF50" s="249"/>
      <c r="BG50" s="249"/>
      <c r="BH50" s="289"/>
      <c r="BI50" s="249"/>
      <c r="BJ50" s="249"/>
      <c r="BK50" s="289"/>
      <c r="BL50" s="249"/>
      <c r="BM50" s="249"/>
      <c r="BN50" s="289"/>
      <c r="BO50" s="249"/>
      <c r="BP50" s="249"/>
      <c r="BQ50" s="289"/>
      <c r="BR50" s="249"/>
      <c r="BS50" s="249"/>
      <c r="BT50" s="289"/>
      <c r="BU50" s="249"/>
      <c r="BV50" s="249"/>
      <c r="BW50" s="289"/>
      <c r="BX50" s="249"/>
      <c r="BY50" s="263"/>
      <c r="BZ50" s="307"/>
      <c r="CA50" s="249"/>
      <c r="CB50" s="249"/>
      <c r="CC50" s="289"/>
      <c r="CD50" s="249"/>
      <c r="CE50" s="249"/>
      <c r="CF50" s="289"/>
      <c r="CG50" s="249"/>
      <c r="CH50" s="249"/>
      <c r="CI50" s="289"/>
      <c r="CJ50" s="249"/>
      <c r="CK50" s="249"/>
      <c r="CL50" s="289"/>
      <c r="CM50" s="249"/>
      <c r="CN50" s="249"/>
      <c r="CO50" s="289"/>
      <c r="CP50" s="249"/>
      <c r="CQ50" s="249"/>
      <c r="CR50" s="289"/>
      <c r="CS50" s="249"/>
      <c r="CT50" s="263"/>
      <c r="CU50" s="307"/>
      <c r="CV50" s="249"/>
      <c r="CW50" s="249"/>
      <c r="CX50" s="289"/>
      <c r="CY50" s="249"/>
      <c r="CZ50" s="95" t="s">
        <v>299</v>
      </c>
      <c r="DA50" s="289">
        <f>B293</f>
        <v>27.027027027027</v>
      </c>
      <c r="DB50" s="249"/>
      <c r="DC50" s="249"/>
      <c r="DD50" s="289"/>
      <c r="DE50" s="249"/>
      <c r="DF50" s="249"/>
      <c r="DG50" s="289"/>
      <c r="DH50" s="249"/>
      <c r="DI50" s="249"/>
      <c r="DJ50" s="289"/>
      <c r="DK50" s="249"/>
      <c r="DL50" s="249"/>
      <c r="DM50" s="289"/>
      <c r="DN50" s="249"/>
      <c r="DO50" s="249"/>
      <c r="DP50" s="289"/>
      <c r="DQ50" s="249"/>
      <c r="DR50" s="249"/>
      <c r="DS50" s="289"/>
      <c r="DT50" s="249"/>
      <c r="DU50" s="249"/>
      <c r="DV50" s="289"/>
      <c r="DW50" s="264"/>
      <c r="DX50" s="264"/>
      <c r="DY50" s="328"/>
      <c r="DZ50" s="264"/>
    </row>
    <row r="51" spans="1:130" s="53" customFormat="1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9.2368970701819411</v>
      </c>
      <c r="I51" s="249" t="s">
        <v>19</v>
      </c>
      <c r="J51" s="262" t="s">
        <v>28</v>
      </c>
      <c r="K51" s="293">
        <f>K53</f>
        <v>0.26</v>
      </c>
      <c r="L51" s="249"/>
      <c r="M51" s="249"/>
      <c r="N51" s="289"/>
      <c r="O51" s="249"/>
      <c r="P51" s="249"/>
      <c r="Q51" s="289"/>
      <c r="R51" s="249"/>
      <c r="S51" s="249"/>
      <c r="T51" s="289"/>
      <c r="U51" s="249"/>
      <c r="V51" s="249"/>
      <c r="W51" s="289"/>
      <c r="X51" s="249"/>
      <c r="Y51" s="249"/>
      <c r="Z51" s="289"/>
      <c r="AA51" s="249"/>
      <c r="AB51" s="249"/>
      <c r="AC51" s="289"/>
      <c r="AD51" s="289"/>
      <c r="AE51" s="289"/>
      <c r="AF51" s="289"/>
      <c r="AG51" s="289"/>
      <c r="AH51" s="249"/>
      <c r="AI51" s="249"/>
      <c r="AJ51" s="289"/>
      <c r="AK51" s="249"/>
      <c r="AL51" s="249"/>
      <c r="AM51" s="289"/>
      <c r="AN51" s="249"/>
      <c r="AO51" s="249"/>
      <c r="AP51" s="289"/>
      <c r="AQ51" s="249"/>
      <c r="AR51" s="249"/>
      <c r="AS51" s="289"/>
      <c r="AT51" s="249"/>
      <c r="AU51" s="249"/>
      <c r="AV51" s="289"/>
      <c r="AW51" s="249"/>
      <c r="AX51" s="249"/>
      <c r="AY51" s="289"/>
      <c r="AZ51" s="249"/>
      <c r="BA51" s="249"/>
      <c r="BB51" s="289"/>
      <c r="BC51" s="249"/>
      <c r="BD51" s="249"/>
      <c r="BE51" s="289"/>
      <c r="BF51" s="249"/>
      <c r="BG51" s="249"/>
      <c r="BH51" s="289"/>
      <c r="BI51" s="249"/>
      <c r="BJ51" s="249"/>
      <c r="BK51" s="289"/>
      <c r="BL51" s="249"/>
      <c r="BM51" s="249"/>
      <c r="BN51" s="289"/>
      <c r="BO51" s="249"/>
      <c r="BP51" s="249"/>
      <c r="BQ51" s="289"/>
      <c r="BR51" s="249"/>
      <c r="BS51" s="249"/>
      <c r="BT51" s="289"/>
      <c r="BU51" s="249"/>
      <c r="BV51" s="249"/>
      <c r="BW51" s="287"/>
      <c r="BX51" s="249"/>
      <c r="BY51" s="262"/>
      <c r="BZ51" s="293"/>
      <c r="CA51" s="249"/>
      <c r="CB51" s="249"/>
      <c r="CC51" s="289"/>
      <c r="CD51" s="249"/>
      <c r="CE51" s="249"/>
      <c r="CF51" s="289"/>
      <c r="CG51" s="249"/>
      <c r="CH51" s="249"/>
      <c r="CI51" s="289"/>
      <c r="CJ51" s="249"/>
      <c r="CK51" s="249"/>
      <c r="CL51" s="289"/>
      <c r="CM51" s="249"/>
      <c r="CN51" s="249"/>
      <c r="CO51" s="289"/>
      <c r="CP51" s="249"/>
      <c r="CQ51" s="249"/>
      <c r="CR51" s="289"/>
      <c r="CS51" s="249"/>
      <c r="CT51" s="262"/>
      <c r="CU51" s="293"/>
      <c r="CV51" s="249"/>
      <c r="CW51" s="249"/>
      <c r="CX51" s="289"/>
      <c r="CY51" s="249"/>
      <c r="CZ51" s="267"/>
      <c r="DA51" s="289"/>
      <c r="DB51" s="249"/>
      <c r="DC51" s="249"/>
      <c r="DD51" s="289"/>
      <c r="DE51" s="249"/>
      <c r="DF51" s="249"/>
      <c r="DG51" s="289"/>
      <c r="DH51" s="249"/>
      <c r="DI51" s="249"/>
      <c r="DJ51" s="289"/>
      <c r="DK51" s="249"/>
      <c r="DL51" s="249"/>
      <c r="DM51" s="289"/>
      <c r="DN51" s="249"/>
      <c r="DO51" s="249"/>
      <c r="DP51" s="289"/>
      <c r="DQ51" s="249"/>
      <c r="DR51" s="249"/>
      <c r="DS51" s="289"/>
      <c r="DT51" s="249"/>
      <c r="DU51" s="249"/>
      <c r="DV51" s="289"/>
      <c r="DW51" s="264"/>
      <c r="DX51" s="264"/>
      <c r="DY51" s="328"/>
      <c r="DZ51" s="264"/>
    </row>
    <row r="52" spans="1:130" s="53" customFormat="1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>
        <f>(E44/(E46*E45*E47*E48*E50*E51*(1/E49)))/E53</f>
        <v>3.6600756025216494E-2</v>
      </c>
      <c r="F52" s="249" t="s">
        <v>304</v>
      </c>
      <c r="G52" s="249" t="s">
        <v>36</v>
      </c>
      <c r="H52" s="288">
        <f>(H53*H54*H58*H64*((1-EXP(-H59*H60))))/(H61*H59)</f>
        <v>3.6423470278489711</v>
      </c>
      <c r="I52" s="249" t="s">
        <v>19</v>
      </c>
      <c r="J52" s="263" t="s">
        <v>37</v>
      </c>
      <c r="K52" s="290">
        <f>B44</f>
        <v>1.4789999999999999E-2</v>
      </c>
      <c r="L52" s="249"/>
      <c r="M52" s="249"/>
      <c r="N52" s="289"/>
      <c r="O52" s="249"/>
      <c r="P52" s="249"/>
      <c r="Q52" s="289"/>
      <c r="R52" s="249"/>
      <c r="S52" s="249"/>
      <c r="T52" s="289"/>
      <c r="U52" s="249"/>
      <c r="V52" s="249"/>
      <c r="W52" s="289"/>
      <c r="X52" s="249"/>
      <c r="Y52" s="249"/>
      <c r="Z52" s="289"/>
      <c r="AA52" s="249"/>
      <c r="AB52" s="249"/>
      <c r="AC52" s="289"/>
      <c r="AD52" s="289"/>
      <c r="AE52" s="289"/>
      <c r="AF52" s="289"/>
      <c r="AG52" s="289"/>
      <c r="AH52" s="249"/>
      <c r="AI52" s="249"/>
      <c r="AJ52" s="289"/>
      <c r="AK52" s="249"/>
      <c r="AL52" s="249"/>
      <c r="AM52" s="289"/>
      <c r="AN52" s="249"/>
      <c r="AO52" s="249"/>
      <c r="AP52" s="289"/>
      <c r="AQ52" s="249"/>
      <c r="AR52" s="249"/>
      <c r="AS52" s="289"/>
      <c r="AT52" s="249"/>
      <c r="AU52" s="249"/>
      <c r="AV52" s="289"/>
      <c r="AW52" s="249"/>
      <c r="AX52" s="249"/>
      <c r="AY52" s="289"/>
      <c r="AZ52" s="249"/>
      <c r="BA52" s="249"/>
      <c r="BB52" s="289"/>
      <c r="BC52" s="249"/>
      <c r="BD52" s="249"/>
      <c r="BE52" s="289"/>
      <c r="BF52" s="249"/>
      <c r="BG52" s="249"/>
      <c r="BH52" s="289"/>
      <c r="BI52" s="249"/>
      <c r="BJ52" s="249"/>
      <c r="BK52" s="289"/>
      <c r="BL52" s="249"/>
      <c r="BM52" s="249"/>
      <c r="BN52" s="289"/>
      <c r="BO52" s="249"/>
      <c r="BP52" s="249"/>
      <c r="BQ52" s="289"/>
      <c r="BR52" s="249"/>
      <c r="BS52" s="249"/>
      <c r="BT52" s="289"/>
      <c r="BU52" s="249"/>
      <c r="BV52" s="249"/>
      <c r="BW52" s="287"/>
      <c r="BX52" s="249"/>
      <c r="BY52" s="249"/>
      <c r="BZ52" s="289"/>
      <c r="CA52" s="249"/>
      <c r="CB52" s="249"/>
      <c r="CC52" s="289"/>
      <c r="CD52" s="249"/>
      <c r="CE52" s="249"/>
      <c r="CF52" s="289"/>
      <c r="CG52" s="249"/>
      <c r="CH52" s="249"/>
      <c r="CI52" s="289"/>
      <c r="CJ52" s="249"/>
      <c r="CK52" s="249"/>
      <c r="CL52" s="289"/>
      <c r="CM52" s="249"/>
      <c r="CN52" s="249"/>
      <c r="CO52" s="289"/>
      <c r="CP52" s="249"/>
      <c r="CQ52" s="249"/>
      <c r="CR52" s="289"/>
      <c r="CS52" s="249"/>
      <c r="CT52" s="249"/>
      <c r="CU52" s="289"/>
      <c r="CV52" s="249"/>
      <c r="CW52" s="249"/>
      <c r="CX52" s="289"/>
      <c r="CY52" s="249"/>
      <c r="CZ52" s="267"/>
      <c r="DA52" s="289"/>
      <c r="DB52" s="249"/>
      <c r="DC52" s="249"/>
      <c r="DD52" s="289"/>
      <c r="DE52" s="249"/>
      <c r="DF52" s="249"/>
      <c r="DG52" s="289"/>
      <c r="DH52" s="249"/>
      <c r="DI52" s="249"/>
      <c r="DJ52" s="289"/>
      <c r="DK52" s="249"/>
      <c r="DL52" s="249"/>
      <c r="DM52" s="289"/>
      <c r="DN52" s="249"/>
      <c r="DO52" s="249"/>
      <c r="DP52" s="289"/>
      <c r="DQ52" s="249"/>
      <c r="DR52" s="249"/>
      <c r="DS52" s="289"/>
      <c r="DT52" s="249"/>
      <c r="DU52" s="249"/>
      <c r="DV52" s="289"/>
      <c r="DW52" s="264"/>
      <c r="DX52" s="264"/>
      <c r="DY52" s="328"/>
      <c r="DZ52" s="264"/>
    </row>
    <row r="53" spans="1:130" s="53" customFormat="1" x14ac:dyDescent="0.2">
      <c r="A53" s="262" t="s">
        <v>320</v>
      </c>
      <c r="B53" s="283">
        <v>200</v>
      </c>
      <c r="C53" s="263" t="s">
        <v>54</v>
      </c>
      <c r="D53" s="95" t="s">
        <v>299</v>
      </c>
      <c r="E53" s="289">
        <f>B293</f>
        <v>27.027027027027</v>
      </c>
      <c r="F53" s="249"/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L53" s="249"/>
      <c r="M53" s="249"/>
      <c r="N53" s="289"/>
      <c r="O53" s="249"/>
      <c r="P53" s="249"/>
      <c r="Q53" s="289"/>
      <c r="R53" s="249"/>
      <c r="S53" s="249"/>
      <c r="T53" s="289"/>
      <c r="U53" s="249"/>
      <c r="V53" s="249"/>
      <c r="W53" s="289"/>
      <c r="X53" s="249"/>
      <c r="Y53" s="249"/>
      <c r="Z53" s="289"/>
      <c r="AA53" s="249"/>
      <c r="AB53" s="249"/>
      <c r="AC53" s="289"/>
      <c r="AD53" s="289"/>
      <c r="AE53" s="289"/>
      <c r="AF53" s="289"/>
      <c r="AG53" s="289"/>
      <c r="AH53" s="249"/>
      <c r="AI53" s="249"/>
      <c r="AJ53" s="289"/>
      <c r="AK53" s="249"/>
      <c r="AL53" s="249"/>
      <c r="AM53" s="289"/>
      <c r="AN53" s="249"/>
      <c r="AO53" s="249"/>
      <c r="AP53" s="289"/>
      <c r="AQ53" s="249"/>
      <c r="AR53" s="249"/>
      <c r="AS53" s="289"/>
      <c r="AT53" s="249"/>
      <c r="AU53" s="249"/>
      <c r="AV53" s="289"/>
      <c r="AW53" s="249"/>
      <c r="AX53" s="249"/>
      <c r="AY53" s="289"/>
      <c r="AZ53" s="249"/>
      <c r="BA53" s="249"/>
      <c r="BB53" s="289"/>
      <c r="BC53" s="249"/>
      <c r="BD53" s="249"/>
      <c r="BE53" s="289"/>
      <c r="BF53" s="249"/>
      <c r="BG53" s="249"/>
      <c r="BH53" s="289"/>
      <c r="BI53" s="249"/>
      <c r="BJ53" s="249"/>
      <c r="BK53" s="289"/>
      <c r="BL53" s="249"/>
      <c r="BM53" s="249"/>
      <c r="BN53" s="289"/>
      <c r="BO53" s="249"/>
      <c r="BP53" s="249"/>
      <c r="BQ53" s="289"/>
      <c r="BR53" s="249"/>
      <c r="BS53" s="249"/>
      <c r="BT53" s="289"/>
      <c r="BU53" s="249"/>
      <c r="BV53" s="262"/>
      <c r="BW53" s="289"/>
      <c r="BX53" s="249"/>
      <c r="BY53" s="249"/>
      <c r="BZ53" s="289"/>
      <c r="CA53" s="249"/>
      <c r="CB53" s="249"/>
      <c r="CC53" s="289"/>
      <c r="CD53" s="249"/>
      <c r="CE53" s="249"/>
      <c r="CF53" s="289"/>
      <c r="CG53" s="249"/>
      <c r="CH53" s="249"/>
      <c r="CI53" s="289"/>
      <c r="CJ53" s="249"/>
      <c r="CK53" s="249"/>
      <c r="CL53" s="289"/>
      <c r="CM53" s="249"/>
      <c r="CN53" s="249"/>
      <c r="CO53" s="289"/>
      <c r="CP53" s="249"/>
      <c r="CQ53" s="249"/>
      <c r="CR53" s="289"/>
      <c r="CS53" s="249"/>
      <c r="CT53" s="249"/>
      <c r="CU53" s="289"/>
      <c r="CV53" s="249"/>
      <c r="CW53" s="249"/>
      <c r="CX53" s="289"/>
      <c r="CY53" s="249"/>
      <c r="CZ53" s="267"/>
      <c r="DA53" s="289"/>
      <c r="DB53" s="249"/>
      <c r="DC53" s="249"/>
      <c r="DD53" s="289"/>
      <c r="DE53" s="249"/>
      <c r="DF53" s="249"/>
      <c r="DG53" s="289"/>
      <c r="DH53" s="249"/>
      <c r="DI53" s="249"/>
      <c r="DJ53" s="289"/>
      <c r="DK53" s="249"/>
      <c r="DL53" s="249"/>
      <c r="DM53" s="289"/>
      <c r="DN53" s="249"/>
      <c r="DO53" s="249"/>
      <c r="DP53" s="289"/>
      <c r="DQ53" s="249"/>
      <c r="DR53" s="249"/>
      <c r="DS53" s="289"/>
      <c r="DT53" s="249"/>
      <c r="DU53" s="249"/>
      <c r="DV53" s="289"/>
      <c r="DW53" s="249"/>
      <c r="DX53" s="249"/>
      <c r="DY53" s="289"/>
      <c r="DZ53" s="249"/>
    </row>
    <row r="54" spans="1:130" s="53" customFormat="1" x14ac:dyDescent="0.2">
      <c r="A54" s="262" t="s">
        <v>321</v>
      </c>
      <c r="B54" s="283">
        <v>100</v>
      </c>
      <c r="C54" s="263" t="s">
        <v>54</v>
      </c>
      <c r="D54" s="249"/>
      <c r="E54" s="289"/>
      <c r="F54" s="249"/>
      <c r="G54" s="262" t="s">
        <v>46</v>
      </c>
      <c r="H54" s="287">
        <f>B86</f>
        <v>0.25</v>
      </c>
      <c r="I54" s="249" t="s">
        <v>47</v>
      </c>
      <c r="J54" s="95" t="s">
        <v>299</v>
      </c>
      <c r="K54" s="289">
        <f>B293</f>
        <v>27.027027027027</v>
      </c>
      <c r="L54" s="249"/>
      <c r="M54" s="249"/>
      <c r="N54" s="289"/>
      <c r="O54" s="249"/>
      <c r="P54" s="249"/>
      <c r="Q54" s="289"/>
      <c r="R54" s="249"/>
      <c r="S54" s="249"/>
      <c r="T54" s="289"/>
      <c r="U54" s="249"/>
      <c r="V54" s="249"/>
      <c r="W54" s="289"/>
      <c r="X54" s="249"/>
      <c r="Y54" s="249"/>
      <c r="Z54" s="289"/>
      <c r="AA54" s="249"/>
      <c r="AB54" s="249"/>
      <c r="AC54" s="289"/>
      <c r="AD54" s="289"/>
      <c r="AE54" s="289"/>
      <c r="AF54" s="289"/>
      <c r="AG54" s="289"/>
      <c r="AH54" s="249"/>
      <c r="AI54" s="249"/>
      <c r="AJ54" s="289"/>
      <c r="AK54" s="249"/>
      <c r="AL54" s="249"/>
      <c r="AM54" s="289"/>
      <c r="AN54" s="249"/>
      <c r="AO54" s="249"/>
      <c r="AP54" s="289"/>
      <c r="AQ54" s="249"/>
      <c r="AR54" s="249"/>
      <c r="AS54" s="289"/>
      <c r="AT54" s="249"/>
      <c r="AU54" s="249"/>
      <c r="AV54" s="289"/>
      <c r="AW54" s="249"/>
      <c r="AX54" s="249"/>
      <c r="AY54" s="289"/>
      <c r="AZ54" s="249"/>
      <c r="BA54" s="249"/>
      <c r="BB54" s="289"/>
      <c r="BC54" s="249"/>
      <c r="BD54" s="249"/>
      <c r="BE54" s="289"/>
      <c r="BF54" s="249"/>
      <c r="BG54" s="249"/>
      <c r="BH54" s="289"/>
      <c r="BI54" s="249"/>
      <c r="BJ54" s="249"/>
      <c r="BK54" s="289"/>
      <c r="BL54" s="249"/>
      <c r="BM54" s="249"/>
      <c r="BN54" s="289"/>
      <c r="BO54" s="249"/>
      <c r="BP54" s="249"/>
      <c r="BQ54" s="289"/>
      <c r="BR54" s="249"/>
      <c r="BS54" s="249"/>
      <c r="BT54" s="289"/>
      <c r="BU54" s="249"/>
      <c r="BV54" s="262"/>
      <c r="BW54" s="289"/>
      <c r="BX54" s="249"/>
      <c r="BY54" s="249"/>
      <c r="BZ54" s="289"/>
      <c r="CA54" s="249"/>
      <c r="CB54" s="249"/>
      <c r="CC54" s="289"/>
      <c r="CD54" s="249"/>
      <c r="CE54" s="249"/>
      <c r="CF54" s="289"/>
      <c r="CG54" s="249"/>
      <c r="CH54" s="249"/>
      <c r="CI54" s="289"/>
      <c r="CJ54" s="249"/>
      <c r="CK54" s="249"/>
      <c r="CL54" s="289"/>
      <c r="CM54" s="249"/>
      <c r="CN54" s="249"/>
      <c r="CO54" s="289"/>
      <c r="CP54" s="249"/>
      <c r="CQ54" s="249"/>
      <c r="CR54" s="289"/>
      <c r="CS54" s="249"/>
      <c r="CT54" s="249"/>
      <c r="CU54" s="289"/>
      <c r="CV54" s="249"/>
      <c r="CW54" s="249"/>
      <c r="CX54" s="289"/>
      <c r="CY54" s="249"/>
      <c r="CZ54" s="267"/>
      <c r="DA54" s="289"/>
      <c r="DB54" s="249"/>
      <c r="DC54" s="249"/>
      <c r="DD54" s="289"/>
      <c r="DE54" s="249"/>
      <c r="DF54" s="249"/>
      <c r="DG54" s="289"/>
      <c r="DH54" s="249"/>
      <c r="DI54" s="249"/>
      <c r="DJ54" s="289"/>
      <c r="DK54" s="249"/>
      <c r="DL54" s="249"/>
      <c r="DM54" s="289"/>
      <c r="DN54" s="249"/>
      <c r="DO54" s="249"/>
      <c r="DP54" s="289"/>
      <c r="DQ54" s="249"/>
      <c r="DR54" s="249"/>
      <c r="DS54" s="289"/>
      <c r="DT54" s="249"/>
      <c r="DU54" s="249"/>
      <c r="DV54" s="289"/>
      <c r="DW54" s="249"/>
      <c r="DX54" s="249"/>
      <c r="DY54" s="289"/>
      <c r="DZ54" s="249"/>
    </row>
    <row r="55" spans="1:130" s="53" customFormat="1" x14ac:dyDescent="0.2">
      <c r="A55" s="262" t="s">
        <v>322</v>
      </c>
      <c r="B55" s="283">
        <v>0.78</v>
      </c>
      <c r="C55" s="262" t="s">
        <v>30</v>
      </c>
      <c r="D55" s="249"/>
      <c r="E55" s="289"/>
      <c r="F55" s="249"/>
      <c r="G55" s="267" t="s">
        <v>55</v>
      </c>
      <c r="H55" s="303">
        <f>H62+H63</f>
        <v>2.8186643835616437E-5</v>
      </c>
      <c r="I55" s="249"/>
      <c r="J55" s="249"/>
      <c r="K55" s="289"/>
      <c r="L55" s="249"/>
      <c r="M55" s="249"/>
      <c r="N55" s="289"/>
      <c r="O55" s="249"/>
      <c r="P55" s="249"/>
      <c r="Q55" s="289"/>
      <c r="R55" s="249"/>
      <c r="S55" s="249"/>
      <c r="T55" s="289"/>
      <c r="U55" s="249"/>
      <c r="V55" s="249"/>
      <c r="W55" s="289"/>
      <c r="X55" s="249"/>
      <c r="Y55" s="249"/>
      <c r="Z55" s="289"/>
      <c r="AA55" s="249"/>
      <c r="AB55" s="249"/>
      <c r="AC55" s="289"/>
      <c r="AD55" s="289"/>
      <c r="AE55" s="289"/>
      <c r="AF55" s="289"/>
      <c r="AG55" s="289"/>
      <c r="AH55" s="249"/>
      <c r="AI55" s="249"/>
      <c r="AJ55" s="289"/>
      <c r="AK55" s="249"/>
      <c r="AL55" s="249"/>
      <c r="AM55" s="289"/>
      <c r="AN55" s="249"/>
      <c r="AO55" s="249"/>
      <c r="AP55" s="289"/>
      <c r="AQ55" s="249"/>
      <c r="AR55" s="249"/>
      <c r="AS55" s="289"/>
      <c r="AT55" s="249"/>
      <c r="AU55" s="249"/>
      <c r="AV55" s="289"/>
      <c r="AW55" s="249"/>
      <c r="AX55" s="249"/>
      <c r="AY55" s="289"/>
      <c r="AZ55" s="249"/>
      <c r="BA55" s="249"/>
      <c r="BB55" s="289"/>
      <c r="BC55" s="249"/>
      <c r="BD55" s="249"/>
      <c r="BE55" s="289"/>
      <c r="BF55" s="249"/>
      <c r="BG55" s="249"/>
      <c r="BH55" s="289"/>
      <c r="BI55" s="249"/>
      <c r="BJ55" s="249"/>
      <c r="BK55" s="289"/>
      <c r="BL55" s="249"/>
      <c r="BM55" s="249"/>
      <c r="BN55" s="289"/>
      <c r="BO55" s="249"/>
      <c r="BP55" s="249"/>
      <c r="BQ55" s="289"/>
      <c r="BR55" s="249"/>
      <c r="BS55" s="249"/>
      <c r="BT55" s="289"/>
      <c r="BU55" s="249"/>
      <c r="BV55" s="267"/>
      <c r="BW55" s="289"/>
      <c r="BX55" s="249"/>
      <c r="BY55" s="249"/>
      <c r="BZ55" s="289"/>
      <c r="CA55" s="249"/>
      <c r="CB55" s="249"/>
      <c r="CC55" s="289"/>
      <c r="CD55" s="249"/>
      <c r="CE55" s="249"/>
      <c r="CF55" s="289"/>
      <c r="CG55" s="249"/>
      <c r="CH55" s="249"/>
      <c r="CI55" s="289"/>
      <c r="CJ55" s="249"/>
      <c r="CK55" s="249"/>
      <c r="CL55" s="289"/>
      <c r="CM55" s="249"/>
      <c r="CN55" s="249"/>
      <c r="CO55" s="289"/>
      <c r="CP55" s="249"/>
      <c r="CQ55" s="249"/>
      <c r="CR55" s="289"/>
      <c r="CS55" s="249"/>
      <c r="CT55" s="249"/>
      <c r="CU55" s="289"/>
      <c r="CV55" s="249"/>
      <c r="CW55" s="249"/>
      <c r="CX55" s="289"/>
      <c r="CY55" s="249"/>
      <c r="CZ55" s="267"/>
      <c r="DA55" s="289"/>
      <c r="DB55" s="249"/>
      <c r="DC55" s="249"/>
      <c r="DD55" s="289"/>
      <c r="DE55" s="249"/>
      <c r="DF55" s="249"/>
      <c r="DG55" s="289"/>
      <c r="DH55" s="249"/>
      <c r="DI55" s="249"/>
      <c r="DJ55" s="289"/>
      <c r="DK55" s="249"/>
      <c r="DL55" s="249"/>
      <c r="DM55" s="289"/>
      <c r="DN55" s="249"/>
      <c r="DO55" s="249"/>
      <c r="DP55" s="289"/>
      <c r="DQ55" s="249"/>
      <c r="DR55" s="249"/>
      <c r="DS55" s="289"/>
      <c r="DT55" s="249"/>
      <c r="DU55" s="249"/>
      <c r="DV55" s="289"/>
      <c r="DW55" s="249"/>
      <c r="DX55" s="249"/>
      <c r="DY55" s="289"/>
      <c r="DZ55" s="249"/>
    </row>
    <row r="56" spans="1:130" s="53" customFormat="1" x14ac:dyDescent="0.2">
      <c r="A56" s="262" t="s">
        <v>323</v>
      </c>
      <c r="B56" s="283">
        <v>2.5</v>
      </c>
      <c r="C56" s="262" t="s">
        <v>30</v>
      </c>
      <c r="D56" s="249"/>
      <c r="E56" s="289"/>
      <c r="F56" s="249"/>
      <c r="G56" s="267" t="s">
        <v>60</v>
      </c>
      <c r="H56" s="289">
        <f>B87</f>
        <v>10950</v>
      </c>
      <c r="I56" s="249" t="s">
        <v>61</v>
      </c>
      <c r="J56" s="249"/>
      <c r="K56" s="289"/>
      <c r="L56" s="249"/>
      <c r="M56" s="249"/>
      <c r="N56" s="289"/>
      <c r="O56" s="249"/>
      <c r="P56" s="249"/>
      <c r="Q56" s="289"/>
      <c r="R56" s="249"/>
      <c r="S56" s="249"/>
      <c r="T56" s="289"/>
      <c r="U56" s="249"/>
      <c r="V56" s="249"/>
      <c r="W56" s="289"/>
      <c r="X56" s="249"/>
      <c r="Y56" s="249"/>
      <c r="Z56" s="289"/>
      <c r="AA56" s="249"/>
      <c r="AB56" s="249"/>
      <c r="AC56" s="289"/>
      <c r="AD56" s="289"/>
      <c r="AE56" s="289"/>
      <c r="AF56" s="289"/>
      <c r="AG56" s="289"/>
      <c r="AH56" s="249"/>
      <c r="AI56" s="249"/>
      <c r="AJ56" s="289"/>
      <c r="AK56" s="249"/>
      <c r="AL56" s="249"/>
      <c r="AM56" s="289"/>
      <c r="AN56" s="249"/>
      <c r="AO56" s="249"/>
      <c r="AP56" s="289"/>
      <c r="AQ56" s="249"/>
      <c r="AR56" s="249"/>
      <c r="AS56" s="289"/>
      <c r="AT56" s="249"/>
      <c r="AU56" s="249"/>
      <c r="AV56" s="289"/>
      <c r="AW56" s="249"/>
      <c r="AX56" s="249"/>
      <c r="AY56" s="289"/>
      <c r="AZ56" s="249"/>
      <c r="BA56" s="249"/>
      <c r="BB56" s="289"/>
      <c r="BC56" s="249"/>
      <c r="BD56" s="249"/>
      <c r="BE56" s="289"/>
      <c r="BF56" s="249"/>
      <c r="BG56" s="249"/>
      <c r="BH56" s="289"/>
      <c r="BI56" s="249"/>
      <c r="BJ56" s="249"/>
      <c r="BK56" s="289"/>
      <c r="BL56" s="249"/>
      <c r="BM56" s="249"/>
      <c r="BN56" s="289"/>
      <c r="BO56" s="249"/>
      <c r="BP56" s="249"/>
      <c r="BQ56" s="289"/>
      <c r="BR56" s="249"/>
      <c r="BS56" s="249"/>
      <c r="BT56" s="289"/>
      <c r="BU56" s="249"/>
      <c r="BV56" s="267"/>
      <c r="BW56" s="289"/>
      <c r="BX56" s="249"/>
      <c r="BY56" s="249"/>
      <c r="BZ56" s="289"/>
      <c r="CA56" s="249"/>
      <c r="CB56" s="249"/>
      <c r="CC56" s="289"/>
      <c r="CD56" s="249"/>
      <c r="CE56" s="249"/>
      <c r="CF56" s="289"/>
      <c r="CG56" s="249"/>
      <c r="CH56" s="249"/>
      <c r="CI56" s="289"/>
      <c r="CJ56" s="249"/>
      <c r="CK56" s="249"/>
      <c r="CL56" s="289"/>
      <c r="CM56" s="249"/>
      <c r="CN56" s="249"/>
      <c r="CO56" s="289"/>
      <c r="CP56" s="249"/>
      <c r="CQ56" s="249"/>
      <c r="CR56" s="289"/>
      <c r="CS56" s="249"/>
      <c r="CT56" s="249"/>
      <c r="CU56" s="289"/>
      <c r="CV56" s="249"/>
      <c r="CW56" s="249"/>
      <c r="CX56" s="289"/>
      <c r="CY56" s="249"/>
      <c r="CZ56" s="267"/>
      <c r="DA56" s="289"/>
      <c r="DB56" s="249"/>
      <c r="DC56" s="249"/>
      <c r="DD56" s="289"/>
      <c r="DE56" s="249"/>
      <c r="DF56" s="249"/>
      <c r="DG56" s="289"/>
      <c r="DH56" s="249"/>
      <c r="DI56" s="249"/>
      <c r="DJ56" s="289"/>
      <c r="DK56" s="249"/>
      <c r="DL56" s="249"/>
      <c r="DM56" s="289"/>
      <c r="DN56" s="249"/>
      <c r="DO56" s="249"/>
      <c r="DP56" s="289"/>
      <c r="DQ56" s="249"/>
      <c r="DR56" s="249"/>
      <c r="DS56" s="289"/>
      <c r="DT56" s="249"/>
      <c r="DU56" s="249"/>
      <c r="DV56" s="289"/>
      <c r="DW56" s="249"/>
      <c r="DX56" s="249"/>
      <c r="DY56" s="289"/>
      <c r="DZ56" s="249"/>
    </row>
    <row r="57" spans="1:130" s="53" customFormat="1" x14ac:dyDescent="0.2">
      <c r="A57" s="262" t="s">
        <v>337</v>
      </c>
      <c r="B57" s="283">
        <v>54</v>
      </c>
      <c r="C57" s="249" t="s">
        <v>54</v>
      </c>
      <c r="D57" s="249"/>
      <c r="E57" s="289"/>
      <c r="F57" s="249"/>
      <c r="G57" s="267" t="s">
        <v>65</v>
      </c>
      <c r="H57" s="289">
        <f>B88</f>
        <v>240</v>
      </c>
      <c r="I57" s="249" t="s">
        <v>66</v>
      </c>
      <c r="J57" s="249"/>
      <c r="K57" s="289"/>
      <c r="L57" s="249"/>
      <c r="M57" s="249"/>
      <c r="N57" s="289"/>
      <c r="O57" s="249"/>
      <c r="P57" s="249"/>
      <c r="Q57" s="289"/>
      <c r="R57" s="249"/>
      <c r="S57" s="249"/>
      <c r="T57" s="289"/>
      <c r="U57" s="249"/>
      <c r="V57" s="249"/>
      <c r="W57" s="289"/>
      <c r="X57" s="249"/>
      <c r="Y57" s="249"/>
      <c r="Z57" s="289"/>
      <c r="AA57" s="249"/>
      <c r="AB57" s="249"/>
      <c r="AC57" s="289"/>
      <c r="AD57" s="289"/>
      <c r="AE57" s="289"/>
      <c r="AF57" s="289"/>
      <c r="AG57" s="289"/>
      <c r="AH57" s="249"/>
      <c r="AI57" s="249"/>
      <c r="AJ57" s="289"/>
      <c r="AK57" s="249"/>
      <c r="AL57" s="249"/>
      <c r="AM57" s="289"/>
      <c r="AN57" s="249"/>
      <c r="AO57" s="249"/>
      <c r="AP57" s="289"/>
      <c r="AQ57" s="249"/>
      <c r="AR57" s="249"/>
      <c r="AS57" s="289"/>
      <c r="AT57" s="249"/>
      <c r="AU57" s="249"/>
      <c r="AV57" s="289"/>
      <c r="AW57" s="249"/>
      <c r="AX57" s="249"/>
      <c r="AY57" s="289"/>
      <c r="AZ57" s="249"/>
      <c r="BA57" s="249"/>
      <c r="BB57" s="289"/>
      <c r="BC57" s="249"/>
      <c r="BD57" s="249"/>
      <c r="BE57" s="289"/>
      <c r="BF57" s="249"/>
      <c r="BG57" s="249"/>
      <c r="BH57" s="289"/>
      <c r="BI57" s="249"/>
      <c r="BJ57" s="249"/>
      <c r="BK57" s="289"/>
      <c r="BL57" s="249"/>
      <c r="BM57" s="249"/>
      <c r="BN57" s="289"/>
      <c r="BO57" s="249"/>
      <c r="BP57" s="249"/>
      <c r="BQ57" s="289"/>
      <c r="BR57" s="249"/>
      <c r="BS57" s="249"/>
      <c r="BT57" s="289"/>
      <c r="BU57" s="249"/>
      <c r="BV57" s="267"/>
      <c r="BW57" s="289"/>
      <c r="BX57" s="249"/>
      <c r="BY57" s="249"/>
      <c r="BZ57" s="289"/>
      <c r="CA57" s="249"/>
      <c r="CB57" s="249"/>
      <c r="CC57" s="289"/>
      <c r="CD57" s="249"/>
      <c r="CE57" s="249"/>
      <c r="CF57" s="289"/>
      <c r="CG57" s="249"/>
      <c r="CH57" s="249"/>
      <c r="CI57" s="289"/>
      <c r="CJ57" s="249"/>
      <c r="CK57" s="249"/>
      <c r="CL57" s="289"/>
      <c r="CM57" s="249"/>
      <c r="CN57" s="249"/>
      <c r="CO57" s="289"/>
      <c r="CP57" s="249"/>
      <c r="CQ57" s="249"/>
      <c r="CR57" s="289"/>
      <c r="CS57" s="249"/>
      <c r="CT57" s="249"/>
      <c r="CU57" s="289"/>
      <c r="CV57" s="249"/>
      <c r="CW57" s="249"/>
      <c r="CX57" s="289"/>
      <c r="CY57" s="249"/>
      <c r="CZ57" s="267"/>
      <c r="DA57" s="293"/>
      <c r="DB57" s="262"/>
      <c r="DC57" s="249"/>
      <c r="DD57" s="289"/>
      <c r="DE57" s="249"/>
      <c r="DF57" s="249"/>
      <c r="DG57" s="289"/>
      <c r="DH57" s="249"/>
      <c r="DI57" s="249"/>
      <c r="DJ57" s="289"/>
      <c r="DK57" s="249"/>
      <c r="DL57" s="249"/>
      <c r="DM57" s="289"/>
      <c r="DN57" s="249"/>
      <c r="DO57" s="249"/>
      <c r="DP57" s="289"/>
      <c r="DQ57" s="249"/>
      <c r="DR57" s="249"/>
      <c r="DS57" s="289"/>
      <c r="DT57" s="249"/>
      <c r="DU57" s="249"/>
      <c r="DV57" s="289"/>
      <c r="DW57" s="249"/>
      <c r="DX57" s="249"/>
      <c r="DY57" s="289"/>
      <c r="DZ57" s="249"/>
    </row>
    <row r="58" spans="1:130" s="53" customFormat="1" x14ac:dyDescent="0.2">
      <c r="A58" s="249" t="s">
        <v>357</v>
      </c>
      <c r="B58" s="283">
        <v>32.799999999999997</v>
      </c>
      <c r="C58" s="249" t="s">
        <v>54</v>
      </c>
      <c r="D58" s="249"/>
      <c r="E58" s="289"/>
      <c r="F58" s="249"/>
      <c r="G58" s="267" t="s">
        <v>76</v>
      </c>
      <c r="H58" s="289">
        <f>B89</f>
        <v>0.42</v>
      </c>
      <c r="I58" s="249" t="s">
        <v>47</v>
      </c>
      <c r="J58" s="249"/>
      <c r="K58" s="289"/>
      <c r="L58" s="249"/>
      <c r="M58" s="249"/>
      <c r="N58" s="289"/>
      <c r="O58" s="249"/>
      <c r="P58" s="249"/>
      <c r="Q58" s="289"/>
      <c r="R58" s="249"/>
      <c r="S58" s="249"/>
      <c r="T58" s="289"/>
      <c r="U58" s="249"/>
      <c r="V58" s="249"/>
      <c r="W58" s="289"/>
      <c r="X58" s="249"/>
      <c r="Y58" s="249"/>
      <c r="Z58" s="289"/>
      <c r="AA58" s="249"/>
      <c r="AB58" s="249"/>
      <c r="AC58" s="289"/>
      <c r="AD58" s="289"/>
      <c r="AE58" s="289"/>
      <c r="AF58" s="289"/>
      <c r="AG58" s="289"/>
      <c r="AH58" s="249"/>
      <c r="AI58" s="249"/>
      <c r="AJ58" s="289"/>
      <c r="AK58" s="249"/>
      <c r="AL58" s="249"/>
      <c r="AM58" s="289"/>
      <c r="AN58" s="249"/>
      <c r="AO58" s="249"/>
      <c r="AP58" s="289"/>
      <c r="AQ58" s="249"/>
      <c r="AR58" s="249"/>
      <c r="AS58" s="289"/>
      <c r="AT58" s="249"/>
      <c r="AU58" s="249"/>
      <c r="AV58" s="289"/>
      <c r="AW58" s="249"/>
      <c r="AX58" s="249"/>
      <c r="AY58" s="289"/>
      <c r="AZ58" s="249"/>
      <c r="BA58" s="249"/>
      <c r="BB58" s="289"/>
      <c r="BC58" s="249"/>
      <c r="BD58" s="249"/>
      <c r="BE58" s="289"/>
      <c r="BF58" s="249"/>
      <c r="BG58" s="249"/>
      <c r="BH58" s="289"/>
      <c r="BI58" s="249"/>
      <c r="BJ58" s="249"/>
      <c r="BK58" s="289"/>
      <c r="BL58" s="249"/>
      <c r="BM58" s="249"/>
      <c r="BN58" s="289"/>
      <c r="BO58" s="249"/>
      <c r="BP58" s="249"/>
      <c r="BQ58" s="289"/>
      <c r="BR58" s="249"/>
      <c r="BS58" s="249"/>
      <c r="BT58" s="289"/>
      <c r="BU58" s="249"/>
      <c r="BV58" s="267"/>
      <c r="BW58" s="289"/>
      <c r="BX58" s="249"/>
      <c r="BY58" s="249"/>
      <c r="BZ58" s="289"/>
      <c r="CA58" s="249"/>
      <c r="CB58" s="249"/>
      <c r="CC58" s="289"/>
      <c r="CD58" s="249"/>
      <c r="CE58" s="249"/>
      <c r="CF58" s="289"/>
      <c r="CG58" s="249"/>
      <c r="CH58" s="249"/>
      <c r="CI58" s="289"/>
      <c r="CJ58" s="249"/>
      <c r="CK58" s="249"/>
      <c r="CL58" s="289"/>
      <c r="CM58" s="249"/>
      <c r="CN58" s="249"/>
      <c r="CO58" s="289"/>
      <c r="CP58" s="249"/>
      <c r="CQ58" s="249"/>
      <c r="CR58" s="289"/>
      <c r="CS58" s="249"/>
      <c r="CT58" s="249"/>
      <c r="CU58" s="289"/>
      <c r="CV58" s="249"/>
      <c r="CW58" s="249"/>
      <c r="CX58" s="289"/>
      <c r="CY58" s="249"/>
      <c r="CZ58" s="267"/>
      <c r="DA58" s="293"/>
      <c r="DB58" s="262"/>
      <c r="DC58" s="249"/>
      <c r="DD58" s="289"/>
      <c r="DE58" s="249"/>
      <c r="DF58" s="249"/>
      <c r="DG58" s="289"/>
      <c r="DH58" s="249"/>
      <c r="DI58" s="249"/>
      <c r="DJ58" s="289"/>
      <c r="DK58" s="249"/>
      <c r="DL58" s="249"/>
      <c r="DM58" s="289"/>
      <c r="DN58" s="249"/>
      <c r="DO58" s="249"/>
      <c r="DP58" s="289"/>
      <c r="DQ58" s="249"/>
      <c r="DR58" s="249"/>
      <c r="DS58" s="289"/>
      <c r="DT58" s="249"/>
      <c r="DU58" s="249"/>
      <c r="DV58" s="289"/>
      <c r="DW58" s="249"/>
      <c r="DX58" s="249"/>
      <c r="DY58" s="289"/>
      <c r="DZ58" s="249"/>
    </row>
    <row r="59" spans="1:130" s="53" customFormat="1" x14ac:dyDescent="0.2">
      <c r="A59" s="249" t="s">
        <v>336</v>
      </c>
      <c r="B59" s="283">
        <v>157.69999999999999</v>
      </c>
      <c r="C59" s="249" t="s">
        <v>54</v>
      </c>
      <c r="D59" s="249"/>
      <c r="E59" s="289"/>
      <c r="F59" s="249"/>
      <c r="G59" s="267" t="s">
        <v>81</v>
      </c>
      <c r="H59" s="299">
        <f>H63+(0.693/H65)</f>
        <v>4.9501186643835612E-2</v>
      </c>
      <c r="I59" s="262" t="s">
        <v>82</v>
      </c>
      <c r="J59" s="249"/>
      <c r="K59" s="289"/>
      <c r="L59" s="249"/>
      <c r="M59" s="249"/>
      <c r="N59" s="289"/>
      <c r="O59" s="249"/>
      <c r="P59" s="249"/>
      <c r="Q59" s="289"/>
      <c r="R59" s="249"/>
      <c r="S59" s="249"/>
      <c r="T59" s="289"/>
      <c r="U59" s="249"/>
      <c r="V59" s="249"/>
      <c r="W59" s="289"/>
      <c r="X59" s="249"/>
      <c r="Y59" s="249"/>
      <c r="Z59" s="289"/>
      <c r="AA59" s="249"/>
      <c r="AB59" s="249"/>
      <c r="AC59" s="289"/>
      <c r="AD59" s="289"/>
      <c r="AE59" s="289"/>
      <c r="AF59" s="289"/>
      <c r="AG59" s="289"/>
      <c r="AH59" s="249"/>
      <c r="AI59" s="249"/>
      <c r="AJ59" s="289"/>
      <c r="AK59" s="249"/>
      <c r="AL59" s="249"/>
      <c r="AM59" s="289"/>
      <c r="AN59" s="249"/>
      <c r="AO59" s="249"/>
      <c r="AP59" s="289"/>
      <c r="AQ59" s="249"/>
      <c r="AR59" s="249"/>
      <c r="AS59" s="289"/>
      <c r="AT59" s="249"/>
      <c r="AU59" s="249"/>
      <c r="AV59" s="289"/>
      <c r="AW59" s="249"/>
      <c r="AX59" s="249"/>
      <c r="AY59" s="289"/>
      <c r="AZ59" s="249"/>
      <c r="BA59" s="249"/>
      <c r="BB59" s="289"/>
      <c r="BC59" s="249"/>
      <c r="BD59" s="249"/>
      <c r="BE59" s="289"/>
      <c r="BF59" s="249"/>
      <c r="BG59" s="249"/>
      <c r="BH59" s="289"/>
      <c r="BI59" s="249"/>
      <c r="BJ59" s="249"/>
      <c r="BK59" s="289"/>
      <c r="BL59" s="249"/>
      <c r="BM59" s="249"/>
      <c r="BN59" s="289"/>
      <c r="BO59" s="249"/>
      <c r="BP59" s="249"/>
      <c r="BQ59" s="289"/>
      <c r="BR59" s="249"/>
      <c r="BS59" s="249"/>
      <c r="BT59" s="289"/>
      <c r="BU59" s="249"/>
      <c r="BV59" s="267"/>
      <c r="BW59" s="289"/>
      <c r="BX59" s="249"/>
      <c r="BY59" s="249"/>
      <c r="BZ59" s="289"/>
      <c r="CA59" s="249"/>
      <c r="CB59" s="249"/>
      <c r="CC59" s="289"/>
      <c r="CD59" s="249"/>
      <c r="CE59" s="249"/>
      <c r="CF59" s="289"/>
      <c r="CG59" s="249"/>
      <c r="CH59" s="249"/>
      <c r="CI59" s="289"/>
      <c r="CJ59" s="249"/>
      <c r="CK59" s="249"/>
      <c r="CL59" s="289"/>
      <c r="CM59" s="249"/>
      <c r="CN59" s="249"/>
      <c r="CO59" s="289"/>
      <c r="CP59" s="249"/>
      <c r="CQ59" s="249"/>
      <c r="CR59" s="289"/>
      <c r="CS59" s="249"/>
      <c r="CT59" s="249"/>
      <c r="CU59" s="289"/>
      <c r="CV59" s="249"/>
      <c r="CW59" s="249"/>
      <c r="CX59" s="289"/>
      <c r="CY59" s="249"/>
      <c r="CZ59" s="267"/>
      <c r="DA59" s="293"/>
      <c r="DB59" s="262"/>
      <c r="DC59" s="249"/>
      <c r="DD59" s="289"/>
      <c r="DE59" s="249"/>
      <c r="DF59" s="249"/>
      <c r="DG59" s="289"/>
      <c r="DH59" s="249"/>
      <c r="DI59" s="249"/>
      <c r="DJ59" s="289"/>
      <c r="DK59" s="249"/>
      <c r="DL59" s="249"/>
      <c r="DM59" s="289"/>
      <c r="DN59" s="249"/>
      <c r="DO59" s="249"/>
      <c r="DP59" s="289"/>
      <c r="DQ59" s="249"/>
      <c r="DR59" s="249"/>
      <c r="DS59" s="289"/>
      <c r="DT59" s="249"/>
      <c r="DU59" s="249"/>
      <c r="DV59" s="289"/>
      <c r="DW59" s="249"/>
      <c r="DX59" s="249"/>
      <c r="DY59" s="289"/>
      <c r="DZ59" s="249"/>
    </row>
    <row r="60" spans="1:130" s="53" customFormat="1" x14ac:dyDescent="0.2">
      <c r="A60" s="262" t="s">
        <v>332</v>
      </c>
      <c r="B60" s="283">
        <v>68.099999999999994</v>
      </c>
      <c r="C60" s="267" t="s">
        <v>254</v>
      </c>
      <c r="D60" s="249"/>
      <c r="E60" s="289"/>
      <c r="F60" s="249"/>
      <c r="G60" s="267" t="s">
        <v>85</v>
      </c>
      <c r="H60" s="293">
        <f>B90</f>
        <v>60</v>
      </c>
      <c r="I60" s="262" t="s">
        <v>61</v>
      </c>
      <c r="J60" s="249"/>
      <c r="K60" s="289"/>
      <c r="L60" s="249"/>
      <c r="M60" s="249"/>
      <c r="N60" s="289"/>
      <c r="O60" s="249"/>
      <c r="P60" s="249"/>
      <c r="Q60" s="289"/>
      <c r="R60" s="249"/>
      <c r="S60" s="249"/>
      <c r="T60" s="289"/>
      <c r="U60" s="249"/>
      <c r="V60" s="249"/>
      <c r="W60" s="289"/>
      <c r="X60" s="249"/>
      <c r="Y60" s="249"/>
      <c r="Z60" s="289"/>
      <c r="AA60" s="249"/>
      <c r="AB60" s="249"/>
      <c r="AC60" s="289"/>
      <c r="AD60" s="289"/>
      <c r="AE60" s="289"/>
      <c r="AF60" s="289"/>
      <c r="AG60" s="289"/>
      <c r="AH60" s="249"/>
      <c r="AI60" s="249"/>
      <c r="AJ60" s="289"/>
      <c r="AK60" s="249"/>
      <c r="AL60" s="249"/>
      <c r="AM60" s="289"/>
      <c r="AN60" s="249"/>
      <c r="AO60" s="249"/>
      <c r="AP60" s="289"/>
      <c r="AQ60" s="249"/>
      <c r="AR60" s="249"/>
      <c r="AS60" s="289"/>
      <c r="AT60" s="249"/>
      <c r="AU60" s="249"/>
      <c r="AV60" s="289"/>
      <c r="AW60" s="249"/>
      <c r="AX60" s="249"/>
      <c r="AY60" s="289"/>
      <c r="AZ60" s="249"/>
      <c r="BA60" s="249"/>
      <c r="BB60" s="289"/>
      <c r="BC60" s="249"/>
      <c r="BD60" s="249"/>
      <c r="BE60" s="289"/>
      <c r="BF60" s="249"/>
      <c r="BG60" s="249"/>
      <c r="BH60" s="289"/>
      <c r="BI60" s="249"/>
      <c r="BJ60" s="249"/>
      <c r="BK60" s="289"/>
      <c r="BL60" s="249"/>
      <c r="BM60" s="249"/>
      <c r="BN60" s="289"/>
      <c r="BO60" s="249"/>
      <c r="BP60" s="249"/>
      <c r="BQ60" s="289"/>
      <c r="BR60" s="249"/>
      <c r="BS60" s="249"/>
      <c r="BT60" s="289"/>
      <c r="BU60" s="249"/>
      <c r="BV60" s="267"/>
      <c r="BW60" s="289"/>
      <c r="BX60" s="249"/>
      <c r="BY60" s="249"/>
      <c r="BZ60" s="289"/>
      <c r="CA60" s="249"/>
      <c r="CB60" s="249"/>
      <c r="CC60" s="289"/>
      <c r="CD60" s="249"/>
      <c r="CE60" s="249"/>
      <c r="CF60" s="289"/>
      <c r="CG60" s="249"/>
      <c r="CH60" s="249"/>
      <c r="CI60" s="289"/>
      <c r="CJ60" s="249"/>
      <c r="CK60" s="249"/>
      <c r="CL60" s="289"/>
      <c r="CM60" s="249"/>
      <c r="CN60" s="249"/>
      <c r="CO60" s="289"/>
      <c r="CP60" s="249"/>
      <c r="CQ60" s="249"/>
      <c r="CR60" s="289"/>
      <c r="CS60" s="249"/>
      <c r="CT60" s="249"/>
      <c r="CU60" s="289"/>
      <c r="CV60" s="249"/>
      <c r="CW60" s="249"/>
      <c r="CX60" s="289"/>
      <c r="CY60" s="249"/>
      <c r="CZ60" s="267"/>
      <c r="DA60" s="289"/>
      <c r="DB60" s="249"/>
      <c r="DC60" s="249"/>
      <c r="DD60" s="289"/>
      <c r="DE60" s="249"/>
      <c r="DF60" s="249"/>
      <c r="DG60" s="289"/>
      <c r="DH60" s="249"/>
      <c r="DI60" s="249"/>
      <c r="DJ60" s="289"/>
      <c r="DK60" s="249"/>
      <c r="DL60" s="249"/>
      <c r="DM60" s="289"/>
      <c r="DN60" s="249"/>
      <c r="DO60" s="249"/>
      <c r="DP60" s="289"/>
      <c r="DQ60" s="249"/>
      <c r="DR60" s="249"/>
      <c r="DS60" s="289"/>
      <c r="DT60" s="249"/>
      <c r="DU60" s="249"/>
      <c r="DV60" s="289"/>
      <c r="DW60" s="249"/>
      <c r="DX60" s="249"/>
      <c r="DY60" s="289"/>
      <c r="DZ60" s="249"/>
    </row>
    <row r="61" spans="1:130" s="53" customFormat="1" x14ac:dyDescent="0.2">
      <c r="A61" s="262" t="s">
        <v>333</v>
      </c>
      <c r="B61" s="283">
        <v>188.5</v>
      </c>
      <c r="C61" s="267" t="s">
        <v>254</v>
      </c>
      <c r="D61" s="249"/>
      <c r="E61" s="289"/>
      <c r="F61" s="249"/>
      <c r="G61" s="267" t="s">
        <v>87</v>
      </c>
      <c r="H61" s="293">
        <f>B91</f>
        <v>2</v>
      </c>
      <c r="I61" s="262" t="s">
        <v>66</v>
      </c>
      <c r="J61" s="249"/>
      <c r="K61" s="289"/>
      <c r="L61" s="249"/>
      <c r="M61" s="249"/>
      <c r="N61" s="289"/>
      <c r="O61" s="249"/>
      <c r="P61" s="249"/>
      <c r="Q61" s="289"/>
      <c r="R61" s="249"/>
      <c r="S61" s="249"/>
      <c r="T61" s="289"/>
      <c r="U61" s="249"/>
      <c r="V61" s="249"/>
      <c r="W61" s="289"/>
      <c r="X61" s="249"/>
      <c r="Y61" s="249"/>
      <c r="Z61" s="289"/>
      <c r="AA61" s="249"/>
      <c r="AB61" s="249"/>
      <c r="AC61" s="289"/>
      <c r="AD61" s="289"/>
      <c r="AE61" s="289"/>
      <c r="AF61" s="289"/>
      <c r="AG61" s="289"/>
      <c r="AH61" s="249"/>
      <c r="AI61" s="249"/>
      <c r="AJ61" s="289"/>
      <c r="AK61" s="249"/>
      <c r="AL61" s="249"/>
      <c r="AM61" s="289"/>
      <c r="AN61" s="249"/>
      <c r="AO61" s="249"/>
      <c r="AP61" s="289"/>
      <c r="AQ61" s="249"/>
      <c r="AR61" s="249"/>
      <c r="AS61" s="289"/>
      <c r="AT61" s="249"/>
      <c r="AU61" s="249"/>
      <c r="AV61" s="289"/>
      <c r="AW61" s="249"/>
      <c r="AX61" s="249"/>
      <c r="AY61" s="289"/>
      <c r="AZ61" s="249"/>
      <c r="BA61" s="249"/>
      <c r="BB61" s="289"/>
      <c r="BC61" s="249"/>
      <c r="BD61" s="249"/>
      <c r="BE61" s="289"/>
      <c r="BF61" s="249"/>
      <c r="BG61" s="249"/>
      <c r="BH61" s="289"/>
      <c r="BI61" s="249"/>
      <c r="BJ61" s="249"/>
      <c r="BK61" s="289"/>
      <c r="BL61" s="249"/>
      <c r="BM61" s="249"/>
      <c r="BN61" s="289"/>
      <c r="BO61" s="249"/>
      <c r="BP61" s="249"/>
      <c r="BQ61" s="289"/>
      <c r="BR61" s="249"/>
      <c r="BS61" s="249"/>
      <c r="BT61" s="289"/>
      <c r="BU61" s="249"/>
      <c r="BV61" s="267"/>
      <c r="BW61" s="293"/>
      <c r="BX61" s="262"/>
      <c r="BY61" s="249"/>
      <c r="BZ61" s="289"/>
      <c r="CA61" s="249"/>
      <c r="CB61" s="249"/>
      <c r="CC61" s="289"/>
      <c r="CD61" s="249"/>
      <c r="CE61" s="249"/>
      <c r="CF61" s="289"/>
      <c r="CG61" s="249"/>
      <c r="CH61" s="249"/>
      <c r="CI61" s="289"/>
      <c r="CJ61" s="249"/>
      <c r="CK61" s="249"/>
      <c r="CL61" s="289"/>
      <c r="CM61" s="249"/>
      <c r="CN61" s="249"/>
      <c r="CO61" s="289"/>
      <c r="CP61" s="249"/>
      <c r="CQ61" s="249"/>
      <c r="CR61" s="289"/>
      <c r="CS61" s="249"/>
      <c r="CT61" s="249"/>
      <c r="CU61" s="289"/>
      <c r="CV61" s="249"/>
      <c r="CW61" s="249"/>
      <c r="CX61" s="289"/>
      <c r="CY61" s="249"/>
      <c r="CZ61" s="267"/>
      <c r="DA61" s="287"/>
      <c r="DB61" s="249"/>
      <c r="DC61" s="249"/>
      <c r="DD61" s="289"/>
      <c r="DE61" s="249"/>
      <c r="DF61" s="249"/>
      <c r="DG61" s="289"/>
      <c r="DH61" s="249"/>
      <c r="DI61" s="249"/>
      <c r="DJ61" s="289"/>
      <c r="DK61" s="249"/>
      <c r="DL61" s="249"/>
      <c r="DM61" s="289"/>
      <c r="DN61" s="249"/>
      <c r="DO61" s="249"/>
      <c r="DP61" s="289"/>
      <c r="DQ61" s="249"/>
      <c r="DR61" s="249"/>
      <c r="DS61" s="289"/>
      <c r="DT61" s="249"/>
      <c r="DU61" s="249"/>
      <c r="DV61" s="289"/>
      <c r="DW61" s="249"/>
      <c r="DX61" s="249"/>
      <c r="DY61" s="289"/>
      <c r="DZ61" s="249"/>
    </row>
    <row r="62" spans="1:130" s="53" customFormat="1" x14ac:dyDescent="0.2">
      <c r="A62" s="262" t="s">
        <v>334</v>
      </c>
      <c r="B62" s="283">
        <v>41.7</v>
      </c>
      <c r="C62" s="267" t="s">
        <v>254</v>
      </c>
      <c r="D62" s="249"/>
      <c r="E62" s="289"/>
      <c r="F62" s="249"/>
      <c r="G62" s="267" t="s">
        <v>89</v>
      </c>
      <c r="H62" s="289">
        <f>B92</f>
        <v>2.6999999999999999E-5</v>
      </c>
      <c r="I62" s="249" t="s">
        <v>82</v>
      </c>
      <c r="J62" s="249"/>
      <c r="K62" s="289"/>
      <c r="L62" s="249"/>
      <c r="M62" s="249"/>
      <c r="N62" s="289"/>
      <c r="O62" s="249"/>
      <c r="P62" s="249"/>
      <c r="Q62" s="289"/>
      <c r="R62" s="249"/>
      <c r="S62" s="249"/>
      <c r="T62" s="289"/>
      <c r="U62" s="249"/>
      <c r="V62" s="249"/>
      <c r="W62" s="289"/>
      <c r="X62" s="249"/>
      <c r="Y62" s="249"/>
      <c r="Z62" s="289"/>
      <c r="AA62" s="249"/>
      <c r="AB62" s="249"/>
      <c r="AC62" s="289"/>
      <c r="AD62" s="289"/>
      <c r="AE62" s="289"/>
      <c r="AF62" s="289"/>
      <c r="AG62" s="289"/>
      <c r="AH62" s="249"/>
      <c r="AI62" s="249"/>
      <c r="AJ62" s="289"/>
      <c r="AK62" s="249"/>
      <c r="AL62" s="249"/>
      <c r="AM62" s="289"/>
      <c r="AN62" s="249"/>
      <c r="AO62" s="249"/>
      <c r="AP62" s="289"/>
      <c r="AQ62" s="249"/>
      <c r="AR62" s="249"/>
      <c r="AS62" s="289"/>
      <c r="AT62" s="249"/>
      <c r="AU62" s="249"/>
      <c r="AV62" s="289"/>
      <c r="AW62" s="249"/>
      <c r="AX62" s="249"/>
      <c r="AY62" s="289"/>
      <c r="AZ62" s="249"/>
      <c r="BA62" s="249"/>
      <c r="BB62" s="289"/>
      <c r="BC62" s="249"/>
      <c r="BD62" s="249"/>
      <c r="BE62" s="289"/>
      <c r="BF62" s="249"/>
      <c r="BG62" s="249"/>
      <c r="BH62" s="289"/>
      <c r="BI62" s="249"/>
      <c r="BJ62" s="249"/>
      <c r="BK62" s="289"/>
      <c r="BL62" s="249"/>
      <c r="BM62" s="249"/>
      <c r="BN62" s="289"/>
      <c r="BO62" s="249"/>
      <c r="BP62" s="249"/>
      <c r="BQ62" s="289"/>
      <c r="BR62" s="249"/>
      <c r="BS62" s="249"/>
      <c r="BT62" s="289"/>
      <c r="BU62" s="249"/>
      <c r="BV62" s="267"/>
      <c r="BW62" s="293"/>
      <c r="BX62" s="262"/>
      <c r="BY62" s="249"/>
      <c r="BZ62" s="289"/>
      <c r="CA62" s="249"/>
      <c r="CB62" s="249"/>
      <c r="CC62" s="289"/>
      <c r="CD62" s="249"/>
      <c r="CE62" s="249"/>
      <c r="CF62" s="289"/>
      <c r="CG62" s="249"/>
      <c r="CH62" s="249"/>
      <c r="CI62" s="289"/>
      <c r="CJ62" s="249"/>
      <c r="CK62" s="249"/>
      <c r="CL62" s="289"/>
      <c r="CM62" s="249"/>
      <c r="CN62" s="249"/>
      <c r="CO62" s="289"/>
      <c r="CP62" s="249"/>
      <c r="CQ62" s="249"/>
      <c r="CR62" s="289"/>
      <c r="CS62" s="249"/>
      <c r="CT62" s="249"/>
      <c r="CU62" s="289"/>
      <c r="CV62" s="249"/>
      <c r="CW62" s="249"/>
      <c r="CX62" s="289"/>
      <c r="CY62" s="249"/>
      <c r="CZ62" s="267"/>
      <c r="DA62" s="289"/>
      <c r="DB62" s="249"/>
      <c r="DC62" s="249"/>
      <c r="DD62" s="289"/>
      <c r="DE62" s="249"/>
      <c r="DF62" s="249"/>
      <c r="DG62" s="289"/>
      <c r="DH62" s="249"/>
      <c r="DI62" s="249"/>
      <c r="DJ62" s="289"/>
      <c r="DK62" s="249"/>
      <c r="DL62" s="249"/>
      <c r="DM62" s="289"/>
      <c r="DN62" s="249"/>
      <c r="DO62" s="249"/>
      <c r="DP62" s="289"/>
      <c r="DQ62" s="249"/>
      <c r="DR62" s="249"/>
      <c r="DS62" s="289"/>
      <c r="DT62" s="249"/>
      <c r="DU62" s="249"/>
      <c r="DV62" s="289"/>
      <c r="DW62" s="249"/>
      <c r="DX62" s="249"/>
      <c r="DY62" s="289"/>
      <c r="DZ62" s="249"/>
    </row>
    <row r="63" spans="1:130" s="53" customFormat="1" x14ac:dyDescent="0.2">
      <c r="A63" s="262" t="s">
        <v>335</v>
      </c>
      <c r="B63" s="283">
        <v>128.9</v>
      </c>
      <c r="C63" s="267" t="s">
        <v>254</v>
      </c>
      <c r="D63" s="249"/>
      <c r="E63" s="289"/>
      <c r="F63" s="249"/>
      <c r="G63" s="267" t="s">
        <v>90</v>
      </c>
      <c r="H63" s="288">
        <f>0.693/H67</f>
        <v>1.1866438356164383E-6</v>
      </c>
      <c r="I63" s="249" t="s">
        <v>82</v>
      </c>
      <c r="J63" s="249"/>
      <c r="K63" s="289"/>
      <c r="L63" s="249"/>
      <c r="M63" s="249"/>
      <c r="N63" s="289"/>
      <c r="O63" s="249"/>
      <c r="P63" s="249"/>
      <c r="Q63" s="289"/>
      <c r="R63" s="249"/>
      <c r="S63" s="249"/>
      <c r="T63" s="289"/>
      <c r="U63" s="249"/>
      <c r="V63" s="249"/>
      <c r="W63" s="289"/>
      <c r="X63" s="249"/>
      <c r="Y63" s="249"/>
      <c r="Z63" s="289"/>
      <c r="AA63" s="249"/>
      <c r="AB63" s="249"/>
      <c r="AC63" s="289"/>
      <c r="AD63" s="289"/>
      <c r="AE63" s="289"/>
      <c r="AF63" s="289"/>
      <c r="AG63" s="289"/>
      <c r="AH63" s="249"/>
      <c r="AI63" s="249"/>
      <c r="AJ63" s="289"/>
      <c r="AK63" s="249"/>
      <c r="AL63" s="249"/>
      <c r="AM63" s="289"/>
      <c r="AN63" s="249"/>
      <c r="AO63" s="249"/>
      <c r="AP63" s="289"/>
      <c r="AQ63" s="249"/>
      <c r="AR63" s="249"/>
      <c r="AS63" s="289"/>
      <c r="AT63" s="249"/>
      <c r="AU63" s="249"/>
      <c r="AV63" s="289"/>
      <c r="AW63" s="249"/>
      <c r="AX63" s="249"/>
      <c r="AY63" s="289"/>
      <c r="AZ63" s="249"/>
      <c r="BA63" s="249"/>
      <c r="BB63" s="289"/>
      <c r="BC63" s="249"/>
      <c r="BD63" s="249"/>
      <c r="BE63" s="289"/>
      <c r="BF63" s="249"/>
      <c r="BG63" s="249"/>
      <c r="BH63" s="289"/>
      <c r="BI63" s="249"/>
      <c r="BJ63" s="249"/>
      <c r="BK63" s="289"/>
      <c r="BL63" s="249"/>
      <c r="BM63" s="249"/>
      <c r="BN63" s="289"/>
      <c r="BO63" s="249"/>
      <c r="BP63" s="249"/>
      <c r="BQ63" s="289"/>
      <c r="BR63" s="249"/>
      <c r="BS63" s="249"/>
      <c r="BT63" s="289"/>
      <c r="BU63" s="249"/>
      <c r="BV63" s="267"/>
      <c r="BW63" s="293"/>
      <c r="BX63" s="262"/>
      <c r="BY63" s="249"/>
      <c r="BZ63" s="289"/>
      <c r="CA63" s="249"/>
      <c r="CB63" s="249"/>
      <c r="CC63" s="289"/>
      <c r="CD63" s="249"/>
      <c r="CE63" s="249"/>
      <c r="CF63" s="289"/>
      <c r="CG63" s="249"/>
      <c r="CH63" s="249"/>
      <c r="CI63" s="289"/>
      <c r="CJ63" s="249"/>
      <c r="CK63" s="249"/>
      <c r="CL63" s="289"/>
      <c r="CM63" s="249"/>
      <c r="CN63" s="249"/>
      <c r="CO63" s="289"/>
      <c r="CP63" s="249"/>
      <c r="CQ63" s="249"/>
      <c r="CR63" s="289"/>
      <c r="CS63" s="249"/>
      <c r="CT63" s="249"/>
      <c r="CU63" s="289"/>
      <c r="CV63" s="249"/>
      <c r="CW63" s="249"/>
      <c r="CX63" s="289"/>
      <c r="CY63" s="249"/>
      <c r="CZ63" s="267"/>
      <c r="DA63" s="289"/>
      <c r="DB63" s="249"/>
      <c r="DC63" s="249"/>
      <c r="DD63" s="289"/>
      <c r="DE63" s="249"/>
      <c r="DF63" s="249"/>
      <c r="DG63" s="289"/>
      <c r="DH63" s="249"/>
      <c r="DI63" s="249"/>
      <c r="DJ63" s="289"/>
      <c r="DK63" s="249"/>
      <c r="DL63" s="249"/>
      <c r="DM63" s="289"/>
      <c r="DN63" s="249"/>
      <c r="DO63" s="249"/>
      <c r="DP63" s="289"/>
      <c r="DQ63" s="249"/>
      <c r="DR63" s="249"/>
      <c r="DS63" s="289"/>
      <c r="DT63" s="249"/>
      <c r="DU63" s="249"/>
      <c r="DV63" s="289"/>
      <c r="DW63" s="249"/>
      <c r="DX63" s="249"/>
      <c r="DY63" s="289"/>
      <c r="DZ63" s="249"/>
    </row>
    <row r="64" spans="1:130" s="53" customFormat="1" x14ac:dyDescent="0.2">
      <c r="A64" s="262" t="s">
        <v>343</v>
      </c>
      <c r="B64" s="283">
        <v>6</v>
      </c>
      <c r="C64" s="264" t="s">
        <v>69</v>
      </c>
      <c r="D64" s="249"/>
      <c r="E64" s="289"/>
      <c r="F64" s="249"/>
      <c r="G64" s="267" t="s">
        <v>91</v>
      </c>
      <c r="H64" s="289">
        <f>B93</f>
        <v>1</v>
      </c>
      <c r="I64" s="249" t="s">
        <v>47</v>
      </c>
      <c r="J64" s="249"/>
      <c r="K64" s="289"/>
      <c r="L64" s="249"/>
      <c r="M64" s="249"/>
      <c r="N64" s="289"/>
      <c r="O64" s="249"/>
      <c r="P64" s="249"/>
      <c r="Q64" s="289"/>
      <c r="R64" s="249"/>
      <c r="S64" s="249"/>
      <c r="T64" s="289"/>
      <c r="U64" s="249"/>
      <c r="V64" s="249"/>
      <c r="W64" s="289"/>
      <c r="X64" s="249"/>
      <c r="Y64" s="249"/>
      <c r="Z64" s="289"/>
      <c r="AA64" s="249"/>
      <c r="AB64" s="249"/>
      <c r="AC64" s="289"/>
      <c r="AD64" s="289"/>
      <c r="AE64" s="289"/>
      <c r="AF64" s="289"/>
      <c r="AG64" s="289"/>
      <c r="AH64" s="249"/>
      <c r="AI64" s="275"/>
      <c r="AJ64" s="353"/>
      <c r="AK64" s="275"/>
      <c r="AL64" s="249"/>
      <c r="AM64" s="289"/>
      <c r="AN64" s="249"/>
      <c r="AO64" s="249"/>
      <c r="AP64" s="289"/>
      <c r="AQ64" s="249"/>
      <c r="AR64" s="249"/>
      <c r="AS64" s="289"/>
      <c r="AT64" s="249"/>
      <c r="AU64" s="249"/>
      <c r="AV64" s="289"/>
      <c r="AW64" s="249"/>
      <c r="AX64" s="249"/>
      <c r="AY64" s="289"/>
      <c r="AZ64" s="249"/>
      <c r="BA64" s="249"/>
      <c r="BB64" s="289"/>
      <c r="BC64" s="249"/>
      <c r="BD64" s="249"/>
      <c r="BE64" s="289"/>
      <c r="BF64" s="249"/>
      <c r="BG64" s="249"/>
      <c r="BH64" s="289"/>
      <c r="BI64" s="249"/>
      <c r="BJ64" s="249"/>
      <c r="BK64" s="289"/>
      <c r="BL64" s="249"/>
      <c r="BM64" s="249"/>
      <c r="BN64" s="289"/>
      <c r="BO64" s="249"/>
      <c r="BP64" s="249"/>
      <c r="BQ64" s="289"/>
      <c r="BR64" s="249"/>
      <c r="BS64" s="249"/>
      <c r="BT64" s="289"/>
      <c r="BU64" s="249"/>
      <c r="BV64" s="267"/>
      <c r="BW64" s="289"/>
      <c r="BX64" s="249"/>
      <c r="BY64" s="249"/>
      <c r="BZ64" s="289"/>
      <c r="CA64" s="249"/>
      <c r="CB64" s="249"/>
      <c r="CC64" s="289"/>
      <c r="CD64" s="249"/>
      <c r="CE64" s="249"/>
      <c r="CF64" s="289"/>
      <c r="CG64" s="249"/>
      <c r="CH64" s="249"/>
      <c r="CI64" s="289"/>
      <c r="CJ64" s="249"/>
      <c r="CK64" s="249"/>
      <c r="CL64" s="289"/>
      <c r="CM64" s="249"/>
      <c r="CN64" s="249"/>
      <c r="CO64" s="289"/>
      <c r="CP64" s="249"/>
      <c r="CQ64" s="249"/>
      <c r="CR64" s="289"/>
      <c r="CS64" s="249"/>
      <c r="CT64" s="249"/>
      <c r="CU64" s="289"/>
      <c r="CV64" s="249"/>
      <c r="CW64" s="249"/>
      <c r="CX64" s="289"/>
      <c r="CY64" s="249"/>
      <c r="CZ64" s="249"/>
      <c r="DA64" s="289"/>
      <c r="DB64" s="249"/>
      <c r="DC64" s="249"/>
      <c r="DD64" s="289"/>
      <c r="DE64" s="249"/>
      <c r="DF64" s="249"/>
      <c r="DG64" s="289"/>
      <c r="DH64" s="249"/>
      <c r="DI64" s="249"/>
      <c r="DJ64" s="289"/>
      <c r="DK64" s="249"/>
      <c r="DL64" s="249"/>
      <c r="DM64" s="289"/>
      <c r="DN64" s="249"/>
      <c r="DO64" s="249"/>
      <c r="DP64" s="289"/>
      <c r="DQ64" s="249"/>
      <c r="DR64" s="249"/>
      <c r="DS64" s="289"/>
      <c r="DT64" s="249"/>
      <c r="DU64" s="249"/>
      <c r="DV64" s="289"/>
      <c r="DW64" s="249"/>
      <c r="DX64" s="249"/>
      <c r="DY64" s="289"/>
      <c r="DZ64" s="249"/>
    </row>
    <row r="65" spans="1:105" s="53" customFormat="1" x14ac:dyDescent="0.2">
      <c r="A65" s="262" t="s">
        <v>342</v>
      </c>
      <c r="B65" s="283">
        <v>20</v>
      </c>
      <c r="C65" s="264" t="s">
        <v>69</v>
      </c>
      <c r="D65" s="249"/>
      <c r="E65" s="289"/>
      <c r="F65" s="249"/>
      <c r="G65" s="267" t="s">
        <v>92</v>
      </c>
      <c r="H65" s="289">
        <f>B94</f>
        <v>14</v>
      </c>
      <c r="I65" s="249" t="s">
        <v>93</v>
      </c>
      <c r="J65" s="249"/>
      <c r="K65" s="289"/>
      <c r="L65" s="249"/>
      <c r="M65" s="249"/>
      <c r="N65" s="289"/>
      <c r="O65" s="249"/>
      <c r="P65" s="249"/>
      <c r="Q65" s="289"/>
      <c r="R65" s="249"/>
      <c r="S65" s="249"/>
      <c r="T65" s="289"/>
      <c r="U65" s="249"/>
      <c r="V65" s="249"/>
      <c r="W65" s="289"/>
      <c r="X65" s="249"/>
      <c r="Y65" s="249"/>
      <c r="Z65" s="289"/>
      <c r="AA65" s="249"/>
      <c r="AB65" s="249"/>
      <c r="AC65" s="289"/>
      <c r="AD65" s="289"/>
      <c r="AE65" s="289"/>
      <c r="AF65" s="289"/>
      <c r="AG65" s="289"/>
      <c r="AH65" s="249"/>
      <c r="AI65" s="275"/>
      <c r="AJ65" s="353"/>
      <c r="AK65" s="275"/>
      <c r="AL65" s="249"/>
      <c r="AM65" s="289"/>
      <c r="AN65" s="249"/>
      <c r="AO65" s="249"/>
      <c r="AP65" s="289"/>
      <c r="AQ65" s="249"/>
      <c r="AR65" s="249"/>
      <c r="AS65" s="289"/>
      <c r="AT65" s="249"/>
      <c r="AU65" s="249"/>
      <c r="AV65" s="289"/>
      <c r="AW65" s="249"/>
      <c r="AX65" s="249"/>
      <c r="AY65" s="289"/>
      <c r="AZ65" s="249"/>
      <c r="BA65" s="249"/>
      <c r="BB65" s="289"/>
      <c r="BC65" s="249"/>
      <c r="BD65" s="249"/>
      <c r="BE65" s="289"/>
      <c r="BF65" s="249"/>
      <c r="BG65" s="249"/>
      <c r="BH65" s="289"/>
      <c r="BI65" s="249"/>
      <c r="BJ65" s="249"/>
      <c r="BK65" s="289"/>
      <c r="BL65" s="249"/>
      <c r="BM65" s="249"/>
      <c r="BN65" s="289"/>
      <c r="BO65" s="249"/>
      <c r="BP65" s="249"/>
      <c r="BQ65" s="289"/>
      <c r="BR65" s="249"/>
      <c r="BS65" s="249"/>
      <c r="BT65" s="289"/>
      <c r="BU65" s="249"/>
      <c r="BV65" s="267"/>
      <c r="BW65" s="289"/>
      <c r="BX65" s="249"/>
      <c r="BY65" s="249"/>
      <c r="BZ65" s="289"/>
      <c r="CA65" s="249"/>
      <c r="CB65" s="249"/>
      <c r="CC65" s="289"/>
      <c r="CD65" s="249"/>
      <c r="CE65" s="249"/>
      <c r="CF65" s="289"/>
      <c r="CG65" s="249"/>
      <c r="CH65" s="249"/>
      <c r="CI65" s="289"/>
      <c r="CJ65" s="249"/>
      <c r="CK65" s="249"/>
      <c r="CL65" s="289"/>
      <c r="CM65" s="249"/>
      <c r="CN65" s="249"/>
      <c r="CO65" s="289"/>
      <c r="CP65" s="249"/>
      <c r="CQ65" s="249"/>
      <c r="CR65" s="289"/>
      <c r="CS65" s="249"/>
      <c r="CT65" s="249"/>
      <c r="CU65" s="289"/>
      <c r="CV65" s="249"/>
      <c r="CW65" s="249"/>
      <c r="CX65" s="289"/>
      <c r="CY65" s="249"/>
      <c r="CZ65" s="249"/>
      <c r="DA65" s="289"/>
    </row>
    <row r="66" spans="1:105" s="53" customFormat="1" x14ac:dyDescent="0.2">
      <c r="A66" s="262" t="s">
        <v>341</v>
      </c>
      <c r="B66" s="283">
        <v>26</v>
      </c>
      <c r="C66" s="264" t="s">
        <v>69</v>
      </c>
      <c r="D66" s="249"/>
      <c r="E66" s="289"/>
      <c r="F66" s="249"/>
      <c r="G66" s="249" t="s">
        <v>38</v>
      </c>
      <c r="H66" s="287">
        <f>B45</f>
        <v>1.7000000000000001E-2</v>
      </c>
      <c r="I66" s="249"/>
      <c r="J66" s="249"/>
      <c r="K66" s="289"/>
      <c r="L66" s="249"/>
      <c r="M66" s="249"/>
      <c r="N66" s="289"/>
      <c r="O66" s="249"/>
      <c r="P66" s="249"/>
      <c r="Q66" s="289"/>
      <c r="R66" s="249"/>
      <c r="S66" s="249"/>
      <c r="T66" s="289"/>
      <c r="U66" s="249"/>
      <c r="V66" s="249"/>
      <c r="W66" s="289"/>
      <c r="X66" s="249"/>
      <c r="Y66" s="249"/>
      <c r="Z66" s="289"/>
      <c r="AA66" s="249"/>
      <c r="AB66" s="249"/>
      <c r="AC66" s="289"/>
      <c r="AD66" s="289"/>
      <c r="AE66" s="289"/>
      <c r="AF66" s="289"/>
      <c r="AG66" s="289"/>
      <c r="AH66" s="249"/>
      <c r="AI66" s="275"/>
      <c r="AJ66" s="353"/>
      <c r="AK66" s="275"/>
      <c r="AL66" s="249"/>
      <c r="AM66" s="289"/>
      <c r="AN66" s="249"/>
      <c r="AO66" s="249"/>
      <c r="AP66" s="289"/>
      <c r="AQ66" s="249"/>
      <c r="AR66" s="249"/>
      <c r="AS66" s="289"/>
      <c r="AT66" s="249"/>
      <c r="AU66" s="249"/>
      <c r="AV66" s="289"/>
      <c r="AW66" s="249"/>
      <c r="AX66" s="249"/>
      <c r="AY66" s="289"/>
      <c r="AZ66" s="249"/>
      <c r="BA66" s="249"/>
      <c r="BB66" s="289"/>
      <c r="BC66" s="249"/>
      <c r="BD66" s="249"/>
      <c r="BE66" s="289"/>
      <c r="BF66" s="249"/>
      <c r="BG66" s="249"/>
      <c r="BH66" s="289"/>
      <c r="BI66" s="249"/>
      <c r="BJ66" s="249"/>
      <c r="BK66" s="289"/>
      <c r="BL66" s="249"/>
      <c r="BM66" s="249"/>
      <c r="BN66" s="289"/>
      <c r="BO66" s="249"/>
      <c r="BP66" s="249"/>
      <c r="BQ66" s="289"/>
      <c r="BR66" s="249"/>
      <c r="BS66" s="249"/>
      <c r="BT66" s="289"/>
      <c r="BU66" s="249"/>
      <c r="BV66" s="267"/>
      <c r="BW66" s="289"/>
      <c r="BX66" s="249"/>
      <c r="BY66" s="249"/>
      <c r="BZ66" s="289"/>
      <c r="CA66" s="249"/>
      <c r="CB66" s="249"/>
      <c r="CC66" s="289"/>
      <c r="CD66" s="249"/>
      <c r="CE66" s="249"/>
      <c r="CF66" s="289"/>
      <c r="CG66" s="249"/>
      <c r="CH66" s="249"/>
      <c r="CI66" s="289"/>
      <c r="CJ66" s="249"/>
      <c r="CK66" s="249"/>
      <c r="CL66" s="289"/>
      <c r="CM66" s="249"/>
      <c r="CN66" s="249"/>
      <c r="CO66" s="289"/>
      <c r="CP66" s="249"/>
      <c r="CQ66" s="249"/>
      <c r="CR66" s="289"/>
      <c r="CS66" s="249"/>
      <c r="CT66" s="249"/>
      <c r="CU66" s="289"/>
      <c r="CV66" s="249"/>
      <c r="CW66" s="249"/>
      <c r="CX66" s="289"/>
      <c r="CY66" s="249"/>
      <c r="CZ66" s="262"/>
      <c r="DA66" s="287"/>
    </row>
    <row r="67" spans="1:105" s="53" customFormat="1" x14ac:dyDescent="0.2">
      <c r="A67" s="262" t="s">
        <v>340</v>
      </c>
      <c r="B67" s="283">
        <v>350</v>
      </c>
      <c r="C67" s="264" t="s">
        <v>26</v>
      </c>
      <c r="D67" s="249"/>
      <c r="E67" s="289"/>
      <c r="F67" s="249"/>
      <c r="G67" s="262" t="s">
        <v>273</v>
      </c>
      <c r="H67" s="287">
        <f>B35</f>
        <v>584000</v>
      </c>
      <c r="I67" s="249" t="s">
        <v>257</v>
      </c>
      <c r="J67" s="249"/>
      <c r="K67" s="289"/>
      <c r="L67" s="249"/>
      <c r="M67" s="249"/>
      <c r="N67" s="289"/>
      <c r="O67" s="249"/>
      <c r="P67" s="249"/>
      <c r="Q67" s="289"/>
      <c r="R67" s="249"/>
      <c r="S67" s="249"/>
      <c r="T67" s="289"/>
      <c r="U67" s="249"/>
      <c r="V67" s="249"/>
      <c r="W67" s="289"/>
      <c r="X67" s="249"/>
      <c r="Y67" s="249"/>
      <c r="Z67" s="289"/>
      <c r="AA67" s="249"/>
      <c r="AB67" s="249"/>
      <c r="AC67" s="289"/>
      <c r="AD67" s="289"/>
      <c r="AE67" s="289"/>
      <c r="AF67" s="289"/>
      <c r="AG67" s="289"/>
      <c r="AH67" s="249"/>
      <c r="AI67" s="275"/>
      <c r="AJ67" s="353"/>
      <c r="AK67" s="275"/>
      <c r="AL67" s="249"/>
      <c r="AM67" s="289"/>
      <c r="AN67" s="249"/>
      <c r="AO67" s="249"/>
      <c r="AP67" s="289"/>
      <c r="AQ67" s="249"/>
      <c r="AR67" s="249"/>
      <c r="AS67" s="289"/>
      <c r="AT67" s="249"/>
      <c r="AU67" s="249"/>
      <c r="AV67" s="289"/>
      <c r="AW67" s="249"/>
      <c r="AX67" s="249"/>
      <c r="AY67" s="289"/>
      <c r="AZ67" s="249"/>
      <c r="BA67" s="249"/>
      <c r="BB67" s="289"/>
      <c r="BC67" s="249"/>
      <c r="BD67" s="249"/>
      <c r="BE67" s="289"/>
      <c r="BF67" s="249"/>
      <c r="BG67" s="249"/>
      <c r="BH67" s="289"/>
      <c r="BI67" s="249"/>
      <c r="BJ67" s="249"/>
      <c r="BK67" s="289"/>
      <c r="BL67" s="249"/>
      <c r="BM67" s="249"/>
      <c r="BN67" s="289"/>
      <c r="BO67" s="249"/>
      <c r="BP67" s="249"/>
      <c r="BQ67" s="289"/>
      <c r="BR67" s="249"/>
      <c r="BS67" s="249"/>
      <c r="BT67" s="289"/>
      <c r="BU67" s="249"/>
      <c r="BV67" s="267"/>
      <c r="BW67" s="289"/>
      <c r="BX67" s="249"/>
      <c r="BY67" s="249"/>
      <c r="BZ67" s="289"/>
      <c r="CA67" s="249"/>
      <c r="CB67" s="249"/>
      <c r="CC67" s="289"/>
      <c r="CD67" s="249"/>
      <c r="CE67" s="249"/>
      <c r="CF67" s="289"/>
      <c r="CG67" s="249"/>
      <c r="CH67" s="249"/>
      <c r="CI67" s="289"/>
      <c r="CJ67" s="249"/>
      <c r="CK67" s="249"/>
      <c r="CL67" s="289"/>
      <c r="CM67" s="249"/>
      <c r="CN67" s="249"/>
      <c r="CO67" s="289"/>
      <c r="CP67" s="249"/>
      <c r="CQ67" s="249"/>
      <c r="CR67" s="289"/>
      <c r="CS67" s="249"/>
      <c r="CT67" s="249"/>
      <c r="CU67" s="289"/>
      <c r="CV67" s="249"/>
      <c r="CW67" s="249"/>
      <c r="CX67" s="289"/>
      <c r="CY67" s="249"/>
      <c r="CZ67" s="249"/>
      <c r="DA67" s="289"/>
    </row>
    <row r="68" spans="1:105" s="53" customFormat="1" x14ac:dyDescent="0.2">
      <c r="A68" s="262" t="s">
        <v>339</v>
      </c>
      <c r="B68" s="283">
        <v>350</v>
      </c>
      <c r="C68" s="264" t="s">
        <v>26</v>
      </c>
      <c r="D68" s="249"/>
      <c r="E68" s="289"/>
      <c r="F68" s="249"/>
      <c r="G68" s="95" t="s">
        <v>299</v>
      </c>
      <c r="H68" s="345">
        <f>B293</f>
        <v>27.027027027027</v>
      </c>
      <c r="I68" s="249"/>
      <c r="J68" s="249"/>
      <c r="K68" s="289"/>
      <c r="L68" s="249"/>
      <c r="M68" s="249"/>
      <c r="N68" s="289"/>
      <c r="O68" s="249"/>
      <c r="P68" s="249"/>
      <c r="Q68" s="289"/>
      <c r="R68" s="249"/>
      <c r="S68" s="249"/>
      <c r="T68" s="289"/>
      <c r="U68" s="249"/>
      <c r="V68" s="249"/>
      <c r="W68" s="289"/>
      <c r="X68" s="249"/>
      <c r="Y68" s="249"/>
      <c r="Z68" s="289"/>
      <c r="AA68" s="249"/>
      <c r="AB68" s="249"/>
      <c r="AC68" s="289"/>
      <c r="AD68" s="289"/>
      <c r="AE68" s="289"/>
      <c r="AF68" s="289"/>
      <c r="AG68" s="289"/>
      <c r="AH68" s="249"/>
      <c r="AI68" s="275"/>
      <c r="AJ68" s="353"/>
      <c r="AK68" s="275"/>
      <c r="AL68" s="249"/>
      <c r="AM68" s="289"/>
      <c r="AN68" s="249"/>
      <c r="AO68" s="249"/>
      <c r="AP68" s="289"/>
      <c r="AQ68" s="249"/>
      <c r="AR68" s="249"/>
      <c r="AS68" s="289"/>
      <c r="AT68" s="249"/>
      <c r="AU68" s="249"/>
      <c r="AV68" s="289"/>
      <c r="AW68" s="249"/>
      <c r="AX68" s="249"/>
      <c r="AY68" s="289"/>
      <c r="AZ68" s="249"/>
      <c r="BA68" s="249"/>
      <c r="BB68" s="289"/>
      <c r="BC68" s="249"/>
      <c r="BD68" s="249"/>
      <c r="BE68" s="289"/>
      <c r="BF68" s="249"/>
      <c r="BG68" s="249"/>
      <c r="BH68" s="289"/>
      <c r="BI68" s="249"/>
      <c r="BJ68" s="249"/>
      <c r="BK68" s="289"/>
      <c r="BL68" s="249"/>
      <c r="BM68" s="249"/>
      <c r="BN68" s="289"/>
      <c r="BO68" s="249"/>
      <c r="BP68" s="249"/>
      <c r="BQ68" s="289"/>
      <c r="BR68" s="249"/>
      <c r="BS68" s="249"/>
      <c r="BT68" s="289"/>
      <c r="BU68" s="249"/>
      <c r="BV68" s="249"/>
      <c r="BW68" s="289"/>
      <c r="BX68" s="249"/>
      <c r="BY68" s="249"/>
      <c r="BZ68" s="289"/>
      <c r="CA68" s="249"/>
      <c r="CB68" s="249"/>
      <c r="CC68" s="289"/>
      <c r="CD68" s="249"/>
      <c r="CE68" s="249"/>
      <c r="CF68" s="289"/>
      <c r="CG68" s="249"/>
      <c r="CH68" s="249"/>
      <c r="CI68" s="289"/>
      <c r="CJ68" s="249"/>
      <c r="CK68" s="249"/>
      <c r="CL68" s="289"/>
      <c r="CM68" s="249"/>
      <c r="CN68" s="249"/>
      <c r="CO68" s="289"/>
      <c r="CP68" s="249"/>
      <c r="CQ68" s="249"/>
      <c r="CR68" s="289"/>
      <c r="CS68" s="249"/>
      <c r="CT68" s="249"/>
      <c r="CU68" s="289"/>
      <c r="CV68" s="249"/>
      <c r="CW68" s="249"/>
      <c r="CX68" s="289"/>
      <c r="CY68" s="249"/>
      <c r="CZ68" s="249"/>
      <c r="DA68" s="289"/>
    </row>
    <row r="69" spans="1:105" s="53" customFormat="1" x14ac:dyDescent="0.2">
      <c r="A69" s="262" t="s">
        <v>338</v>
      </c>
      <c r="B69" s="283">
        <v>350</v>
      </c>
      <c r="C69" s="264" t="s">
        <v>26</v>
      </c>
      <c r="D69" s="249"/>
      <c r="E69" s="289"/>
      <c r="F69" s="249"/>
      <c r="G69" s="249"/>
      <c r="H69" s="289"/>
      <c r="I69" s="249"/>
      <c r="J69" s="249"/>
      <c r="K69" s="289"/>
      <c r="L69" s="249"/>
      <c r="M69" s="249"/>
      <c r="N69" s="289"/>
      <c r="O69" s="249"/>
      <c r="P69" s="249"/>
      <c r="Q69" s="289"/>
      <c r="R69" s="249"/>
      <c r="S69" s="249"/>
      <c r="T69" s="289"/>
      <c r="U69" s="249"/>
      <c r="V69" s="249"/>
      <c r="W69" s="289"/>
      <c r="X69" s="249"/>
      <c r="Y69" s="249"/>
      <c r="Z69" s="289"/>
      <c r="AA69" s="249"/>
      <c r="AB69" s="249"/>
      <c r="AC69" s="289"/>
      <c r="AD69" s="289"/>
      <c r="AE69" s="289"/>
      <c r="AF69" s="289"/>
      <c r="AG69" s="289"/>
      <c r="AH69" s="249"/>
      <c r="AI69" s="275"/>
      <c r="AJ69" s="353"/>
      <c r="AK69" s="275"/>
      <c r="AL69" s="249"/>
      <c r="AM69" s="289"/>
      <c r="AN69" s="249"/>
      <c r="AO69" s="249"/>
      <c r="AP69" s="289"/>
      <c r="AQ69" s="249"/>
      <c r="AR69" s="249"/>
      <c r="AS69" s="289"/>
      <c r="AT69" s="249"/>
      <c r="AU69" s="249"/>
      <c r="AV69" s="289"/>
      <c r="AW69" s="249"/>
      <c r="AX69" s="249"/>
      <c r="AY69" s="289"/>
      <c r="AZ69" s="249"/>
      <c r="BA69" s="249"/>
      <c r="BB69" s="289"/>
      <c r="BC69" s="249"/>
      <c r="BD69" s="249"/>
      <c r="BE69" s="289"/>
      <c r="BF69" s="249"/>
      <c r="BG69" s="249"/>
      <c r="BH69" s="289"/>
      <c r="BI69" s="249"/>
      <c r="BJ69" s="249"/>
      <c r="BK69" s="289"/>
      <c r="BL69" s="249"/>
      <c r="BM69" s="249"/>
      <c r="BN69" s="289"/>
      <c r="BO69" s="249"/>
      <c r="BP69" s="249"/>
      <c r="BQ69" s="289"/>
      <c r="BR69" s="249"/>
      <c r="BS69" s="249"/>
      <c r="BT69" s="289"/>
      <c r="BU69" s="249"/>
      <c r="BV69" s="262"/>
      <c r="BW69" s="287"/>
      <c r="BX69" s="249"/>
      <c r="BY69" s="249"/>
      <c r="BZ69" s="289"/>
      <c r="CA69" s="249"/>
      <c r="CB69" s="249"/>
      <c r="CC69" s="289"/>
      <c r="CD69" s="249"/>
      <c r="CE69" s="249"/>
      <c r="CF69" s="289"/>
      <c r="CG69" s="249"/>
      <c r="CH69" s="249"/>
      <c r="CI69" s="289"/>
      <c r="CJ69" s="249"/>
      <c r="CK69" s="249"/>
      <c r="CL69" s="289"/>
      <c r="CM69" s="249"/>
      <c r="CN69" s="249"/>
      <c r="CO69" s="289"/>
      <c r="CP69" s="249"/>
      <c r="CQ69" s="249"/>
      <c r="CR69" s="289"/>
      <c r="CS69" s="249"/>
      <c r="CT69" s="249"/>
      <c r="CU69" s="289"/>
      <c r="CV69" s="249"/>
      <c r="CW69" s="249"/>
      <c r="CX69" s="289"/>
      <c r="CY69" s="249"/>
      <c r="CZ69" s="249"/>
      <c r="DA69" s="289"/>
    </row>
    <row r="70" spans="1:105" s="53" customFormat="1" x14ac:dyDescent="0.2">
      <c r="A70" s="249" t="s">
        <v>344</v>
      </c>
      <c r="B70" s="284">
        <v>0.54</v>
      </c>
      <c r="C70" s="92" t="s">
        <v>104</v>
      </c>
      <c r="D70" s="249"/>
      <c r="E70" s="289"/>
      <c r="F70" s="249"/>
      <c r="G70" s="249"/>
      <c r="H70" s="289"/>
      <c r="I70" s="249"/>
      <c r="J70" s="249"/>
      <c r="K70" s="289"/>
      <c r="L70" s="249"/>
      <c r="M70" s="249"/>
      <c r="N70" s="289"/>
      <c r="O70" s="249"/>
      <c r="P70" s="249"/>
      <c r="Q70" s="289"/>
      <c r="R70" s="249"/>
      <c r="S70" s="249"/>
      <c r="T70" s="289"/>
      <c r="U70" s="249"/>
      <c r="V70" s="249"/>
      <c r="W70" s="289"/>
      <c r="X70" s="249"/>
      <c r="Y70" s="249"/>
      <c r="Z70" s="289"/>
      <c r="AA70" s="249"/>
      <c r="AB70" s="249"/>
      <c r="AC70" s="289"/>
      <c r="AD70" s="289"/>
      <c r="AE70" s="289"/>
      <c r="AF70" s="289"/>
      <c r="AG70" s="289"/>
      <c r="AH70" s="249"/>
      <c r="AI70" s="275"/>
      <c r="AJ70" s="353"/>
      <c r="AK70" s="275"/>
      <c r="AL70" s="249"/>
      <c r="AM70" s="289"/>
      <c r="AN70" s="249"/>
      <c r="AO70" s="249"/>
      <c r="AP70" s="289"/>
      <c r="AQ70" s="249"/>
      <c r="AR70" s="249"/>
      <c r="AS70" s="289"/>
      <c r="AT70" s="249"/>
      <c r="AU70" s="249"/>
      <c r="AV70" s="289"/>
      <c r="AW70" s="249"/>
      <c r="AX70" s="249"/>
      <c r="AY70" s="289"/>
      <c r="AZ70" s="249"/>
      <c r="BA70" s="249"/>
      <c r="BB70" s="289"/>
      <c r="BC70" s="249"/>
      <c r="BD70" s="249"/>
      <c r="BE70" s="289"/>
      <c r="BF70" s="249"/>
      <c r="BG70" s="249"/>
      <c r="BH70" s="289"/>
      <c r="BI70" s="249"/>
      <c r="BJ70" s="249"/>
      <c r="BK70" s="289"/>
      <c r="BL70" s="249"/>
      <c r="BM70" s="249"/>
      <c r="BN70" s="289"/>
      <c r="BO70" s="249"/>
      <c r="BP70" s="249"/>
      <c r="BQ70" s="289"/>
      <c r="BR70" s="249"/>
      <c r="BS70" s="249"/>
      <c r="BT70" s="289"/>
      <c r="BU70" s="249"/>
      <c r="BV70" s="262"/>
      <c r="BW70" s="289"/>
      <c r="BX70" s="249"/>
      <c r="BY70" s="249"/>
      <c r="BZ70" s="289"/>
      <c r="CA70" s="249"/>
      <c r="CB70" s="249"/>
      <c r="CC70" s="289"/>
      <c r="CD70" s="249"/>
      <c r="CE70" s="249"/>
      <c r="CF70" s="289"/>
      <c r="CG70" s="249"/>
      <c r="CH70" s="249"/>
      <c r="CI70" s="289"/>
      <c r="CJ70" s="249"/>
      <c r="CK70" s="249"/>
      <c r="CL70" s="289"/>
      <c r="CM70" s="249"/>
      <c r="CN70" s="249"/>
      <c r="CO70" s="289"/>
      <c r="CP70" s="249"/>
      <c r="CQ70" s="249"/>
      <c r="CR70" s="289"/>
      <c r="CS70" s="249"/>
      <c r="CT70" s="249"/>
      <c r="CU70" s="289"/>
      <c r="CV70" s="249"/>
      <c r="CW70" s="249"/>
      <c r="CX70" s="289"/>
      <c r="CY70" s="249"/>
      <c r="CZ70" s="249"/>
      <c r="DA70" s="289"/>
    </row>
    <row r="71" spans="1:105" s="53" customFormat="1" x14ac:dyDescent="0.2">
      <c r="A71" s="249" t="s">
        <v>345</v>
      </c>
      <c r="B71" s="284">
        <v>0.71</v>
      </c>
      <c r="C71" s="92" t="s">
        <v>104</v>
      </c>
      <c r="D71" s="249"/>
      <c r="E71" s="289"/>
      <c r="F71" s="249"/>
      <c r="G71" s="249"/>
      <c r="H71" s="289"/>
      <c r="I71" s="249"/>
      <c r="J71" s="249"/>
      <c r="K71" s="289"/>
      <c r="L71" s="249"/>
      <c r="M71" s="249"/>
      <c r="N71" s="289"/>
      <c r="O71" s="249"/>
      <c r="P71" s="249"/>
      <c r="Q71" s="289"/>
      <c r="R71" s="249"/>
      <c r="S71" s="249"/>
      <c r="T71" s="289"/>
      <c r="U71" s="249"/>
      <c r="V71" s="249"/>
      <c r="W71" s="289"/>
      <c r="X71" s="249"/>
      <c r="Y71" s="249"/>
      <c r="Z71" s="289"/>
      <c r="AA71" s="249"/>
      <c r="AB71" s="249"/>
      <c r="AC71" s="289"/>
      <c r="AD71" s="289"/>
      <c r="AE71" s="289"/>
      <c r="AF71" s="289"/>
      <c r="AG71" s="289"/>
      <c r="AH71" s="249"/>
      <c r="AI71" s="275"/>
      <c r="AJ71" s="353"/>
      <c r="AK71" s="275"/>
      <c r="AL71" s="249"/>
      <c r="AM71" s="289"/>
      <c r="AN71" s="249"/>
      <c r="AO71" s="249"/>
      <c r="AP71" s="289"/>
      <c r="AQ71" s="249"/>
      <c r="AR71" s="249"/>
      <c r="AS71" s="289"/>
      <c r="AT71" s="249"/>
      <c r="AU71" s="249"/>
      <c r="AV71" s="289"/>
      <c r="AW71" s="249"/>
      <c r="AX71" s="249"/>
      <c r="AY71" s="289"/>
      <c r="AZ71" s="249"/>
      <c r="BA71" s="249"/>
      <c r="BB71" s="289"/>
      <c r="BC71" s="249"/>
      <c r="BD71" s="249"/>
      <c r="BE71" s="289"/>
      <c r="BF71" s="249"/>
      <c r="BG71" s="249"/>
      <c r="BH71" s="289"/>
      <c r="BI71" s="249"/>
      <c r="BJ71" s="249"/>
      <c r="BK71" s="289"/>
      <c r="BL71" s="249"/>
      <c r="BM71" s="249"/>
      <c r="BN71" s="289"/>
      <c r="BO71" s="249"/>
      <c r="BP71" s="249"/>
      <c r="BQ71" s="289"/>
      <c r="BR71" s="249"/>
      <c r="BS71" s="249"/>
      <c r="BT71" s="289"/>
      <c r="BU71" s="249"/>
      <c r="BV71" s="262"/>
      <c r="BW71" s="289"/>
      <c r="BX71" s="249"/>
      <c r="BY71" s="249"/>
      <c r="BZ71" s="289"/>
      <c r="CA71" s="249"/>
      <c r="CB71" s="249"/>
      <c r="CC71" s="289"/>
      <c r="CD71" s="249"/>
      <c r="CE71" s="249"/>
      <c r="CF71" s="289"/>
      <c r="CG71" s="249"/>
      <c r="CH71" s="249"/>
      <c r="CI71" s="289"/>
      <c r="CJ71" s="249"/>
      <c r="CK71" s="249"/>
      <c r="CL71" s="289"/>
      <c r="CM71" s="249"/>
      <c r="CN71" s="249"/>
      <c r="CO71" s="289"/>
      <c r="CP71" s="249"/>
      <c r="CQ71" s="249"/>
      <c r="CR71" s="289"/>
      <c r="CS71" s="249"/>
      <c r="CT71" s="249"/>
      <c r="CU71" s="289"/>
      <c r="CV71" s="249"/>
      <c r="CW71" s="249"/>
      <c r="CX71" s="289"/>
      <c r="CY71" s="249"/>
      <c r="CZ71" s="249"/>
      <c r="DA71" s="289"/>
    </row>
    <row r="72" spans="1:105" s="53" customFormat="1" x14ac:dyDescent="0.2">
      <c r="A72" s="262" t="s">
        <v>347</v>
      </c>
      <c r="B72" s="283">
        <v>24</v>
      </c>
      <c r="C72" s="264" t="s">
        <v>224</v>
      </c>
      <c r="D72" s="249"/>
      <c r="E72" s="289"/>
      <c r="F72" s="249"/>
      <c r="G72" s="249"/>
      <c r="H72" s="289"/>
      <c r="I72" s="249"/>
      <c r="J72" s="249"/>
      <c r="K72" s="289"/>
      <c r="L72" s="249"/>
      <c r="M72" s="249"/>
      <c r="N72" s="289"/>
      <c r="O72" s="249"/>
      <c r="P72" s="249"/>
      <c r="Q72" s="289"/>
      <c r="R72" s="249"/>
      <c r="S72" s="249"/>
      <c r="T72" s="289"/>
      <c r="U72" s="249"/>
      <c r="V72" s="249"/>
      <c r="W72" s="289"/>
      <c r="X72" s="249"/>
      <c r="Y72" s="249"/>
      <c r="Z72" s="289"/>
      <c r="AA72" s="249"/>
      <c r="AB72" s="249"/>
      <c r="AC72" s="289"/>
      <c r="AD72" s="289"/>
      <c r="AE72" s="289"/>
      <c r="AF72" s="277"/>
      <c r="AG72" s="353"/>
      <c r="AH72" s="275"/>
      <c r="AI72" s="275"/>
      <c r="AJ72" s="353"/>
      <c r="AK72" s="275"/>
      <c r="AL72" s="249"/>
      <c r="AM72" s="289"/>
      <c r="AN72" s="249"/>
      <c r="AO72" s="249"/>
      <c r="AP72" s="289"/>
      <c r="AQ72" s="249"/>
      <c r="AR72" s="249"/>
      <c r="AS72" s="289"/>
      <c r="AT72" s="249"/>
      <c r="AU72" s="249"/>
      <c r="AV72" s="289"/>
      <c r="AW72" s="249"/>
      <c r="AX72" s="249"/>
      <c r="AY72" s="289"/>
      <c r="AZ72" s="249"/>
      <c r="BA72" s="249"/>
      <c r="BB72" s="289"/>
      <c r="BC72" s="249"/>
      <c r="BD72" s="249"/>
      <c r="BE72" s="289"/>
      <c r="BF72" s="249"/>
      <c r="BG72" s="249"/>
      <c r="BH72" s="289"/>
      <c r="BI72" s="249"/>
      <c r="BJ72" s="249"/>
      <c r="BK72" s="289"/>
      <c r="BL72" s="249"/>
      <c r="BM72" s="249"/>
      <c r="BN72" s="289"/>
      <c r="BO72" s="249"/>
      <c r="BP72" s="249"/>
      <c r="BQ72" s="289"/>
      <c r="BR72" s="249"/>
      <c r="BS72" s="249"/>
      <c r="BT72" s="289"/>
      <c r="BU72" s="249"/>
      <c r="BV72" s="249"/>
      <c r="BW72" s="289"/>
      <c r="BX72" s="249"/>
      <c r="BY72" s="249"/>
      <c r="BZ72" s="289"/>
      <c r="CA72" s="249"/>
      <c r="CB72" s="249"/>
      <c r="CC72" s="289"/>
      <c r="CD72" s="249"/>
      <c r="CE72" s="249"/>
      <c r="CF72" s="289"/>
      <c r="CG72" s="249"/>
      <c r="CH72" s="249"/>
      <c r="CI72" s="289"/>
      <c r="CJ72" s="249"/>
      <c r="CK72" s="249"/>
      <c r="CL72" s="289"/>
      <c r="CM72" s="249"/>
      <c r="CN72" s="249"/>
      <c r="CO72" s="289"/>
      <c r="CP72" s="249"/>
      <c r="CQ72" s="249"/>
      <c r="CR72" s="289"/>
      <c r="CS72" s="249"/>
      <c r="CT72" s="249"/>
      <c r="CU72" s="289"/>
      <c r="CV72" s="249"/>
      <c r="CW72" s="249"/>
      <c r="CX72" s="289"/>
      <c r="CY72" s="249"/>
      <c r="CZ72" s="249"/>
      <c r="DA72" s="289"/>
    </row>
    <row r="73" spans="1:105" s="53" customFormat="1" x14ac:dyDescent="0.2">
      <c r="A73" s="262" t="s">
        <v>348</v>
      </c>
      <c r="B73" s="283">
        <v>24</v>
      </c>
      <c r="C73" s="264" t="s">
        <v>224</v>
      </c>
      <c r="D73" s="249"/>
      <c r="E73" s="289"/>
      <c r="F73" s="249"/>
      <c r="G73" s="249"/>
      <c r="H73" s="289"/>
      <c r="I73" s="249"/>
      <c r="J73" s="249"/>
      <c r="K73" s="289"/>
      <c r="L73" s="249"/>
      <c r="M73" s="249"/>
      <c r="N73" s="289"/>
      <c r="O73" s="249"/>
      <c r="P73" s="249"/>
      <c r="Q73" s="289"/>
      <c r="R73" s="249"/>
      <c r="S73" s="249"/>
      <c r="T73" s="289"/>
      <c r="U73" s="249"/>
      <c r="V73" s="249"/>
      <c r="W73" s="289"/>
      <c r="X73" s="249"/>
      <c r="Y73" s="249"/>
      <c r="Z73" s="289"/>
      <c r="AA73" s="249"/>
      <c r="AB73" s="249"/>
      <c r="AC73" s="289"/>
      <c r="AD73" s="289"/>
      <c r="AE73" s="289"/>
      <c r="AF73" s="277"/>
      <c r="AG73" s="353"/>
      <c r="AH73" s="275"/>
      <c r="AI73" s="275"/>
      <c r="AJ73" s="353"/>
      <c r="AK73" s="275"/>
      <c r="AL73" s="249"/>
      <c r="AM73" s="289"/>
      <c r="AN73" s="249"/>
      <c r="AO73" s="249"/>
      <c r="AP73" s="289"/>
      <c r="AQ73" s="249"/>
      <c r="AR73" s="249"/>
      <c r="AS73" s="289"/>
      <c r="AT73" s="249"/>
      <c r="AU73" s="249"/>
      <c r="AV73" s="289"/>
      <c r="AW73" s="249"/>
      <c r="AX73" s="249"/>
      <c r="AY73" s="289"/>
      <c r="AZ73" s="249"/>
      <c r="BA73" s="249"/>
      <c r="BB73" s="289"/>
      <c r="BC73" s="249"/>
      <c r="BD73" s="249"/>
      <c r="BE73" s="289"/>
      <c r="BF73" s="249"/>
      <c r="BG73" s="249"/>
      <c r="BH73" s="289"/>
      <c r="BI73" s="249"/>
      <c r="BJ73" s="249"/>
      <c r="BK73" s="289"/>
      <c r="BL73" s="249"/>
      <c r="BM73" s="249"/>
      <c r="BN73" s="289"/>
      <c r="BO73" s="249"/>
      <c r="BP73" s="249"/>
      <c r="BQ73" s="289"/>
      <c r="BR73" s="249"/>
      <c r="BS73" s="249"/>
      <c r="BT73" s="289"/>
      <c r="BU73" s="249"/>
      <c r="BV73" s="249"/>
      <c r="BW73" s="289"/>
      <c r="BX73" s="249"/>
      <c r="BY73" s="249"/>
      <c r="BZ73" s="289"/>
      <c r="CA73" s="249"/>
      <c r="CB73" s="249"/>
      <c r="CC73" s="289"/>
      <c r="CD73" s="249"/>
      <c r="CE73" s="249"/>
      <c r="CF73" s="289"/>
      <c r="CG73" s="249"/>
      <c r="CH73" s="249"/>
      <c r="CI73" s="289"/>
      <c r="CJ73" s="249"/>
      <c r="CK73" s="249"/>
      <c r="CL73" s="289"/>
      <c r="CM73" s="249"/>
      <c r="CN73" s="249"/>
      <c r="CO73" s="289"/>
      <c r="CP73" s="249"/>
      <c r="CQ73" s="249"/>
      <c r="CR73" s="289"/>
      <c r="CS73" s="249"/>
      <c r="CT73" s="249"/>
      <c r="CU73" s="289"/>
      <c r="CV73" s="249"/>
      <c r="CW73" s="249"/>
      <c r="CX73" s="289"/>
      <c r="CY73" s="249"/>
      <c r="CZ73" s="249"/>
      <c r="DA73" s="289"/>
    </row>
    <row r="74" spans="1:105" s="53" customFormat="1" x14ac:dyDescent="0.2">
      <c r="A74" s="262" t="s">
        <v>346</v>
      </c>
      <c r="B74" s="283">
        <v>24</v>
      </c>
      <c r="C74" s="264" t="s">
        <v>224</v>
      </c>
      <c r="D74" s="249"/>
      <c r="E74" s="289"/>
      <c r="F74" s="249"/>
      <c r="G74" s="249"/>
      <c r="H74" s="289"/>
      <c r="I74" s="249"/>
      <c r="J74" s="249"/>
      <c r="K74" s="289"/>
      <c r="L74" s="249"/>
      <c r="M74" s="249"/>
      <c r="N74" s="289"/>
      <c r="O74" s="249"/>
      <c r="P74" s="249"/>
      <c r="Q74" s="289"/>
      <c r="R74" s="249"/>
      <c r="S74" s="249"/>
      <c r="T74" s="289"/>
      <c r="U74" s="249"/>
      <c r="V74" s="249"/>
      <c r="W74" s="289"/>
      <c r="X74" s="249"/>
      <c r="Y74" s="249"/>
      <c r="Z74" s="289"/>
      <c r="AA74" s="249"/>
      <c r="AB74" s="249"/>
      <c r="AC74" s="289"/>
      <c r="AD74" s="289"/>
      <c r="AE74" s="289"/>
      <c r="AF74" s="277"/>
      <c r="AG74" s="353"/>
      <c r="AH74" s="275"/>
      <c r="AI74" s="275"/>
      <c r="AJ74" s="353"/>
      <c r="AK74" s="275"/>
      <c r="AL74" s="249"/>
      <c r="AM74" s="289"/>
      <c r="AN74" s="249"/>
      <c r="AO74" s="249"/>
      <c r="AP74" s="289"/>
      <c r="AQ74" s="249"/>
      <c r="AR74" s="249"/>
      <c r="AS74" s="289"/>
      <c r="AT74" s="249"/>
      <c r="AU74" s="249"/>
      <c r="AV74" s="289"/>
      <c r="AW74" s="249"/>
      <c r="AX74" s="249"/>
      <c r="AY74" s="289"/>
      <c r="AZ74" s="249"/>
      <c r="BA74" s="249"/>
      <c r="BB74" s="289"/>
      <c r="BC74" s="249"/>
      <c r="BD74" s="249"/>
      <c r="BE74" s="289"/>
      <c r="BF74" s="249"/>
      <c r="BG74" s="249"/>
      <c r="BH74" s="289"/>
      <c r="BI74" s="249"/>
      <c r="BJ74" s="249"/>
      <c r="BK74" s="289"/>
      <c r="BL74" s="249"/>
      <c r="BM74" s="249"/>
      <c r="BN74" s="289"/>
      <c r="BO74" s="249"/>
      <c r="BP74" s="249"/>
      <c r="BQ74" s="289"/>
      <c r="BR74" s="249"/>
      <c r="BS74" s="249"/>
      <c r="BT74" s="289"/>
      <c r="BU74" s="249"/>
      <c r="BV74" s="249"/>
      <c r="BW74" s="289"/>
      <c r="BX74" s="249"/>
      <c r="BY74" s="249"/>
      <c r="BZ74" s="289"/>
      <c r="CA74" s="249"/>
      <c r="CB74" s="249"/>
      <c r="CC74" s="289"/>
      <c r="CD74" s="249"/>
      <c r="CE74" s="249"/>
      <c r="CF74" s="289"/>
      <c r="CG74" s="249"/>
      <c r="CH74" s="249"/>
      <c r="CI74" s="289"/>
      <c r="CJ74" s="249"/>
      <c r="CK74" s="249"/>
      <c r="CL74" s="289"/>
      <c r="CM74" s="249"/>
      <c r="CN74" s="249"/>
      <c r="CO74" s="289"/>
      <c r="CP74" s="249"/>
      <c r="CQ74" s="249"/>
      <c r="CR74" s="289"/>
      <c r="CS74" s="249"/>
      <c r="CT74" s="249"/>
      <c r="CU74" s="289"/>
      <c r="CV74" s="249"/>
      <c r="CW74" s="249"/>
      <c r="CX74" s="289"/>
      <c r="CY74" s="249"/>
      <c r="CZ74" s="249"/>
      <c r="DA74" s="289"/>
    </row>
    <row r="75" spans="1:105" s="53" customFormat="1" x14ac:dyDescent="0.2">
      <c r="A75" s="249" t="s">
        <v>349</v>
      </c>
      <c r="B75" s="284">
        <v>1</v>
      </c>
      <c r="C75" s="92" t="s">
        <v>98</v>
      </c>
      <c r="D75" s="249"/>
      <c r="E75" s="289"/>
      <c r="F75" s="249"/>
      <c r="G75" s="249"/>
      <c r="H75" s="289"/>
      <c r="I75" s="249"/>
      <c r="J75" s="249"/>
      <c r="K75" s="289"/>
      <c r="L75" s="249"/>
      <c r="M75" s="249"/>
      <c r="N75" s="289"/>
      <c r="O75" s="249"/>
      <c r="P75" s="249"/>
      <c r="Q75" s="289"/>
      <c r="R75" s="249"/>
      <c r="S75" s="249"/>
      <c r="T75" s="289"/>
      <c r="U75" s="249"/>
      <c r="V75" s="249"/>
      <c r="W75" s="289"/>
      <c r="X75" s="249"/>
      <c r="Y75" s="249"/>
      <c r="Z75" s="289"/>
      <c r="AA75" s="249"/>
      <c r="AB75" s="249"/>
      <c r="AC75" s="289"/>
      <c r="AD75" s="289"/>
      <c r="AE75" s="289"/>
      <c r="AF75" s="277"/>
      <c r="AG75" s="353"/>
      <c r="AH75" s="275"/>
      <c r="AI75" s="275"/>
      <c r="AJ75" s="353"/>
      <c r="AK75" s="275"/>
      <c r="AL75" s="249"/>
      <c r="AM75" s="289"/>
      <c r="AN75" s="249"/>
      <c r="AO75" s="249"/>
      <c r="AP75" s="289"/>
      <c r="AQ75" s="249"/>
      <c r="AR75" s="249"/>
      <c r="AS75" s="289"/>
      <c r="AT75" s="249"/>
      <c r="AU75" s="249"/>
      <c r="AV75" s="289"/>
      <c r="AW75" s="249"/>
      <c r="AX75" s="249"/>
      <c r="AY75" s="289"/>
      <c r="AZ75" s="249"/>
      <c r="BA75" s="249"/>
      <c r="BB75" s="289"/>
      <c r="BC75" s="249"/>
      <c r="BD75" s="249"/>
      <c r="BE75" s="289"/>
      <c r="BF75" s="249"/>
      <c r="BG75" s="249"/>
      <c r="BH75" s="289"/>
      <c r="BI75" s="249"/>
      <c r="BJ75" s="249"/>
      <c r="BK75" s="289"/>
      <c r="BL75" s="249"/>
      <c r="BM75" s="249"/>
      <c r="BN75" s="289"/>
      <c r="BO75" s="249"/>
      <c r="BP75" s="249"/>
      <c r="BQ75" s="289"/>
      <c r="BR75" s="249"/>
      <c r="BS75" s="249"/>
      <c r="BT75" s="289"/>
      <c r="BU75" s="249"/>
      <c r="BV75" s="249"/>
      <c r="BW75" s="289"/>
      <c r="BX75" s="249"/>
      <c r="BY75" s="249"/>
      <c r="BZ75" s="289"/>
      <c r="CA75" s="249"/>
      <c r="CB75" s="249"/>
      <c r="CC75" s="289"/>
      <c r="CD75" s="249"/>
      <c r="CE75" s="249"/>
      <c r="CF75" s="289"/>
      <c r="CG75" s="249"/>
      <c r="CH75" s="249"/>
      <c r="CI75" s="289"/>
      <c r="CJ75" s="249"/>
      <c r="CK75" s="249"/>
      <c r="CL75" s="289"/>
      <c r="CM75" s="249"/>
      <c r="CN75" s="249"/>
      <c r="CO75" s="289"/>
      <c r="CP75" s="249"/>
      <c r="CQ75" s="249"/>
      <c r="CR75" s="289"/>
      <c r="CS75" s="249"/>
      <c r="CT75" s="249"/>
      <c r="CU75" s="289"/>
      <c r="CV75" s="249"/>
      <c r="CW75" s="249"/>
      <c r="CX75" s="289"/>
      <c r="CY75" s="249"/>
      <c r="CZ75" s="249"/>
      <c r="DA75" s="289"/>
    </row>
    <row r="76" spans="1:105" s="53" customFormat="1" x14ac:dyDescent="0.2">
      <c r="A76" s="249" t="s">
        <v>350</v>
      </c>
      <c r="B76" s="284">
        <v>1</v>
      </c>
      <c r="C76" s="92" t="s">
        <v>98</v>
      </c>
      <c r="D76" s="249"/>
      <c r="E76" s="289"/>
      <c r="F76" s="249"/>
      <c r="G76" s="249"/>
      <c r="H76" s="289"/>
      <c r="I76" s="249"/>
      <c r="J76" s="249"/>
      <c r="K76" s="289"/>
      <c r="L76" s="249"/>
      <c r="M76" s="249"/>
      <c r="N76" s="289"/>
      <c r="O76" s="249"/>
      <c r="P76" s="249"/>
      <c r="Q76" s="289"/>
      <c r="R76" s="249"/>
      <c r="S76" s="249"/>
      <c r="T76" s="289"/>
      <c r="U76" s="249"/>
      <c r="V76" s="249"/>
      <c r="W76" s="289"/>
      <c r="X76" s="249"/>
      <c r="Y76" s="249"/>
      <c r="Z76" s="289"/>
      <c r="AA76" s="249"/>
      <c r="AB76" s="249"/>
      <c r="AC76" s="289"/>
      <c r="AD76" s="289"/>
      <c r="AE76" s="289"/>
      <c r="AF76" s="277"/>
      <c r="AG76" s="353"/>
      <c r="AH76" s="275"/>
      <c r="AI76" s="275"/>
      <c r="AJ76" s="353"/>
      <c r="AK76" s="275"/>
      <c r="AL76" s="249"/>
      <c r="AM76" s="289"/>
      <c r="AN76" s="249"/>
      <c r="AO76" s="249"/>
      <c r="AP76" s="289"/>
      <c r="AQ76" s="249"/>
      <c r="AR76" s="249"/>
      <c r="AS76" s="289"/>
      <c r="AT76" s="249"/>
      <c r="AU76" s="249"/>
      <c r="AV76" s="289"/>
      <c r="AW76" s="249"/>
      <c r="AX76" s="249"/>
      <c r="AY76" s="289"/>
      <c r="AZ76" s="249"/>
      <c r="BA76" s="249"/>
      <c r="BB76" s="289"/>
      <c r="BC76" s="249"/>
      <c r="BD76" s="249"/>
      <c r="BE76" s="289"/>
      <c r="BF76" s="249"/>
      <c r="BG76" s="249"/>
      <c r="BH76" s="289"/>
      <c r="BI76" s="249"/>
      <c r="BJ76" s="249"/>
      <c r="BK76" s="289"/>
      <c r="BL76" s="249"/>
      <c r="BM76" s="249"/>
      <c r="BN76" s="289"/>
      <c r="BO76" s="249"/>
      <c r="BP76" s="249"/>
      <c r="BQ76" s="289"/>
      <c r="BR76" s="249"/>
      <c r="BS76" s="249"/>
      <c r="BT76" s="289"/>
      <c r="BU76" s="249"/>
      <c r="BV76" s="249"/>
      <c r="BW76" s="289"/>
      <c r="BX76" s="249"/>
      <c r="BY76" s="249"/>
      <c r="BZ76" s="289"/>
      <c r="CA76" s="249"/>
      <c r="CB76" s="249"/>
      <c r="CC76" s="289"/>
      <c r="CD76" s="249"/>
      <c r="CE76" s="249"/>
      <c r="CF76" s="289"/>
      <c r="CG76" s="249"/>
      <c r="CH76" s="249"/>
      <c r="CI76" s="289"/>
      <c r="CJ76" s="249"/>
      <c r="CK76" s="249"/>
      <c r="CL76" s="289"/>
      <c r="CM76" s="249"/>
      <c r="CN76" s="249"/>
      <c r="CO76" s="289"/>
      <c r="CP76" s="249"/>
      <c r="CQ76" s="249"/>
      <c r="CR76" s="289"/>
      <c r="CS76" s="249"/>
      <c r="CT76" s="249"/>
      <c r="CU76" s="289"/>
      <c r="CV76" s="249"/>
      <c r="CW76" s="249"/>
      <c r="CX76" s="289"/>
      <c r="CY76" s="249"/>
      <c r="CZ76" s="249"/>
      <c r="DA76" s="289"/>
    </row>
    <row r="77" spans="1:105" s="53" customFormat="1" x14ac:dyDescent="0.2">
      <c r="A77" s="262" t="s">
        <v>103</v>
      </c>
      <c r="B77" s="283">
        <v>0.4</v>
      </c>
      <c r="C77" s="249"/>
      <c r="D77" s="249"/>
      <c r="E77" s="289"/>
      <c r="F77" s="249"/>
      <c r="G77" s="249"/>
      <c r="H77" s="289"/>
      <c r="I77" s="249"/>
      <c r="J77" s="249"/>
      <c r="K77" s="289"/>
      <c r="L77" s="249"/>
      <c r="M77" s="249"/>
      <c r="N77" s="289"/>
      <c r="O77" s="249"/>
      <c r="P77" s="249"/>
      <c r="Q77" s="289"/>
      <c r="R77" s="249"/>
      <c r="S77" s="249"/>
      <c r="T77" s="289"/>
      <c r="U77" s="249"/>
      <c r="V77" s="249"/>
      <c r="W77" s="289"/>
      <c r="X77" s="249"/>
      <c r="Y77" s="249"/>
      <c r="Z77" s="289"/>
      <c r="AA77" s="249"/>
      <c r="AB77" s="249"/>
      <c r="AC77" s="289"/>
      <c r="AD77" s="289"/>
      <c r="AE77" s="289"/>
      <c r="AF77" s="277"/>
      <c r="AG77" s="353"/>
      <c r="AH77" s="275"/>
      <c r="AI77" s="275"/>
      <c r="AJ77" s="353"/>
      <c r="AK77" s="275"/>
      <c r="AL77" s="249"/>
      <c r="AM77" s="289"/>
      <c r="AN77" s="249"/>
      <c r="AO77" s="249"/>
      <c r="AP77" s="289"/>
      <c r="AQ77" s="249"/>
      <c r="AR77" s="249"/>
      <c r="AS77" s="289"/>
      <c r="AT77" s="249"/>
      <c r="AU77" s="249"/>
      <c r="AV77" s="289"/>
      <c r="AW77" s="249"/>
      <c r="AX77" s="249"/>
      <c r="AY77" s="289"/>
      <c r="AZ77" s="249"/>
      <c r="BA77" s="249"/>
      <c r="BB77" s="289"/>
      <c r="BC77" s="249"/>
      <c r="BD77" s="249"/>
      <c r="BE77" s="289"/>
      <c r="BF77" s="249"/>
      <c r="BG77" s="249"/>
      <c r="BH77" s="289"/>
      <c r="BI77" s="249"/>
      <c r="BJ77" s="249"/>
      <c r="BK77" s="289"/>
      <c r="BL77" s="249"/>
      <c r="BM77" s="249"/>
      <c r="BN77" s="289"/>
      <c r="BO77" s="249"/>
      <c r="BP77" s="249"/>
      <c r="BQ77" s="289"/>
      <c r="BR77" s="249"/>
      <c r="BS77" s="249"/>
      <c r="BT77" s="289"/>
      <c r="BU77" s="249"/>
      <c r="BV77" s="249"/>
      <c r="BW77" s="289"/>
      <c r="BX77" s="249"/>
      <c r="BY77" s="249"/>
      <c r="BZ77" s="289"/>
      <c r="CA77" s="249"/>
      <c r="CB77" s="249"/>
      <c r="CC77" s="289"/>
      <c r="CD77" s="249"/>
      <c r="CE77" s="249"/>
      <c r="CF77" s="289"/>
      <c r="CG77" s="249"/>
      <c r="CH77" s="249"/>
      <c r="CI77" s="289"/>
      <c r="CJ77" s="249"/>
      <c r="CK77" s="249"/>
      <c r="CL77" s="289"/>
      <c r="CM77" s="249"/>
      <c r="CN77" s="249"/>
      <c r="CO77" s="289"/>
      <c r="CP77" s="249"/>
      <c r="CQ77" s="249"/>
      <c r="CR77" s="289"/>
      <c r="CS77" s="249"/>
      <c r="CT77" s="249"/>
      <c r="CU77" s="289"/>
      <c r="CV77" s="249"/>
      <c r="CW77" s="249"/>
      <c r="CX77" s="289"/>
      <c r="CY77" s="249"/>
      <c r="CZ77" s="249"/>
      <c r="DA77" s="289"/>
    </row>
    <row r="78" spans="1:105" s="53" customFormat="1" x14ac:dyDescent="0.2">
      <c r="A78" s="249" t="s">
        <v>353</v>
      </c>
      <c r="B78" s="284">
        <v>1</v>
      </c>
      <c r="C78" s="247"/>
      <c r="D78" s="249"/>
      <c r="E78" s="289"/>
      <c r="F78" s="249"/>
      <c r="G78" s="249"/>
      <c r="H78" s="289"/>
      <c r="I78" s="249"/>
      <c r="J78" s="249"/>
      <c r="K78" s="289"/>
      <c r="L78" s="249"/>
      <c r="M78" s="249"/>
      <c r="N78" s="289"/>
      <c r="O78" s="249"/>
      <c r="P78" s="249"/>
      <c r="Q78" s="289"/>
      <c r="R78" s="249"/>
      <c r="S78" s="249"/>
      <c r="T78" s="289"/>
      <c r="U78" s="249"/>
      <c r="V78" s="249"/>
      <c r="W78" s="289"/>
      <c r="X78" s="249"/>
      <c r="Y78" s="249"/>
      <c r="Z78" s="289"/>
      <c r="AA78" s="249"/>
      <c r="AB78" s="249"/>
      <c r="AC78" s="289"/>
      <c r="AD78" s="289"/>
      <c r="AE78" s="289"/>
      <c r="AF78" s="277"/>
      <c r="AG78" s="353"/>
      <c r="AH78" s="249"/>
      <c r="AI78" s="249"/>
      <c r="AJ78" s="289"/>
      <c r="AK78" s="249"/>
      <c r="AL78" s="249"/>
      <c r="AM78" s="289"/>
      <c r="AN78" s="249"/>
      <c r="AO78" s="249"/>
      <c r="AP78" s="289"/>
      <c r="AQ78" s="249"/>
      <c r="AR78" s="249"/>
      <c r="AS78" s="289"/>
      <c r="AT78" s="249"/>
      <c r="AU78" s="249"/>
      <c r="AV78" s="289"/>
      <c r="AW78" s="249"/>
      <c r="AX78" s="249"/>
      <c r="AY78" s="289"/>
      <c r="AZ78" s="249"/>
      <c r="BA78" s="249"/>
      <c r="BB78" s="289"/>
      <c r="BC78" s="249"/>
      <c r="BD78" s="249"/>
      <c r="BE78" s="289"/>
      <c r="BF78" s="249"/>
      <c r="BG78" s="249"/>
      <c r="BH78" s="289"/>
      <c r="BI78" s="249"/>
      <c r="BJ78" s="249"/>
      <c r="BK78" s="289"/>
      <c r="BL78" s="249"/>
      <c r="BM78" s="249"/>
      <c r="BN78" s="289"/>
      <c r="BO78" s="249"/>
      <c r="BP78" s="249"/>
      <c r="BQ78" s="289"/>
      <c r="BR78" s="249"/>
      <c r="BS78" s="249"/>
      <c r="BT78" s="289"/>
      <c r="BU78" s="249"/>
      <c r="BV78" s="249"/>
      <c r="BW78" s="289"/>
      <c r="BX78" s="249"/>
      <c r="BY78" s="249"/>
      <c r="BZ78" s="289"/>
      <c r="CA78" s="249"/>
      <c r="CB78" s="249"/>
      <c r="CC78" s="289"/>
      <c r="CD78" s="249"/>
      <c r="CE78" s="249"/>
      <c r="CF78" s="289"/>
      <c r="CG78" s="249"/>
      <c r="CH78" s="249"/>
      <c r="CI78" s="289"/>
      <c r="CJ78" s="249"/>
      <c r="CK78" s="249"/>
      <c r="CL78" s="289"/>
      <c r="CM78" s="249"/>
      <c r="CN78" s="249"/>
      <c r="CO78" s="289"/>
      <c r="CP78" s="249"/>
      <c r="CQ78" s="249"/>
      <c r="CR78" s="289"/>
      <c r="CS78" s="249"/>
      <c r="CT78" s="249"/>
      <c r="CU78" s="289"/>
      <c r="CV78" s="249"/>
      <c r="CW78" s="249"/>
      <c r="CX78" s="289"/>
      <c r="CY78" s="249"/>
      <c r="CZ78" s="249"/>
      <c r="DA78" s="289"/>
    </row>
    <row r="79" spans="1:105" s="53" customFormat="1" x14ac:dyDescent="0.2">
      <c r="A79" s="249" t="s">
        <v>158</v>
      </c>
      <c r="B79" s="284">
        <v>0.4</v>
      </c>
      <c r="C79" s="247"/>
      <c r="D79" s="249"/>
      <c r="E79" s="289"/>
      <c r="F79" s="249"/>
      <c r="G79" s="249"/>
      <c r="H79" s="289"/>
      <c r="I79" s="249"/>
      <c r="J79" s="249"/>
      <c r="K79" s="289"/>
      <c r="L79" s="249"/>
      <c r="M79" s="249"/>
      <c r="N79" s="289"/>
      <c r="O79" s="249"/>
      <c r="P79" s="249"/>
      <c r="Q79" s="289"/>
      <c r="R79" s="249"/>
      <c r="S79" s="249"/>
      <c r="T79" s="289"/>
      <c r="U79" s="249"/>
      <c r="V79" s="249"/>
      <c r="W79" s="289"/>
      <c r="X79" s="249"/>
      <c r="Y79" s="249"/>
      <c r="Z79" s="289"/>
      <c r="AA79" s="249"/>
      <c r="AB79" s="249"/>
      <c r="AC79" s="289"/>
      <c r="AD79" s="289"/>
      <c r="AE79" s="289"/>
      <c r="AF79" s="277"/>
      <c r="AG79" s="353"/>
      <c r="AH79" s="275"/>
      <c r="AI79" s="275"/>
      <c r="AJ79" s="353"/>
      <c r="AK79" s="275"/>
      <c r="AL79" s="249"/>
      <c r="AM79" s="289"/>
      <c r="AN79" s="249"/>
      <c r="AO79" s="249"/>
      <c r="AP79" s="289"/>
      <c r="AQ79" s="249"/>
      <c r="AR79" s="249"/>
      <c r="AS79" s="289"/>
      <c r="AT79" s="249"/>
      <c r="AU79" s="249"/>
      <c r="AV79" s="289"/>
      <c r="AW79" s="249"/>
      <c r="AX79" s="249"/>
      <c r="AY79" s="289"/>
      <c r="AZ79" s="249"/>
      <c r="BA79" s="249"/>
      <c r="BB79" s="289"/>
      <c r="BC79" s="249"/>
      <c r="BD79" s="249"/>
      <c r="BE79" s="289"/>
      <c r="BF79" s="249"/>
      <c r="BG79" s="249"/>
      <c r="BH79" s="289"/>
      <c r="BI79" s="249"/>
      <c r="BJ79" s="249"/>
      <c r="BK79" s="289"/>
      <c r="BL79" s="249"/>
      <c r="BM79" s="249"/>
      <c r="BN79" s="289"/>
      <c r="BO79" s="249"/>
      <c r="BP79" s="249"/>
      <c r="BQ79" s="289"/>
      <c r="BR79" s="249"/>
      <c r="BS79" s="249"/>
      <c r="BT79" s="289"/>
      <c r="BU79" s="249"/>
      <c r="BV79" s="249"/>
      <c r="BW79" s="289"/>
      <c r="BX79" s="249"/>
      <c r="BY79" s="249"/>
      <c r="BZ79" s="289"/>
      <c r="CA79" s="249"/>
      <c r="CB79" s="249"/>
      <c r="CC79" s="289"/>
      <c r="CD79" s="249"/>
      <c r="CE79" s="249"/>
      <c r="CF79" s="289"/>
      <c r="CG79" s="249"/>
      <c r="CH79" s="249"/>
      <c r="CI79" s="289"/>
      <c r="CJ79" s="249"/>
      <c r="CK79" s="249"/>
      <c r="CL79" s="289"/>
      <c r="CM79" s="249"/>
      <c r="CN79" s="249"/>
      <c r="CO79" s="289"/>
      <c r="CP79" s="249"/>
      <c r="CQ79" s="249"/>
      <c r="CR79" s="289"/>
      <c r="CS79" s="249"/>
      <c r="CT79" s="249"/>
      <c r="CU79" s="289"/>
      <c r="CV79" s="249"/>
      <c r="CW79" s="249"/>
      <c r="CX79" s="289"/>
      <c r="CY79" s="249"/>
      <c r="CZ79" s="249"/>
      <c r="DA79" s="289"/>
    </row>
    <row r="80" spans="1:105" s="53" customFormat="1" x14ac:dyDescent="0.2">
      <c r="A80" s="249" t="s">
        <v>159</v>
      </c>
      <c r="B80" s="284">
        <v>1</v>
      </c>
      <c r="C80" s="247"/>
      <c r="D80" s="249"/>
      <c r="E80" s="289"/>
      <c r="F80" s="249"/>
      <c r="G80" s="249"/>
      <c r="H80" s="289"/>
      <c r="I80" s="249"/>
      <c r="J80" s="249"/>
      <c r="K80" s="289"/>
      <c r="L80" s="249"/>
      <c r="M80" s="249"/>
      <c r="N80" s="289"/>
      <c r="O80" s="249"/>
      <c r="P80" s="249"/>
      <c r="Q80" s="289"/>
      <c r="R80" s="249"/>
      <c r="S80" s="249"/>
      <c r="T80" s="289"/>
      <c r="U80" s="249"/>
      <c r="V80" s="249"/>
      <c r="W80" s="289"/>
      <c r="X80" s="249"/>
      <c r="Y80" s="249"/>
      <c r="Z80" s="289"/>
      <c r="AA80" s="249"/>
      <c r="AB80" s="249"/>
      <c r="AC80" s="289"/>
      <c r="AD80" s="289"/>
      <c r="AE80" s="289"/>
      <c r="AF80" s="277"/>
      <c r="AG80" s="353"/>
      <c r="AH80" s="275"/>
      <c r="AI80" s="275"/>
      <c r="AJ80" s="353"/>
      <c r="AK80" s="275"/>
      <c r="AL80" s="249"/>
      <c r="AM80" s="289"/>
      <c r="AN80" s="249"/>
      <c r="AO80" s="249"/>
      <c r="AP80" s="289"/>
      <c r="AQ80" s="249"/>
      <c r="AR80" s="249"/>
      <c r="AS80" s="289"/>
      <c r="AT80" s="249"/>
      <c r="AU80" s="249"/>
      <c r="AV80" s="289"/>
      <c r="AW80" s="249"/>
      <c r="AX80" s="249"/>
      <c r="AY80" s="289"/>
      <c r="AZ80" s="249"/>
      <c r="BA80" s="249"/>
      <c r="BB80" s="289"/>
      <c r="BC80" s="249"/>
      <c r="BD80" s="249"/>
      <c r="BE80" s="289"/>
      <c r="BF80" s="249"/>
      <c r="BG80" s="249"/>
      <c r="BH80" s="289"/>
      <c r="BI80" s="249"/>
      <c r="BJ80" s="249"/>
      <c r="BK80" s="289"/>
      <c r="BL80" s="249"/>
      <c r="BM80" s="249"/>
      <c r="BN80" s="289"/>
      <c r="BO80" s="249"/>
      <c r="BP80" s="249"/>
      <c r="BQ80" s="289"/>
      <c r="BR80" s="249"/>
      <c r="BS80" s="249"/>
      <c r="BT80" s="289"/>
      <c r="BU80" s="249"/>
      <c r="BV80" s="249"/>
      <c r="BW80" s="289"/>
      <c r="BX80" s="249"/>
      <c r="BY80" s="249"/>
      <c r="BZ80" s="289"/>
      <c r="CA80" s="249"/>
      <c r="CB80" s="249"/>
      <c r="CC80" s="289"/>
      <c r="CD80" s="249"/>
      <c r="CE80" s="249"/>
      <c r="CF80" s="289"/>
      <c r="CG80" s="249"/>
      <c r="CH80" s="249"/>
      <c r="CI80" s="289"/>
      <c r="CJ80" s="249"/>
      <c r="CK80" s="249"/>
      <c r="CL80" s="289"/>
      <c r="CM80" s="249"/>
      <c r="CN80" s="249"/>
      <c r="CO80" s="289"/>
      <c r="CP80" s="249"/>
      <c r="CQ80" s="249"/>
      <c r="CR80" s="289"/>
      <c r="CS80" s="249"/>
      <c r="CT80" s="249"/>
      <c r="CU80" s="289"/>
      <c r="CV80" s="249"/>
      <c r="CW80" s="249"/>
      <c r="CX80" s="289"/>
      <c r="CY80" s="249"/>
      <c r="CZ80" s="249"/>
      <c r="DA80" s="289"/>
    </row>
    <row r="81" spans="1:37" s="53" customFormat="1" x14ac:dyDescent="0.2">
      <c r="A81" s="249" t="s">
        <v>354</v>
      </c>
      <c r="B81" s="284">
        <v>1</v>
      </c>
      <c r="C81" s="247"/>
      <c r="D81" s="249"/>
      <c r="E81" s="289"/>
      <c r="F81" s="249"/>
      <c r="G81" s="249"/>
      <c r="H81" s="289"/>
      <c r="I81" s="249"/>
      <c r="J81" s="249"/>
      <c r="K81" s="289"/>
      <c r="L81" s="249"/>
      <c r="M81" s="249"/>
      <c r="N81" s="289"/>
      <c r="O81" s="249"/>
      <c r="P81" s="249"/>
      <c r="Q81" s="289"/>
      <c r="R81" s="249"/>
      <c r="S81" s="249"/>
      <c r="T81" s="289"/>
      <c r="U81" s="249"/>
      <c r="V81" s="249"/>
      <c r="W81" s="289"/>
      <c r="X81" s="249"/>
      <c r="Y81" s="249"/>
      <c r="Z81" s="289"/>
      <c r="AA81" s="249"/>
      <c r="AB81" s="24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53" customFormat="1" x14ac:dyDescent="0.2">
      <c r="A82" s="262" t="s">
        <v>124</v>
      </c>
      <c r="B82" s="284">
        <v>1</v>
      </c>
      <c r="C82" s="263" t="s">
        <v>125</v>
      </c>
      <c r="D82" s="249"/>
      <c r="E82" s="289"/>
      <c r="F82" s="249"/>
      <c r="G82" s="249"/>
      <c r="H82" s="289"/>
      <c r="I82" s="249"/>
      <c r="J82" s="249"/>
      <c r="K82" s="289"/>
      <c r="L82" s="249"/>
      <c r="M82" s="249"/>
      <c r="N82" s="289"/>
      <c r="O82" s="249"/>
      <c r="P82" s="249"/>
      <c r="Q82" s="289"/>
      <c r="R82" s="249"/>
      <c r="S82" s="249"/>
      <c r="T82" s="289"/>
      <c r="U82" s="249"/>
      <c r="V82" s="249"/>
      <c r="W82" s="289"/>
      <c r="X82" s="249"/>
      <c r="Y82" s="249"/>
      <c r="Z82" s="289"/>
      <c r="AA82" s="249"/>
      <c r="AB82" s="24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53" customFormat="1" x14ac:dyDescent="0.2">
      <c r="A83" s="249" t="s">
        <v>83</v>
      </c>
      <c r="B83" s="284">
        <v>0.5</v>
      </c>
      <c r="C83" s="249" t="s">
        <v>84</v>
      </c>
      <c r="D83" s="249"/>
      <c r="E83" s="289"/>
      <c r="F83" s="249"/>
      <c r="G83" s="249"/>
      <c r="H83" s="289"/>
      <c r="I83" s="249"/>
      <c r="J83" s="249"/>
      <c r="K83" s="289"/>
      <c r="L83" s="249"/>
      <c r="M83" s="249"/>
      <c r="N83" s="289"/>
      <c r="O83" s="249"/>
      <c r="P83" s="249"/>
      <c r="Q83" s="289"/>
      <c r="R83" s="249"/>
      <c r="S83" s="249"/>
      <c r="T83" s="289"/>
      <c r="U83" s="249"/>
      <c r="V83" s="249"/>
      <c r="W83" s="289"/>
      <c r="X83" s="249"/>
      <c r="Y83" s="249"/>
      <c r="Z83" s="289"/>
      <c r="AA83" s="249"/>
      <c r="AB83" s="249"/>
      <c r="AC83" s="289"/>
      <c r="AD83" s="289"/>
      <c r="AE83" s="289"/>
      <c r="AF83" s="277"/>
      <c r="AG83" s="353"/>
      <c r="AH83" s="249"/>
      <c r="AI83" s="249"/>
      <c r="AJ83" s="289"/>
      <c r="AK83" s="249"/>
    </row>
    <row r="84" spans="1:37" s="53" customFormat="1" x14ac:dyDescent="0.2">
      <c r="A84" s="249" t="s">
        <v>355</v>
      </c>
      <c r="B84" s="284">
        <v>0.25</v>
      </c>
      <c r="C84" s="247"/>
      <c r="D84" s="249"/>
      <c r="E84" s="289"/>
      <c r="F84" s="249"/>
      <c r="G84" s="249"/>
      <c r="H84" s="289"/>
      <c r="I84" s="249"/>
      <c r="J84" s="249"/>
      <c r="K84" s="289"/>
      <c r="L84" s="249"/>
      <c r="M84" s="249"/>
      <c r="N84" s="289"/>
      <c r="O84" s="249"/>
      <c r="P84" s="249"/>
      <c r="Q84" s="289"/>
      <c r="R84" s="249"/>
      <c r="S84" s="249"/>
      <c r="T84" s="289"/>
      <c r="U84" s="249"/>
      <c r="V84" s="249"/>
      <c r="W84" s="289"/>
      <c r="X84" s="249"/>
      <c r="Y84" s="249"/>
      <c r="Z84" s="289"/>
      <c r="AA84" s="249"/>
      <c r="AB84" s="24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53" customFormat="1" x14ac:dyDescent="0.2">
      <c r="A85" s="262" t="s">
        <v>41</v>
      </c>
      <c r="B85" s="284">
        <v>3.62</v>
      </c>
      <c r="C85" s="249" t="s">
        <v>42</v>
      </c>
      <c r="D85" s="249"/>
      <c r="E85" s="289"/>
      <c r="F85" s="249"/>
      <c r="G85" s="249"/>
      <c r="H85" s="289"/>
      <c r="I85" s="249"/>
      <c r="J85" s="249"/>
      <c r="K85" s="289"/>
      <c r="L85" s="249"/>
      <c r="M85" s="249"/>
      <c r="N85" s="289"/>
      <c r="O85" s="249"/>
      <c r="P85" s="249"/>
      <c r="Q85" s="289"/>
      <c r="R85" s="249"/>
      <c r="S85" s="249"/>
      <c r="T85" s="289"/>
      <c r="U85" s="249"/>
      <c r="V85" s="249"/>
      <c r="W85" s="289"/>
      <c r="X85" s="249"/>
      <c r="Y85" s="249"/>
      <c r="Z85" s="289"/>
      <c r="AA85" s="249"/>
      <c r="AB85" s="249"/>
      <c r="AC85" s="289"/>
      <c r="AD85" s="289"/>
      <c r="AE85" s="289"/>
      <c r="AF85" s="277"/>
      <c r="AG85" s="353"/>
      <c r="AH85" s="249"/>
      <c r="AI85" s="249"/>
      <c r="AJ85" s="289"/>
      <c r="AK85" s="249"/>
    </row>
    <row r="86" spans="1:37" s="53" customFormat="1" x14ac:dyDescent="0.2">
      <c r="A86" s="262" t="s">
        <v>46</v>
      </c>
      <c r="B86" s="284">
        <v>0.25</v>
      </c>
      <c r="C86" s="249" t="s">
        <v>47</v>
      </c>
      <c r="D86" s="249"/>
      <c r="E86" s="289"/>
      <c r="F86" s="249"/>
      <c r="G86" s="249"/>
      <c r="H86" s="289"/>
      <c r="I86" s="249"/>
      <c r="J86" s="249"/>
      <c r="K86" s="289"/>
      <c r="L86" s="249"/>
      <c r="M86" s="249"/>
      <c r="N86" s="289"/>
      <c r="O86" s="249"/>
      <c r="P86" s="249"/>
      <c r="Q86" s="289"/>
      <c r="R86" s="249"/>
      <c r="S86" s="249"/>
      <c r="T86" s="289"/>
      <c r="U86" s="249"/>
      <c r="V86" s="249"/>
      <c r="W86" s="289"/>
      <c r="X86" s="249"/>
      <c r="Y86" s="249"/>
      <c r="Z86" s="289"/>
      <c r="AA86" s="249"/>
      <c r="AB86" s="24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53" customFormat="1" x14ac:dyDescent="0.2">
      <c r="A87" s="267" t="s">
        <v>60</v>
      </c>
      <c r="B87" s="284">
        <v>10950</v>
      </c>
      <c r="C87" s="249" t="s">
        <v>61</v>
      </c>
      <c r="D87" s="249"/>
      <c r="E87" s="289"/>
      <c r="F87" s="249"/>
      <c r="G87" s="249"/>
      <c r="H87" s="289"/>
      <c r="I87" s="249"/>
      <c r="J87" s="249"/>
      <c r="K87" s="289"/>
      <c r="L87" s="249"/>
      <c r="M87" s="249"/>
      <c r="N87" s="289"/>
      <c r="O87" s="249"/>
      <c r="P87" s="249"/>
      <c r="Q87" s="289"/>
      <c r="R87" s="249"/>
      <c r="S87" s="249"/>
      <c r="T87" s="289"/>
      <c r="U87" s="249"/>
      <c r="V87" s="249"/>
      <c r="W87" s="289"/>
      <c r="X87" s="249"/>
      <c r="Y87" s="249"/>
      <c r="Z87" s="289"/>
      <c r="AA87" s="249"/>
      <c r="AB87" s="249"/>
      <c r="AC87" s="289"/>
      <c r="AD87" s="289"/>
      <c r="AE87" s="289"/>
      <c r="AF87" s="289"/>
      <c r="AG87" s="289"/>
      <c r="AH87" s="249"/>
      <c r="AI87" s="249"/>
      <c r="AJ87" s="289"/>
      <c r="AK87" s="249"/>
    </row>
    <row r="88" spans="1:37" s="53" customFormat="1" x14ac:dyDescent="0.2">
      <c r="A88" s="267" t="s">
        <v>65</v>
      </c>
      <c r="B88" s="284">
        <v>240</v>
      </c>
      <c r="C88" s="249" t="s">
        <v>66</v>
      </c>
      <c r="D88" s="249"/>
      <c r="E88" s="289"/>
      <c r="F88" s="249"/>
      <c r="G88" s="249"/>
      <c r="H88" s="289"/>
      <c r="I88" s="249"/>
      <c r="J88" s="249"/>
      <c r="K88" s="289"/>
      <c r="L88" s="249"/>
      <c r="M88" s="249"/>
      <c r="N88" s="289"/>
      <c r="O88" s="249"/>
      <c r="P88" s="249"/>
      <c r="Q88" s="289"/>
      <c r="R88" s="249"/>
      <c r="S88" s="249"/>
      <c r="T88" s="289"/>
      <c r="U88" s="249"/>
      <c r="V88" s="249"/>
      <c r="W88" s="289"/>
      <c r="X88" s="249"/>
      <c r="Y88" s="249"/>
      <c r="Z88" s="289"/>
      <c r="AA88" s="249"/>
      <c r="AB88" s="249"/>
      <c r="AC88" s="289"/>
      <c r="AD88" s="289"/>
      <c r="AE88" s="289"/>
      <c r="AF88" s="289"/>
      <c r="AG88" s="289"/>
      <c r="AH88" s="249"/>
      <c r="AI88" s="249"/>
      <c r="AJ88" s="289"/>
      <c r="AK88" s="249"/>
    </row>
    <row r="89" spans="1:37" s="53" customFormat="1" x14ac:dyDescent="0.2">
      <c r="A89" s="267" t="s">
        <v>76</v>
      </c>
      <c r="B89" s="284">
        <v>0.42</v>
      </c>
      <c r="C89" s="249" t="s">
        <v>47</v>
      </c>
      <c r="D89" s="249"/>
      <c r="E89" s="289"/>
      <c r="F89" s="249"/>
      <c r="G89" s="249"/>
      <c r="H89" s="289"/>
      <c r="I89" s="249"/>
      <c r="J89" s="249"/>
      <c r="K89" s="289"/>
      <c r="L89" s="249"/>
      <c r="M89" s="249"/>
      <c r="N89" s="289"/>
      <c r="O89" s="249"/>
      <c r="P89" s="249"/>
      <c r="Q89" s="289"/>
      <c r="R89" s="249"/>
      <c r="S89" s="249"/>
      <c r="T89" s="289"/>
      <c r="U89" s="249"/>
      <c r="V89" s="249"/>
      <c r="W89" s="289"/>
      <c r="X89" s="249"/>
      <c r="Y89" s="249"/>
      <c r="Z89" s="289"/>
      <c r="AA89" s="249"/>
      <c r="AB89" s="249"/>
      <c r="AC89" s="289"/>
      <c r="AD89" s="289"/>
      <c r="AE89" s="289"/>
      <c r="AF89" s="289"/>
      <c r="AG89" s="289"/>
      <c r="AH89" s="249"/>
      <c r="AI89" s="249"/>
      <c r="AJ89" s="289"/>
      <c r="AK89" s="249"/>
    </row>
    <row r="90" spans="1:37" s="53" customFormat="1" x14ac:dyDescent="0.2">
      <c r="A90" s="267" t="s">
        <v>85</v>
      </c>
      <c r="B90" s="284">
        <v>60</v>
      </c>
      <c r="C90" s="262" t="s">
        <v>61</v>
      </c>
      <c r="D90" s="249"/>
      <c r="E90" s="289"/>
      <c r="F90" s="249"/>
      <c r="G90" s="249"/>
      <c r="H90" s="289"/>
      <c r="I90" s="249"/>
      <c r="J90" s="249"/>
      <c r="K90" s="289"/>
      <c r="L90" s="249"/>
      <c r="M90" s="249"/>
      <c r="N90" s="289"/>
      <c r="O90" s="249"/>
      <c r="P90" s="249"/>
      <c r="Q90" s="289"/>
      <c r="R90" s="249"/>
      <c r="S90" s="249"/>
      <c r="T90" s="289"/>
      <c r="U90" s="249"/>
      <c r="V90" s="249"/>
      <c r="W90" s="289"/>
      <c r="X90" s="249"/>
      <c r="Y90" s="249"/>
      <c r="Z90" s="289"/>
      <c r="AA90" s="249"/>
      <c r="AB90" s="249"/>
      <c r="AC90" s="289"/>
      <c r="AD90" s="289"/>
      <c r="AE90" s="289"/>
      <c r="AF90" s="289"/>
      <c r="AG90" s="289"/>
      <c r="AH90" s="249"/>
      <c r="AI90" s="249"/>
      <c r="AJ90" s="289"/>
      <c r="AK90" s="249"/>
    </row>
    <row r="91" spans="1:37" s="53" customFormat="1" x14ac:dyDescent="0.2">
      <c r="A91" s="267" t="s">
        <v>87</v>
      </c>
      <c r="B91" s="284">
        <v>2</v>
      </c>
      <c r="C91" s="262" t="s">
        <v>66</v>
      </c>
      <c r="D91" s="249"/>
      <c r="E91" s="289"/>
      <c r="F91" s="249"/>
      <c r="G91" s="249"/>
      <c r="H91" s="289"/>
      <c r="I91" s="249"/>
      <c r="J91" s="249"/>
      <c r="K91" s="289"/>
      <c r="L91" s="249"/>
      <c r="M91" s="249"/>
      <c r="N91" s="289"/>
      <c r="O91" s="249"/>
      <c r="P91" s="249"/>
      <c r="Q91" s="289"/>
      <c r="R91" s="249"/>
      <c r="S91" s="249"/>
      <c r="T91" s="289"/>
      <c r="U91" s="249"/>
      <c r="V91" s="249"/>
      <c r="W91" s="289"/>
      <c r="X91" s="249"/>
      <c r="Y91" s="249"/>
      <c r="Z91" s="289"/>
      <c r="AA91" s="249"/>
      <c r="AB91" s="249"/>
      <c r="AC91" s="289"/>
      <c r="AD91" s="289"/>
      <c r="AE91" s="289"/>
      <c r="AF91" s="289"/>
      <c r="AG91" s="289"/>
      <c r="AH91" s="249"/>
      <c r="AI91" s="249"/>
      <c r="AJ91" s="289"/>
      <c r="AK91" s="249"/>
    </row>
    <row r="92" spans="1:37" s="53" customFormat="1" x14ac:dyDescent="0.2">
      <c r="A92" s="267" t="s">
        <v>89</v>
      </c>
      <c r="B92" s="284">
        <v>2.6999999999999999E-5</v>
      </c>
      <c r="C92" s="249" t="s">
        <v>82</v>
      </c>
      <c r="D92" s="249"/>
      <c r="E92" s="289"/>
      <c r="F92" s="249"/>
      <c r="G92" s="249"/>
      <c r="H92" s="289"/>
      <c r="I92" s="249"/>
      <c r="J92" s="249"/>
      <c r="K92" s="289"/>
      <c r="L92" s="249"/>
      <c r="M92" s="249"/>
      <c r="N92" s="289"/>
      <c r="O92" s="249"/>
      <c r="P92" s="249"/>
      <c r="Q92" s="289"/>
      <c r="R92" s="249"/>
      <c r="S92" s="249"/>
      <c r="T92" s="289"/>
      <c r="U92" s="249"/>
      <c r="V92" s="249"/>
      <c r="W92" s="289"/>
      <c r="X92" s="249"/>
      <c r="Y92" s="249"/>
      <c r="Z92" s="289"/>
      <c r="AA92" s="249"/>
      <c r="AB92" s="249"/>
      <c r="AC92" s="289"/>
      <c r="AD92" s="289"/>
      <c r="AE92" s="289"/>
      <c r="AF92" s="289"/>
      <c r="AG92" s="289"/>
      <c r="AH92" s="249"/>
      <c r="AI92" s="249"/>
      <c r="AJ92" s="289"/>
      <c r="AK92" s="249"/>
    </row>
    <row r="93" spans="1:37" s="53" customFormat="1" x14ac:dyDescent="0.2">
      <c r="A93" s="267" t="s">
        <v>91</v>
      </c>
      <c r="B93" s="284">
        <v>1</v>
      </c>
      <c r="C93" s="249" t="s">
        <v>47</v>
      </c>
      <c r="D93" s="249"/>
      <c r="E93" s="289"/>
      <c r="F93" s="249"/>
      <c r="G93" s="249"/>
      <c r="H93" s="289"/>
      <c r="I93" s="249"/>
      <c r="J93" s="249"/>
      <c r="K93" s="289"/>
      <c r="L93" s="249"/>
      <c r="M93" s="249"/>
      <c r="N93" s="289"/>
      <c r="O93" s="249"/>
      <c r="P93" s="249"/>
      <c r="Q93" s="289"/>
      <c r="R93" s="249"/>
      <c r="S93" s="249"/>
      <c r="T93" s="289"/>
      <c r="U93" s="249"/>
      <c r="V93" s="249"/>
      <c r="W93" s="289"/>
      <c r="X93" s="249"/>
      <c r="Y93" s="249"/>
      <c r="Z93" s="289"/>
      <c r="AA93" s="249"/>
      <c r="AB93" s="249"/>
      <c r="AC93" s="289"/>
      <c r="AD93" s="289"/>
      <c r="AE93" s="289"/>
      <c r="AF93" s="289"/>
      <c r="AG93" s="289"/>
      <c r="AH93" s="249"/>
      <c r="AI93" s="249"/>
      <c r="AJ93" s="289"/>
      <c r="AK93" s="249"/>
    </row>
    <row r="94" spans="1:37" s="53" customFormat="1" x14ac:dyDescent="0.2">
      <c r="A94" s="267" t="s">
        <v>92</v>
      </c>
      <c r="B94" s="284">
        <v>14</v>
      </c>
      <c r="C94" s="249" t="s">
        <v>93</v>
      </c>
      <c r="D94" s="249"/>
      <c r="E94" s="289"/>
      <c r="F94" s="249"/>
      <c r="G94" s="249"/>
      <c r="H94" s="289"/>
      <c r="I94" s="249"/>
      <c r="J94" s="249"/>
      <c r="K94" s="289"/>
      <c r="L94" s="249"/>
      <c r="M94" s="249"/>
      <c r="N94" s="289"/>
      <c r="O94" s="249"/>
      <c r="P94" s="249"/>
      <c r="Q94" s="289"/>
      <c r="R94" s="249"/>
      <c r="S94" s="249"/>
      <c r="T94" s="289"/>
      <c r="U94" s="249"/>
      <c r="V94" s="249"/>
      <c r="W94" s="289"/>
      <c r="X94" s="249"/>
      <c r="Y94" s="249"/>
      <c r="Z94" s="289"/>
      <c r="AA94" s="249"/>
      <c r="AB94" s="249"/>
      <c r="AC94" s="289"/>
      <c r="AD94" s="289"/>
      <c r="AE94" s="289"/>
      <c r="AF94" s="289"/>
      <c r="AG94" s="289"/>
      <c r="AH94" s="249"/>
      <c r="AI94" s="249"/>
      <c r="AJ94" s="289"/>
      <c r="AK94" s="249"/>
    </row>
    <row r="95" spans="1:37" s="53" customFormat="1" x14ac:dyDescent="0.2">
      <c r="A95" s="262" t="s">
        <v>356</v>
      </c>
      <c r="B95" s="283">
        <v>1</v>
      </c>
      <c r="C95" s="249"/>
      <c r="D95" s="249"/>
      <c r="E95" s="289"/>
      <c r="F95" s="249"/>
      <c r="G95" s="249"/>
      <c r="H95" s="289"/>
      <c r="I95" s="249"/>
      <c r="J95" s="249"/>
      <c r="K95" s="289"/>
      <c r="L95" s="249"/>
      <c r="M95" s="249"/>
      <c r="N95" s="289"/>
      <c r="O95" s="249"/>
      <c r="P95" s="249"/>
      <c r="Q95" s="289"/>
      <c r="R95" s="249"/>
      <c r="S95" s="249"/>
      <c r="T95" s="289"/>
      <c r="U95" s="249"/>
      <c r="V95" s="249"/>
      <c r="W95" s="289"/>
      <c r="X95" s="249"/>
      <c r="Y95" s="249"/>
      <c r="Z95" s="289"/>
      <c r="AA95" s="249"/>
      <c r="AB95" s="249"/>
      <c r="AC95" s="289"/>
      <c r="AD95" s="289"/>
      <c r="AE95" s="289"/>
      <c r="AF95" s="289"/>
      <c r="AG95" s="289"/>
      <c r="AH95" s="249"/>
      <c r="AI95" s="249"/>
      <c r="AJ95" s="289"/>
      <c r="AK95" s="249"/>
    </row>
    <row r="96" spans="1:37" s="53" customFormat="1" x14ac:dyDescent="0.2">
      <c r="A96" s="262" t="s">
        <v>351</v>
      </c>
      <c r="B96" s="283">
        <v>1.752</v>
      </c>
      <c r="C96" s="264" t="s">
        <v>224</v>
      </c>
      <c r="D96" s="249"/>
      <c r="E96" s="289"/>
      <c r="F96" s="249"/>
      <c r="G96" s="249"/>
      <c r="H96" s="289"/>
      <c r="I96" s="249"/>
      <c r="J96" s="249"/>
      <c r="K96" s="289"/>
      <c r="L96" s="249"/>
      <c r="M96" s="249"/>
      <c r="N96" s="289"/>
      <c r="O96" s="249"/>
      <c r="P96" s="249"/>
      <c r="Q96" s="289"/>
      <c r="R96" s="249"/>
      <c r="S96" s="249"/>
      <c r="T96" s="289"/>
      <c r="U96" s="249"/>
      <c r="V96" s="249"/>
      <c r="W96" s="289"/>
      <c r="X96" s="249"/>
      <c r="Y96" s="249"/>
      <c r="Z96" s="289"/>
      <c r="AA96" s="249"/>
      <c r="AB96" s="249"/>
      <c r="AC96" s="289"/>
      <c r="AD96" s="289"/>
      <c r="AE96" s="289"/>
      <c r="AF96" s="289"/>
      <c r="AG96" s="289"/>
      <c r="AH96" s="249"/>
      <c r="AI96" s="249"/>
      <c r="AJ96" s="289"/>
      <c r="AK96" s="249"/>
    </row>
    <row r="97" spans="1:3" s="53" customFormat="1" x14ac:dyDescent="0.2">
      <c r="A97" s="262" t="s">
        <v>352</v>
      </c>
      <c r="B97" s="283">
        <v>16.416</v>
      </c>
      <c r="C97" s="264" t="s">
        <v>224</v>
      </c>
    </row>
    <row r="98" spans="1:3" s="53" customFormat="1" ht="15" x14ac:dyDescent="0.2">
      <c r="A98" s="517" t="s">
        <v>5</v>
      </c>
      <c r="B98" s="517"/>
      <c r="C98" s="517"/>
    </row>
    <row r="99" spans="1:3" s="53" customFormat="1" x14ac:dyDescent="0.2">
      <c r="A99" s="262" t="s">
        <v>358</v>
      </c>
      <c r="B99" s="284">
        <v>10</v>
      </c>
      <c r="C99" s="267" t="s">
        <v>359</v>
      </c>
    </row>
    <row r="100" spans="1:3" s="53" customFormat="1" x14ac:dyDescent="0.2">
      <c r="A100" s="262" t="s">
        <v>360</v>
      </c>
      <c r="B100" s="284">
        <v>20</v>
      </c>
      <c r="C100" s="267" t="s">
        <v>359</v>
      </c>
    </row>
    <row r="101" spans="1:3" s="53" customFormat="1" x14ac:dyDescent="0.2">
      <c r="A101" s="262" t="s">
        <v>305</v>
      </c>
      <c r="B101" s="283">
        <v>0.05</v>
      </c>
      <c r="C101" s="262" t="s">
        <v>361</v>
      </c>
    </row>
    <row r="102" spans="1:3" s="53" customFormat="1" x14ac:dyDescent="0.2">
      <c r="A102" s="262" t="s">
        <v>306</v>
      </c>
      <c r="B102" s="283">
        <v>0.05</v>
      </c>
      <c r="C102" s="262" t="s">
        <v>361</v>
      </c>
    </row>
    <row r="103" spans="1:3" s="53" customFormat="1" x14ac:dyDescent="0.2">
      <c r="A103" s="262" t="s">
        <v>362</v>
      </c>
      <c r="B103" s="284">
        <v>200</v>
      </c>
      <c r="C103" s="263" t="s">
        <v>54</v>
      </c>
    </row>
    <row r="104" spans="1:3" s="53" customFormat="1" x14ac:dyDescent="0.2">
      <c r="A104" s="262" t="s">
        <v>363</v>
      </c>
      <c r="B104" s="284">
        <v>100</v>
      </c>
      <c r="C104" s="263" t="s">
        <v>54</v>
      </c>
    </row>
    <row r="105" spans="1:3" s="53" customFormat="1" x14ac:dyDescent="0.2">
      <c r="A105" s="249" t="s">
        <v>187</v>
      </c>
      <c r="B105" s="284">
        <v>1</v>
      </c>
      <c r="C105" s="249" t="s">
        <v>254</v>
      </c>
    </row>
    <row r="106" spans="1:3" s="53" customFormat="1" x14ac:dyDescent="0.2">
      <c r="A106" s="249" t="s">
        <v>188</v>
      </c>
      <c r="B106" s="284">
        <v>1</v>
      </c>
      <c r="C106" s="249" t="s">
        <v>254</v>
      </c>
    </row>
    <row r="107" spans="1:3" s="53" customFormat="1" x14ac:dyDescent="0.2">
      <c r="A107" s="94" t="s">
        <v>373</v>
      </c>
      <c r="B107" s="283">
        <v>6</v>
      </c>
      <c r="C107" s="270" t="s">
        <v>69</v>
      </c>
    </row>
    <row r="108" spans="1:3" s="53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53" customFormat="1" x14ac:dyDescent="0.2">
      <c r="A109" s="94" t="s">
        <v>59</v>
      </c>
      <c r="B109" s="283">
        <v>26</v>
      </c>
      <c r="C109" s="270" t="s">
        <v>69</v>
      </c>
    </row>
    <row r="110" spans="1:3" s="53" customFormat="1" x14ac:dyDescent="0.2">
      <c r="A110" s="94" t="s">
        <v>371</v>
      </c>
      <c r="B110" s="107">
        <v>75</v>
      </c>
      <c r="C110" s="94" t="s">
        <v>26</v>
      </c>
    </row>
    <row r="111" spans="1:3" s="53" customFormat="1" x14ac:dyDescent="0.2">
      <c r="A111" s="94" t="s">
        <v>370</v>
      </c>
      <c r="B111" s="283">
        <v>75</v>
      </c>
      <c r="C111" s="94" t="s">
        <v>26</v>
      </c>
    </row>
    <row r="112" spans="1:3" s="53" customFormat="1" x14ac:dyDescent="0.2">
      <c r="A112" s="94" t="s">
        <v>157</v>
      </c>
      <c r="B112" s="283">
        <v>75</v>
      </c>
      <c r="C112" s="94" t="s">
        <v>26</v>
      </c>
    </row>
    <row r="113" spans="1:3" s="53" customFormat="1" x14ac:dyDescent="0.2">
      <c r="A113" s="94" t="s">
        <v>105</v>
      </c>
      <c r="B113" s="283">
        <v>1</v>
      </c>
      <c r="C113" s="92" t="s">
        <v>224</v>
      </c>
    </row>
    <row r="114" spans="1:3" s="53" customFormat="1" x14ac:dyDescent="0.2">
      <c r="A114" s="92" t="s">
        <v>368</v>
      </c>
      <c r="B114" s="284">
        <v>1</v>
      </c>
      <c r="C114" s="92" t="s">
        <v>224</v>
      </c>
    </row>
    <row r="115" spans="1:3" s="53" customFormat="1" x14ac:dyDescent="0.2">
      <c r="A115" s="92" t="s">
        <v>369</v>
      </c>
      <c r="B115" s="284">
        <v>1</v>
      </c>
      <c r="C115" s="92" t="s">
        <v>224</v>
      </c>
    </row>
    <row r="116" spans="1:3" s="53" customFormat="1" x14ac:dyDescent="0.2">
      <c r="A116" s="249" t="s">
        <v>366</v>
      </c>
      <c r="B116" s="284">
        <v>1</v>
      </c>
      <c r="C116" s="249" t="s">
        <v>104</v>
      </c>
    </row>
    <row r="117" spans="1:3" s="53" customFormat="1" x14ac:dyDescent="0.2">
      <c r="A117" s="249" t="s">
        <v>367</v>
      </c>
      <c r="B117" s="284">
        <v>1</v>
      </c>
      <c r="C117" s="249" t="s">
        <v>104</v>
      </c>
    </row>
    <row r="118" spans="1:3" s="53" customFormat="1" x14ac:dyDescent="0.2">
      <c r="A118" s="94" t="s">
        <v>364</v>
      </c>
      <c r="B118" s="284">
        <v>1</v>
      </c>
      <c r="C118" s="92" t="s">
        <v>98</v>
      </c>
    </row>
    <row r="119" spans="1:3" s="53" customFormat="1" x14ac:dyDescent="0.2">
      <c r="A119" s="94" t="s">
        <v>365</v>
      </c>
      <c r="B119" s="284">
        <v>1</v>
      </c>
      <c r="C119" s="92" t="s">
        <v>98</v>
      </c>
    </row>
    <row r="120" spans="1:3" s="53" customFormat="1" x14ac:dyDescent="0.2">
      <c r="A120" s="263" t="s">
        <v>192</v>
      </c>
      <c r="B120" s="283">
        <v>1</v>
      </c>
      <c r="C120" s="249" t="s">
        <v>283</v>
      </c>
    </row>
    <row r="121" spans="1:3" s="53" customFormat="1" x14ac:dyDescent="0.2">
      <c r="A121" s="263" t="s">
        <v>189</v>
      </c>
      <c r="B121" s="283">
        <v>1</v>
      </c>
      <c r="C121" s="249" t="s">
        <v>283</v>
      </c>
    </row>
    <row r="122" spans="1:3" s="53" customFormat="1" x14ac:dyDescent="0.2">
      <c r="A122" s="263" t="s">
        <v>190</v>
      </c>
      <c r="B122" s="283">
        <v>1</v>
      </c>
      <c r="C122" s="249" t="s">
        <v>47</v>
      </c>
    </row>
    <row r="123" spans="1:3" s="53" customFormat="1" x14ac:dyDescent="0.2">
      <c r="A123" s="263" t="s">
        <v>191</v>
      </c>
      <c r="B123" s="283">
        <v>1</v>
      </c>
      <c r="C123" s="249" t="s">
        <v>47</v>
      </c>
    </row>
    <row r="124" spans="1:3" s="53" customFormat="1" x14ac:dyDescent="0.2">
      <c r="A124" s="263" t="s">
        <v>199</v>
      </c>
      <c r="B124" s="283">
        <v>1</v>
      </c>
      <c r="C124" s="249" t="s">
        <v>30</v>
      </c>
    </row>
    <row r="125" spans="1:3" s="53" customFormat="1" x14ac:dyDescent="0.2">
      <c r="A125" s="249" t="s">
        <v>193</v>
      </c>
      <c r="B125" s="283">
        <v>1</v>
      </c>
      <c r="C125" s="249" t="s">
        <v>283</v>
      </c>
    </row>
    <row r="126" spans="1:3" s="53" customFormat="1" x14ac:dyDescent="0.2">
      <c r="A126" s="249" t="s">
        <v>196</v>
      </c>
      <c r="B126" s="283">
        <v>1</v>
      </c>
      <c r="C126" s="249" t="s">
        <v>283</v>
      </c>
    </row>
    <row r="127" spans="1:3" s="53" customFormat="1" x14ac:dyDescent="0.2">
      <c r="A127" s="268" t="s">
        <v>197</v>
      </c>
      <c r="B127" s="283">
        <v>1</v>
      </c>
      <c r="C127" s="249" t="s">
        <v>47</v>
      </c>
    </row>
    <row r="128" spans="1:3" s="53" customFormat="1" x14ac:dyDescent="0.2">
      <c r="A128" s="262" t="s">
        <v>198</v>
      </c>
      <c r="B128" s="283">
        <v>1</v>
      </c>
      <c r="C128" s="249" t="s">
        <v>47</v>
      </c>
    </row>
    <row r="129" spans="1:3" s="53" customFormat="1" x14ac:dyDescent="0.2">
      <c r="A129" s="263" t="s">
        <v>200</v>
      </c>
      <c r="B129" s="283">
        <v>1</v>
      </c>
      <c r="C129" s="249" t="s">
        <v>30</v>
      </c>
    </row>
    <row r="130" spans="1:3" s="53" customFormat="1" x14ac:dyDescent="0.2">
      <c r="A130" s="262" t="s">
        <v>255</v>
      </c>
      <c r="B130" s="284">
        <v>1</v>
      </c>
      <c r="C130" s="249"/>
    </row>
    <row r="131" spans="1:3" s="53" customFormat="1" x14ac:dyDescent="0.2">
      <c r="A131" s="249" t="s">
        <v>83</v>
      </c>
      <c r="B131" s="284">
        <v>0.5</v>
      </c>
      <c r="C131" s="249"/>
    </row>
    <row r="132" spans="1:3" s="53" customFormat="1" ht="15" x14ac:dyDescent="0.2">
      <c r="A132" s="518" t="s">
        <v>180</v>
      </c>
      <c r="B132" s="518"/>
      <c r="C132" s="518"/>
    </row>
    <row r="133" spans="1:3" s="53" customFormat="1" x14ac:dyDescent="0.2">
      <c r="A133" s="262" t="s">
        <v>374</v>
      </c>
      <c r="B133" s="283">
        <v>200</v>
      </c>
      <c r="C133" s="263" t="s">
        <v>54</v>
      </c>
    </row>
    <row r="134" spans="1:3" s="53" customFormat="1" x14ac:dyDescent="0.2">
      <c r="A134" s="262" t="s">
        <v>375</v>
      </c>
      <c r="B134" s="283">
        <v>100</v>
      </c>
      <c r="C134" s="263" t="s">
        <v>54</v>
      </c>
    </row>
    <row r="135" spans="1:3" s="53" customFormat="1" x14ac:dyDescent="0.2">
      <c r="A135" s="262" t="s">
        <v>376</v>
      </c>
      <c r="B135" s="283">
        <v>10</v>
      </c>
      <c r="C135" s="267" t="s">
        <v>359</v>
      </c>
    </row>
    <row r="136" spans="1:3" s="53" customFormat="1" x14ac:dyDescent="0.2">
      <c r="A136" s="262" t="s">
        <v>377</v>
      </c>
      <c r="B136" s="283">
        <v>20</v>
      </c>
      <c r="C136" s="267" t="s">
        <v>359</v>
      </c>
    </row>
    <row r="137" spans="1:3" s="53" customFormat="1" x14ac:dyDescent="0.2">
      <c r="A137" s="267" t="s">
        <v>378</v>
      </c>
      <c r="B137" s="284">
        <v>0.78</v>
      </c>
      <c r="C137" s="262" t="s">
        <v>30</v>
      </c>
    </row>
    <row r="138" spans="1:3" s="53" customFormat="1" x14ac:dyDescent="0.2">
      <c r="A138" s="267" t="s">
        <v>379</v>
      </c>
      <c r="B138" s="284">
        <v>2.5</v>
      </c>
      <c r="C138" s="262" t="s">
        <v>30</v>
      </c>
    </row>
    <row r="139" spans="1:3" s="53" customFormat="1" x14ac:dyDescent="0.2">
      <c r="A139" s="262" t="s">
        <v>380</v>
      </c>
      <c r="B139" s="283">
        <v>68.099999999999994</v>
      </c>
      <c r="C139" s="267" t="s">
        <v>254</v>
      </c>
    </row>
    <row r="140" spans="1:3" s="53" customFormat="1" x14ac:dyDescent="0.2">
      <c r="A140" s="262" t="s">
        <v>381</v>
      </c>
      <c r="B140" s="283">
        <v>176.8</v>
      </c>
      <c r="C140" s="267" t="s">
        <v>254</v>
      </c>
    </row>
    <row r="141" spans="1:3" s="53" customFormat="1" x14ac:dyDescent="0.2">
      <c r="A141" s="262" t="s">
        <v>382</v>
      </c>
      <c r="B141" s="283">
        <v>41.7</v>
      </c>
      <c r="C141" s="267" t="s">
        <v>254</v>
      </c>
    </row>
    <row r="142" spans="1:3" s="53" customFormat="1" x14ac:dyDescent="0.2">
      <c r="A142" s="262" t="s">
        <v>383</v>
      </c>
      <c r="B142" s="283">
        <v>125.7</v>
      </c>
      <c r="C142" s="267" t="s">
        <v>254</v>
      </c>
    </row>
    <row r="143" spans="1:3" s="53" customFormat="1" x14ac:dyDescent="0.2">
      <c r="A143" s="262" t="s">
        <v>479</v>
      </c>
      <c r="B143" s="283">
        <v>349.5</v>
      </c>
      <c r="C143" s="267" t="s">
        <v>254</v>
      </c>
    </row>
    <row r="144" spans="1:3" s="53" customFormat="1" x14ac:dyDescent="0.2">
      <c r="A144" s="262" t="s">
        <v>480</v>
      </c>
      <c r="B144" s="283">
        <v>445.6</v>
      </c>
      <c r="C144" s="267" t="s">
        <v>254</v>
      </c>
    </row>
    <row r="145" spans="1:3" s="53" customFormat="1" x14ac:dyDescent="0.2">
      <c r="A145" s="262" t="s">
        <v>481</v>
      </c>
      <c r="B145" s="283">
        <v>40.1</v>
      </c>
      <c r="C145" s="267" t="s">
        <v>254</v>
      </c>
    </row>
    <row r="146" spans="1:3" s="53" customFormat="1" x14ac:dyDescent="0.2">
      <c r="A146" s="262" t="s">
        <v>482</v>
      </c>
      <c r="B146" s="283">
        <v>178</v>
      </c>
      <c r="C146" s="267" t="s">
        <v>254</v>
      </c>
    </row>
    <row r="147" spans="1:3" s="53" customFormat="1" x14ac:dyDescent="0.2">
      <c r="A147" s="262" t="s">
        <v>326</v>
      </c>
      <c r="B147" s="283">
        <v>10.95</v>
      </c>
      <c r="C147" s="262" t="s">
        <v>254</v>
      </c>
    </row>
    <row r="148" spans="1:3" s="53" customFormat="1" x14ac:dyDescent="0.2">
      <c r="A148" s="262" t="s">
        <v>327</v>
      </c>
      <c r="B148" s="283">
        <v>53.4</v>
      </c>
      <c r="C148" s="262" t="s">
        <v>254</v>
      </c>
    </row>
    <row r="149" spans="1:3" s="53" customFormat="1" x14ac:dyDescent="0.2">
      <c r="A149" s="262" t="s">
        <v>483</v>
      </c>
      <c r="B149" s="283">
        <v>32.799999999999997</v>
      </c>
      <c r="C149" s="267" t="s">
        <v>254</v>
      </c>
    </row>
    <row r="150" spans="1:3" s="53" customFormat="1" x14ac:dyDescent="0.2">
      <c r="A150" s="262" t="s">
        <v>484</v>
      </c>
      <c r="B150" s="283">
        <v>155.4</v>
      </c>
      <c r="C150" s="267" t="s">
        <v>254</v>
      </c>
    </row>
    <row r="151" spans="1:3" s="53" customFormat="1" x14ac:dyDescent="0.2">
      <c r="A151" s="262" t="s">
        <v>324</v>
      </c>
      <c r="B151" s="283">
        <v>23.6</v>
      </c>
      <c r="C151" s="262" t="s">
        <v>254</v>
      </c>
    </row>
    <row r="152" spans="1:3" s="53" customFormat="1" x14ac:dyDescent="0.2">
      <c r="A152" s="262" t="s">
        <v>325</v>
      </c>
      <c r="B152" s="283">
        <v>106.6</v>
      </c>
      <c r="C152" s="262" t="s">
        <v>254</v>
      </c>
    </row>
    <row r="153" spans="1:3" s="53" customFormat="1" x14ac:dyDescent="0.2">
      <c r="A153" s="262" t="s">
        <v>328</v>
      </c>
      <c r="B153" s="283">
        <v>18.5</v>
      </c>
      <c r="C153" s="262" t="s">
        <v>254</v>
      </c>
    </row>
    <row r="154" spans="1:3" s="53" customFormat="1" x14ac:dyDescent="0.2">
      <c r="A154" s="262" t="s">
        <v>329</v>
      </c>
      <c r="B154" s="283">
        <v>97.9</v>
      </c>
      <c r="C154" s="262" t="s">
        <v>254</v>
      </c>
    </row>
    <row r="155" spans="1:3" s="53" customFormat="1" x14ac:dyDescent="0.2">
      <c r="A155" s="262" t="s">
        <v>384</v>
      </c>
      <c r="B155" s="284">
        <v>6</v>
      </c>
      <c r="C155" s="93" t="s">
        <v>69</v>
      </c>
    </row>
    <row r="156" spans="1:3" s="53" customFormat="1" x14ac:dyDescent="0.2">
      <c r="A156" s="262" t="s">
        <v>385</v>
      </c>
      <c r="B156" s="284">
        <v>34</v>
      </c>
      <c r="C156" s="93" t="s">
        <v>69</v>
      </c>
    </row>
    <row r="157" spans="1:3" s="53" customFormat="1" x14ac:dyDescent="0.2">
      <c r="A157" s="262" t="s">
        <v>386</v>
      </c>
      <c r="B157" s="284">
        <v>40</v>
      </c>
      <c r="C157" s="93" t="s">
        <v>69</v>
      </c>
    </row>
    <row r="158" spans="1:3" s="53" customFormat="1" x14ac:dyDescent="0.2">
      <c r="A158" s="262" t="s">
        <v>387</v>
      </c>
      <c r="B158" s="284">
        <v>350</v>
      </c>
      <c r="C158" s="262" t="s">
        <v>26</v>
      </c>
    </row>
    <row r="159" spans="1:3" s="53" customFormat="1" x14ac:dyDescent="0.2">
      <c r="A159" s="262" t="s">
        <v>388</v>
      </c>
      <c r="B159" s="284">
        <v>350</v>
      </c>
      <c r="C159" s="262" t="s">
        <v>26</v>
      </c>
    </row>
    <row r="160" spans="1:3" s="53" customFormat="1" x14ac:dyDescent="0.2">
      <c r="A160" s="262" t="s">
        <v>389</v>
      </c>
      <c r="B160" s="283">
        <v>24</v>
      </c>
      <c r="C160" s="263" t="s">
        <v>224</v>
      </c>
    </row>
    <row r="161" spans="1:3" s="53" customFormat="1" x14ac:dyDescent="0.2">
      <c r="A161" s="262" t="s">
        <v>390</v>
      </c>
      <c r="B161" s="283">
        <v>24</v>
      </c>
      <c r="C161" s="263" t="s">
        <v>224</v>
      </c>
    </row>
    <row r="162" spans="1:3" s="53" customFormat="1" x14ac:dyDescent="0.2">
      <c r="A162" s="262" t="s">
        <v>396</v>
      </c>
      <c r="B162" s="283">
        <v>24</v>
      </c>
      <c r="C162" s="263" t="s">
        <v>224</v>
      </c>
    </row>
    <row r="163" spans="1:3" s="53" customFormat="1" x14ac:dyDescent="0.2">
      <c r="A163" s="249" t="s">
        <v>393</v>
      </c>
      <c r="B163" s="283">
        <v>0.54</v>
      </c>
      <c r="C163" s="267" t="s">
        <v>395</v>
      </c>
    </row>
    <row r="164" spans="1:3" s="53" customFormat="1" x14ac:dyDescent="0.2">
      <c r="A164" s="249" t="s">
        <v>394</v>
      </c>
      <c r="B164" s="283">
        <v>0.71</v>
      </c>
      <c r="C164" s="267" t="s">
        <v>395</v>
      </c>
    </row>
    <row r="165" spans="1:3" s="53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53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53" customFormat="1" x14ac:dyDescent="0.2">
      <c r="A167" s="262" t="s">
        <v>397</v>
      </c>
      <c r="B167" s="283">
        <v>1</v>
      </c>
      <c r="C167" s="267" t="s">
        <v>166</v>
      </c>
    </row>
    <row r="168" spans="1:3" s="53" customFormat="1" x14ac:dyDescent="0.2">
      <c r="A168" s="262" t="s">
        <v>398</v>
      </c>
      <c r="B168" s="283">
        <v>1</v>
      </c>
      <c r="C168" s="267" t="s">
        <v>166</v>
      </c>
    </row>
    <row r="169" spans="1:3" s="53" customFormat="1" x14ac:dyDescent="0.2">
      <c r="A169" s="262" t="s">
        <v>103</v>
      </c>
      <c r="B169" s="283">
        <v>0.4</v>
      </c>
      <c r="C169" s="247"/>
    </row>
    <row r="170" spans="1:3" s="53" customFormat="1" x14ac:dyDescent="0.2">
      <c r="A170" s="262" t="s">
        <v>158</v>
      </c>
      <c r="B170" s="283">
        <v>0.4</v>
      </c>
      <c r="C170" s="247"/>
    </row>
    <row r="171" spans="1:3" s="53" customFormat="1" x14ac:dyDescent="0.2">
      <c r="A171" s="262" t="s">
        <v>159</v>
      </c>
      <c r="B171" s="283">
        <v>1</v>
      </c>
      <c r="C171" s="247"/>
    </row>
    <row r="172" spans="1:3" s="53" customFormat="1" x14ac:dyDescent="0.2">
      <c r="A172" s="262" t="s">
        <v>62</v>
      </c>
      <c r="B172" s="283">
        <v>1</v>
      </c>
      <c r="C172" s="247"/>
    </row>
    <row r="173" spans="1:3" s="53" customFormat="1" x14ac:dyDescent="0.2">
      <c r="A173" s="262" t="s">
        <v>255</v>
      </c>
      <c r="B173" s="284">
        <v>1</v>
      </c>
      <c r="C173" s="247"/>
    </row>
    <row r="174" spans="1:3" s="53" customFormat="1" x14ac:dyDescent="0.2">
      <c r="A174" s="267" t="s">
        <v>399</v>
      </c>
      <c r="B174" s="283">
        <v>1</v>
      </c>
      <c r="C174" s="247"/>
    </row>
    <row r="175" spans="1:3" s="53" customFormat="1" x14ac:dyDescent="0.2">
      <c r="A175" s="267" t="s">
        <v>400</v>
      </c>
      <c r="B175" s="283">
        <v>1</v>
      </c>
      <c r="C175" s="247"/>
    </row>
    <row r="176" spans="1:3" s="53" customFormat="1" x14ac:dyDescent="0.2">
      <c r="A176" s="267" t="s">
        <v>401</v>
      </c>
      <c r="B176" s="283">
        <v>1</v>
      </c>
      <c r="C176" s="247"/>
    </row>
    <row r="177" spans="1:3" s="53" customFormat="1" x14ac:dyDescent="0.2">
      <c r="A177" s="267" t="s">
        <v>402</v>
      </c>
      <c r="B177" s="283">
        <v>1</v>
      </c>
      <c r="C177" s="247"/>
    </row>
    <row r="178" spans="1:3" s="53" customFormat="1" x14ac:dyDescent="0.2">
      <c r="A178" s="267" t="s">
        <v>403</v>
      </c>
      <c r="B178" s="283">
        <v>1</v>
      </c>
      <c r="C178" s="247"/>
    </row>
    <row r="179" spans="1:3" s="53" customFormat="1" x14ac:dyDescent="0.2">
      <c r="A179" s="267" t="s">
        <v>404</v>
      </c>
      <c r="B179" s="283">
        <v>1</v>
      </c>
      <c r="C179" s="247"/>
    </row>
    <row r="180" spans="1:3" s="53" customFormat="1" x14ac:dyDescent="0.2">
      <c r="A180" s="267" t="s">
        <v>405</v>
      </c>
      <c r="B180" s="284">
        <v>1</v>
      </c>
      <c r="C180" s="247"/>
    </row>
    <row r="181" spans="1:3" s="53" customFormat="1" x14ac:dyDescent="0.2">
      <c r="A181" s="262" t="s">
        <v>41</v>
      </c>
      <c r="B181" s="284">
        <v>3.62</v>
      </c>
      <c r="C181" s="249" t="s">
        <v>42</v>
      </c>
    </row>
    <row r="182" spans="1:3" s="53" customFormat="1" x14ac:dyDescent="0.2">
      <c r="A182" s="262" t="s">
        <v>46</v>
      </c>
      <c r="B182" s="284">
        <v>0.25</v>
      </c>
      <c r="C182" s="249" t="s">
        <v>47</v>
      </c>
    </row>
    <row r="183" spans="1:3" s="53" customFormat="1" x14ac:dyDescent="0.2">
      <c r="A183" s="267" t="s">
        <v>60</v>
      </c>
      <c r="B183" s="284">
        <v>10950</v>
      </c>
      <c r="C183" s="249" t="s">
        <v>61</v>
      </c>
    </row>
    <row r="184" spans="1:3" s="53" customFormat="1" x14ac:dyDescent="0.2">
      <c r="A184" s="267" t="s">
        <v>65</v>
      </c>
      <c r="B184" s="284">
        <v>240</v>
      </c>
      <c r="C184" s="249" t="s">
        <v>66</v>
      </c>
    </row>
    <row r="185" spans="1:3" s="53" customFormat="1" x14ac:dyDescent="0.2">
      <c r="A185" s="267" t="s">
        <v>76</v>
      </c>
      <c r="B185" s="284">
        <v>0.42</v>
      </c>
      <c r="C185" s="249" t="s">
        <v>47</v>
      </c>
    </row>
    <row r="186" spans="1:3" s="53" customFormat="1" x14ac:dyDescent="0.2">
      <c r="A186" s="267" t="s">
        <v>85</v>
      </c>
      <c r="B186" s="284">
        <v>60</v>
      </c>
      <c r="C186" s="262" t="s">
        <v>61</v>
      </c>
    </row>
    <row r="187" spans="1:3" s="53" customFormat="1" x14ac:dyDescent="0.2">
      <c r="A187" s="267" t="s">
        <v>87</v>
      </c>
      <c r="B187" s="284">
        <v>2</v>
      </c>
      <c r="C187" s="262" t="s">
        <v>66</v>
      </c>
    </row>
    <row r="188" spans="1:3" s="53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53" customFormat="1" x14ac:dyDescent="0.2">
      <c r="A189" s="267" t="s">
        <v>91</v>
      </c>
      <c r="B189" s="284">
        <v>1</v>
      </c>
      <c r="C189" s="249" t="s">
        <v>47</v>
      </c>
    </row>
    <row r="190" spans="1:3" s="53" customFormat="1" x14ac:dyDescent="0.2">
      <c r="A190" s="267" t="s">
        <v>92</v>
      </c>
      <c r="B190" s="284">
        <v>14</v>
      </c>
      <c r="C190" s="249" t="s">
        <v>93</v>
      </c>
    </row>
    <row r="191" spans="1:3" s="53" customFormat="1" x14ac:dyDescent="0.2">
      <c r="A191" s="262" t="s">
        <v>29</v>
      </c>
      <c r="B191" s="284">
        <v>92</v>
      </c>
      <c r="C191" s="262" t="s">
        <v>30</v>
      </c>
    </row>
    <row r="192" spans="1:3" s="53" customFormat="1" x14ac:dyDescent="0.2">
      <c r="A192" s="249" t="s">
        <v>287</v>
      </c>
      <c r="B192" s="283">
        <v>1.03</v>
      </c>
      <c r="C192" s="249" t="s">
        <v>288</v>
      </c>
    </row>
    <row r="193" spans="1:3" s="53" customFormat="1" x14ac:dyDescent="0.2">
      <c r="A193" s="262" t="s">
        <v>406</v>
      </c>
      <c r="B193" s="284">
        <v>20.3</v>
      </c>
      <c r="C193" s="249" t="s">
        <v>283</v>
      </c>
    </row>
    <row r="194" spans="1:3" s="53" customFormat="1" x14ac:dyDescent="0.2">
      <c r="A194" s="262" t="s">
        <v>407</v>
      </c>
      <c r="B194" s="284">
        <v>0.4</v>
      </c>
      <c r="C194" s="249" t="s">
        <v>283</v>
      </c>
    </row>
    <row r="195" spans="1:3" s="53" customFormat="1" x14ac:dyDescent="0.2">
      <c r="A195" s="262" t="s">
        <v>408</v>
      </c>
      <c r="B195" s="284">
        <v>1</v>
      </c>
      <c r="C195" s="247"/>
    </row>
    <row r="196" spans="1:3" s="53" customFormat="1" x14ac:dyDescent="0.2">
      <c r="A196" s="262" t="s">
        <v>409</v>
      </c>
      <c r="B196" s="284">
        <v>1</v>
      </c>
      <c r="C196" s="247"/>
    </row>
    <row r="197" spans="1:3" s="53" customFormat="1" x14ac:dyDescent="0.2">
      <c r="A197" s="262" t="s">
        <v>31</v>
      </c>
      <c r="B197" s="284">
        <v>53</v>
      </c>
      <c r="C197" s="262" t="s">
        <v>30</v>
      </c>
    </row>
    <row r="198" spans="1:3" s="53" customFormat="1" x14ac:dyDescent="0.2">
      <c r="A198" s="262" t="s">
        <v>410</v>
      </c>
      <c r="B198" s="284">
        <v>11.77</v>
      </c>
      <c r="C198" s="249" t="s">
        <v>283</v>
      </c>
    </row>
    <row r="199" spans="1:3" s="53" customFormat="1" x14ac:dyDescent="0.2">
      <c r="A199" s="262" t="s">
        <v>411</v>
      </c>
      <c r="B199" s="284">
        <v>0.5</v>
      </c>
      <c r="C199" s="249" t="s">
        <v>283</v>
      </c>
    </row>
    <row r="200" spans="1:3" s="53" customFormat="1" x14ac:dyDescent="0.2">
      <c r="A200" s="262" t="s">
        <v>412</v>
      </c>
      <c r="B200" s="284">
        <v>1</v>
      </c>
      <c r="C200" s="247"/>
    </row>
    <row r="201" spans="1:3" s="53" customFormat="1" x14ac:dyDescent="0.2">
      <c r="A201" s="262" t="s">
        <v>413</v>
      </c>
      <c r="B201" s="284">
        <v>1</v>
      </c>
      <c r="C201" s="247"/>
    </row>
    <row r="202" spans="1:3" s="53" customFormat="1" x14ac:dyDescent="0.2">
      <c r="A202" s="262" t="s">
        <v>173</v>
      </c>
      <c r="B202" s="283">
        <v>0.4</v>
      </c>
      <c r="C202" s="262" t="s">
        <v>30</v>
      </c>
    </row>
    <row r="203" spans="1:3" s="53" customFormat="1" x14ac:dyDescent="0.2">
      <c r="A203" s="262" t="s">
        <v>177</v>
      </c>
      <c r="B203" s="284">
        <v>0.2</v>
      </c>
      <c r="C203" s="249" t="s">
        <v>283</v>
      </c>
    </row>
    <row r="204" spans="1:3" s="53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53" customFormat="1" x14ac:dyDescent="0.2">
      <c r="A205" s="262" t="s">
        <v>178</v>
      </c>
      <c r="B205" s="283">
        <v>1</v>
      </c>
      <c r="C205" s="247"/>
    </row>
    <row r="206" spans="1:3" s="53" customFormat="1" x14ac:dyDescent="0.2">
      <c r="A206" s="262" t="s">
        <v>179</v>
      </c>
      <c r="B206" s="283">
        <v>1</v>
      </c>
      <c r="C206" s="247"/>
    </row>
    <row r="207" spans="1:3" s="53" customFormat="1" x14ac:dyDescent="0.2">
      <c r="A207" s="262" t="s">
        <v>414</v>
      </c>
      <c r="B207" s="283">
        <v>0.4</v>
      </c>
      <c r="C207" s="262" t="s">
        <v>30</v>
      </c>
    </row>
    <row r="208" spans="1:3" s="53" customFormat="1" x14ac:dyDescent="0.2">
      <c r="A208" s="262" t="s">
        <v>415</v>
      </c>
      <c r="B208" s="284">
        <v>0.2</v>
      </c>
      <c r="C208" s="249" t="s">
        <v>283</v>
      </c>
    </row>
    <row r="209" spans="1:3" s="53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53" customFormat="1" x14ac:dyDescent="0.2">
      <c r="A210" s="262" t="s">
        <v>417</v>
      </c>
      <c r="B210" s="284">
        <v>1</v>
      </c>
      <c r="C210" s="247"/>
    </row>
    <row r="211" spans="1:3" s="53" customFormat="1" x14ac:dyDescent="0.2">
      <c r="A211" s="262" t="s">
        <v>418</v>
      </c>
      <c r="B211" s="284">
        <v>1</v>
      </c>
      <c r="C211" s="247"/>
    </row>
    <row r="212" spans="1:3" s="53" customFormat="1" x14ac:dyDescent="0.2">
      <c r="A212" s="262" t="s">
        <v>174</v>
      </c>
      <c r="B212" s="284">
        <v>11.4</v>
      </c>
      <c r="C212" s="262" t="s">
        <v>30</v>
      </c>
    </row>
    <row r="213" spans="1:3" s="53" customFormat="1" x14ac:dyDescent="0.2">
      <c r="A213" s="262" t="s">
        <v>419</v>
      </c>
      <c r="B213" s="284">
        <v>4.7</v>
      </c>
      <c r="C213" s="249" t="s">
        <v>283</v>
      </c>
    </row>
    <row r="214" spans="1:3" s="53" customFormat="1" x14ac:dyDescent="0.2">
      <c r="A214" s="262" t="s">
        <v>420</v>
      </c>
      <c r="B214" s="284">
        <v>0.37</v>
      </c>
      <c r="C214" s="249" t="s">
        <v>283</v>
      </c>
    </row>
    <row r="215" spans="1:3" s="53" customFormat="1" x14ac:dyDescent="0.2">
      <c r="A215" s="262" t="s">
        <v>421</v>
      </c>
      <c r="B215" s="284">
        <v>1</v>
      </c>
      <c r="C215" s="247"/>
    </row>
    <row r="216" spans="1:3" s="53" customFormat="1" x14ac:dyDescent="0.2">
      <c r="A216" s="262" t="s">
        <v>422</v>
      </c>
      <c r="B216" s="284">
        <v>1</v>
      </c>
      <c r="C216" s="247"/>
    </row>
    <row r="217" spans="1:3" s="53" customFormat="1" x14ac:dyDescent="0.2">
      <c r="A217" s="249" t="s">
        <v>83</v>
      </c>
      <c r="B217" s="284">
        <v>0.5</v>
      </c>
      <c r="C217" s="249"/>
    </row>
    <row r="218" spans="1:3" s="53" customFormat="1" x14ac:dyDescent="0.2">
      <c r="A218" s="558" t="s">
        <v>423</v>
      </c>
      <c r="B218" s="558"/>
      <c r="C218" s="558"/>
    </row>
    <row r="219" spans="1:3" s="53" customFormat="1" x14ac:dyDescent="0.2">
      <c r="A219" s="249" t="s">
        <v>424</v>
      </c>
      <c r="B219" s="283">
        <v>60</v>
      </c>
      <c r="C219" s="263" t="s">
        <v>359</v>
      </c>
    </row>
    <row r="220" spans="1:3" s="53" customFormat="1" x14ac:dyDescent="0.2">
      <c r="A220" s="262" t="s">
        <v>425</v>
      </c>
      <c r="B220" s="283">
        <v>250</v>
      </c>
      <c r="C220" s="249" t="s">
        <v>26</v>
      </c>
    </row>
    <row r="221" spans="1:3" s="53" customFormat="1" x14ac:dyDescent="0.2">
      <c r="A221" s="262" t="s">
        <v>75</v>
      </c>
      <c r="B221" s="284">
        <v>25</v>
      </c>
      <c r="C221" s="249" t="s">
        <v>69</v>
      </c>
    </row>
    <row r="222" spans="1:3" s="53" customFormat="1" x14ac:dyDescent="0.2">
      <c r="A222" s="262" t="s">
        <v>426</v>
      </c>
      <c r="B222" s="283">
        <v>100</v>
      </c>
      <c r="C222" s="263" t="s">
        <v>54</v>
      </c>
    </row>
    <row r="223" spans="1:3" s="53" customFormat="1" x14ac:dyDescent="0.2">
      <c r="A223" s="249" t="s">
        <v>353</v>
      </c>
      <c r="B223" s="284">
        <v>1</v>
      </c>
      <c r="C223" s="247"/>
    </row>
    <row r="224" spans="1:3" s="53" customFormat="1" x14ac:dyDescent="0.2">
      <c r="A224" s="262" t="s">
        <v>56</v>
      </c>
      <c r="B224" s="284">
        <v>1</v>
      </c>
      <c r="C224" s="247"/>
    </row>
    <row r="225" spans="1:3" s="53" customFormat="1" x14ac:dyDescent="0.2">
      <c r="A225" s="262" t="s">
        <v>52</v>
      </c>
      <c r="B225" s="284">
        <v>0.4</v>
      </c>
      <c r="C225" s="247"/>
    </row>
    <row r="226" spans="1:3" s="53" customFormat="1" x14ac:dyDescent="0.2">
      <c r="A226" s="262" t="s">
        <v>62</v>
      </c>
      <c r="B226" s="284">
        <v>1</v>
      </c>
      <c r="C226" s="247"/>
    </row>
    <row r="227" spans="1:3" s="53" customFormat="1" x14ac:dyDescent="0.2">
      <c r="A227" s="262" t="s">
        <v>467</v>
      </c>
      <c r="B227" s="283">
        <v>4</v>
      </c>
      <c r="C227" s="249" t="s">
        <v>224</v>
      </c>
    </row>
    <row r="228" spans="1:3" s="53" customFormat="1" x14ac:dyDescent="0.2">
      <c r="A228" s="262" t="s">
        <v>468</v>
      </c>
      <c r="B228" s="283">
        <v>4</v>
      </c>
      <c r="C228" s="249" t="s">
        <v>224</v>
      </c>
    </row>
    <row r="229" spans="1:3" s="53" customFormat="1" x14ac:dyDescent="0.2">
      <c r="A229" s="262" t="s">
        <v>103</v>
      </c>
      <c r="B229" s="283">
        <v>0.4</v>
      </c>
      <c r="C229" s="247"/>
    </row>
    <row r="230" spans="1:3" s="53" customFormat="1" x14ac:dyDescent="0.2">
      <c r="A230" s="558" t="s">
        <v>427</v>
      </c>
      <c r="B230" s="558"/>
      <c r="C230" s="558"/>
    </row>
    <row r="231" spans="1:3" s="53" customFormat="1" x14ac:dyDescent="0.2">
      <c r="A231" s="249" t="s">
        <v>428</v>
      </c>
      <c r="B231" s="283">
        <v>60</v>
      </c>
      <c r="C231" s="263" t="s">
        <v>359</v>
      </c>
    </row>
    <row r="232" spans="1:3" s="53" customFormat="1" x14ac:dyDescent="0.2">
      <c r="A232" s="262" t="s">
        <v>40</v>
      </c>
      <c r="B232" s="283">
        <v>250</v>
      </c>
      <c r="C232" s="249" t="s">
        <v>26</v>
      </c>
    </row>
    <row r="233" spans="1:3" s="53" customFormat="1" x14ac:dyDescent="0.2">
      <c r="A233" s="262" t="s">
        <v>429</v>
      </c>
      <c r="B233" s="284">
        <v>25</v>
      </c>
      <c r="C233" s="249" t="s">
        <v>69</v>
      </c>
    </row>
    <row r="234" spans="1:3" s="53" customFormat="1" x14ac:dyDescent="0.2">
      <c r="A234" s="262" t="s">
        <v>79</v>
      </c>
      <c r="B234" s="283">
        <v>50</v>
      </c>
      <c r="C234" s="263" t="s">
        <v>54</v>
      </c>
    </row>
    <row r="235" spans="1:3" s="53" customFormat="1" x14ac:dyDescent="0.2">
      <c r="A235" s="249" t="s">
        <v>353</v>
      </c>
      <c r="B235" s="284">
        <v>1</v>
      </c>
      <c r="C235" s="247"/>
    </row>
    <row r="236" spans="1:3" s="53" customFormat="1" x14ac:dyDescent="0.2">
      <c r="A236" s="262" t="s">
        <v>56</v>
      </c>
      <c r="B236" s="284">
        <v>1</v>
      </c>
      <c r="C236" s="247"/>
    </row>
    <row r="237" spans="1:3" s="53" customFormat="1" x14ac:dyDescent="0.2">
      <c r="A237" s="262" t="s">
        <v>52</v>
      </c>
      <c r="B237" s="284">
        <v>0.4</v>
      </c>
      <c r="C237" s="247"/>
    </row>
    <row r="238" spans="1:3" s="53" customFormat="1" x14ac:dyDescent="0.2">
      <c r="A238" s="262" t="s">
        <v>62</v>
      </c>
      <c r="B238" s="284">
        <v>1</v>
      </c>
      <c r="C238" s="247"/>
    </row>
    <row r="239" spans="1:3" s="53" customFormat="1" x14ac:dyDescent="0.2">
      <c r="A239" s="262" t="s">
        <v>469</v>
      </c>
      <c r="B239" s="283">
        <v>0</v>
      </c>
      <c r="C239" s="249" t="s">
        <v>224</v>
      </c>
    </row>
    <row r="240" spans="1:3" s="53" customFormat="1" x14ac:dyDescent="0.2">
      <c r="A240" s="262" t="s">
        <v>470</v>
      </c>
      <c r="B240" s="283">
        <v>8</v>
      </c>
      <c r="C240" s="249" t="s">
        <v>224</v>
      </c>
    </row>
    <row r="241" spans="1:3" s="53" customFormat="1" x14ac:dyDescent="0.2">
      <c r="A241" s="262" t="s">
        <v>103</v>
      </c>
      <c r="B241" s="283">
        <v>0.4</v>
      </c>
      <c r="C241" s="247"/>
    </row>
    <row r="242" spans="1:3" s="53" customFormat="1" x14ac:dyDescent="0.2">
      <c r="A242" s="558" t="s">
        <v>430</v>
      </c>
      <c r="B242" s="558"/>
      <c r="C242" s="558"/>
    </row>
    <row r="243" spans="1:3" s="53" customFormat="1" x14ac:dyDescent="0.2">
      <c r="A243" s="249" t="s">
        <v>58</v>
      </c>
      <c r="B243" s="283">
        <v>60</v>
      </c>
      <c r="C243" s="263" t="s">
        <v>359</v>
      </c>
    </row>
    <row r="244" spans="1:3" s="53" customFormat="1" x14ac:dyDescent="0.2">
      <c r="A244" s="262" t="s">
        <v>431</v>
      </c>
      <c r="B244" s="283">
        <v>225</v>
      </c>
      <c r="C244" s="249" t="s">
        <v>26</v>
      </c>
    </row>
    <row r="245" spans="1:3" s="53" customFormat="1" x14ac:dyDescent="0.2">
      <c r="A245" s="262" t="s">
        <v>432</v>
      </c>
      <c r="B245" s="284">
        <v>25</v>
      </c>
      <c r="C245" s="249" t="s">
        <v>69</v>
      </c>
    </row>
    <row r="246" spans="1:3" s="53" customFormat="1" x14ac:dyDescent="0.2">
      <c r="A246" s="262" t="s">
        <v>433</v>
      </c>
      <c r="B246" s="283">
        <v>100</v>
      </c>
      <c r="C246" s="263" t="s">
        <v>54</v>
      </c>
    </row>
    <row r="247" spans="1:3" s="53" customFormat="1" x14ac:dyDescent="0.2">
      <c r="A247" s="249" t="s">
        <v>353</v>
      </c>
      <c r="B247" s="284">
        <v>1</v>
      </c>
      <c r="C247" s="247"/>
    </row>
    <row r="248" spans="1:3" s="53" customFormat="1" x14ac:dyDescent="0.2">
      <c r="A248" s="262" t="s">
        <v>56</v>
      </c>
      <c r="B248" s="284">
        <v>1</v>
      </c>
      <c r="C248" s="247"/>
    </row>
    <row r="249" spans="1:3" s="53" customFormat="1" x14ac:dyDescent="0.2">
      <c r="A249" s="262" t="s">
        <v>52</v>
      </c>
      <c r="B249" s="284">
        <v>0.4</v>
      </c>
      <c r="C249" s="247"/>
    </row>
    <row r="250" spans="1:3" s="53" customFormat="1" x14ac:dyDescent="0.2">
      <c r="A250" s="262" t="s">
        <v>62</v>
      </c>
      <c r="B250" s="284">
        <v>1</v>
      </c>
      <c r="C250" s="247"/>
    </row>
    <row r="251" spans="1:3" s="53" customFormat="1" x14ac:dyDescent="0.2">
      <c r="A251" s="262" t="s">
        <v>466</v>
      </c>
      <c r="B251" s="283">
        <v>8</v>
      </c>
      <c r="C251" s="249" t="s">
        <v>224</v>
      </c>
    </row>
    <row r="252" spans="1:3" s="53" customFormat="1" x14ac:dyDescent="0.2">
      <c r="A252" s="262" t="s">
        <v>465</v>
      </c>
      <c r="B252" s="283">
        <v>0</v>
      </c>
      <c r="C252" s="249" t="s">
        <v>224</v>
      </c>
    </row>
    <row r="253" spans="1:3" s="53" customFormat="1" x14ac:dyDescent="0.2">
      <c r="A253" s="262" t="s">
        <v>103</v>
      </c>
      <c r="B253" s="283">
        <v>0.4</v>
      </c>
      <c r="C253" s="247"/>
    </row>
    <row r="254" spans="1:3" s="53" customFormat="1" x14ac:dyDescent="0.2">
      <c r="A254" s="558" t="s">
        <v>434</v>
      </c>
      <c r="B254" s="558"/>
      <c r="C254" s="558"/>
    </row>
    <row r="255" spans="1:3" s="53" customFormat="1" x14ac:dyDescent="0.2">
      <c r="A255" s="249" t="s">
        <v>435</v>
      </c>
      <c r="B255" s="283">
        <v>60</v>
      </c>
      <c r="C255" s="263" t="s">
        <v>359</v>
      </c>
    </row>
    <row r="256" spans="1:3" s="53" customFormat="1" x14ac:dyDescent="0.2">
      <c r="A256" s="262" t="s">
        <v>221</v>
      </c>
      <c r="B256" s="283">
        <v>130</v>
      </c>
      <c r="C256" s="249" t="s">
        <v>26</v>
      </c>
    </row>
    <row r="257" spans="1:3" s="53" customFormat="1" x14ac:dyDescent="0.2">
      <c r="A257" s="262" t="s">
        <v>186</v>
      </c>
      <c r="B257" s="284">
        <v>1</v>
      </c>
      <c r="C257" s="249" t="s">
        <v>69</v>
      </c>
    </row>
    <row r="258" spans="1:3" s="53" customFormat="1" x14ac:dyDescent="0.2">
      <c r="A258" s="262" t="s">
        <v>436</v>
      </c>
      <c r="B258" s="283">
        <v>330</v>
      </c>
      <c r="C258" s="263" t="s">
        <v>54</v>
      </c>
    </row>
    <row r="259" spans="1:3" s="53" customFormat="1" x14ac:dyDescent="0.2">
      <c r="A259" s="249" t="s">
        <v>353</v>
      </c>
      <c r="B259" s="284">
        <v>1</v>
      </c>
      <c r="C259" s="247"/>
    </row>
    <row r="260" spans="1:3" s="53" customFormat="1" x14ac:dyDescent="0.2">
      <c r="A260" s="262" t="s">
        <v>56</v>
      </c>
      <c r="B260" s="284">
        <v>1</v>
      </c>
      <c r="C260" s="247"/>
    </row>
    <row r="261" spans="1:3" s="53" customFormat="1" x14ac:dyDescent="0.2">
      <c r="A261" s="262" t="s">
        <v>52</v>
      </c>
      <c r="B261" s="284">
        <v>0.4</v>
      </c>
      <c r="C261" s="247"/>
    </row>
    <row r="262" spans="1:3" s="53" customFormat="1" x14ac:dyDescent="0.2">
      <c r="A262" s="262" t="s">
        <v>62</v>
      </c>
      <c r="B262" s="284">
        <v>1</v>
      </c>
      <c r="C262" s="247"/>
    </row>
    <row r="263" spans="1:3" s="53" customFormat="1" x14ac:dyDescent="0.2">
      <c r="A263" s="262" t="s">
        <v>471</v>
      </c>
      <c r="B263" s="283">
        <v>8</v>
      </c>
      <c r="C263" s="249" t="s">
        <v>224</v>
      </c>
    </row>
    <row r="264" spans="1:3" s="53" customFormat="1" x14ac:dyDescent="0.2">
      <c r="A264" s="262" t="s">
        <v>472</v>
      </c>
      <c r="B264" s="283">
        <v>0</v>
      </c>
      <c r="C264" s="249" t="s">
        <v>224</v>
      </c>
    </row>
    <row r="265" spans="1:3" s="53" customFormat="1" x14ac:dyDescent="0.2">
      <c r="A265" s="262" t="s">
        <v>103</v>
      </c>
      <c r="B265" s="283">
        <v>0.4</v>
      </c>
      <c r="C265" s="247"/>
    </row>
    <row r="266" spans="1:3" s="53" customFormat="1" x14ac:dyDescent="0.2">
      <c r="A266" s="262" t="s">
        <v>220</v>
      </c>
      <c r="B266" s="283">
        <v>5</v>
      </c>
      <c r="C266" s="249" t="s">
        <v>129</v>
      </c>
    </row>
    <row r="267" spans="1:3" s="53" customFormat="1" x14ac:dyDescent="0.2">
      <c r="A267" s="262" t="s">
        <v>219</v>
      </c>
      <c r="B267" s="283">
        <v>26</v>
      </c>
      <c r="C267" s="249" t="s">
        <v>130</v>
      </c>
    </row>
    <row r="268" spans="1:3" s="53" customFormat="1" x14ac:dyDescent="0.2">
      <c r="A268" s="558" t="s">
        <v>437</v>
      </c>
      <c r="B268" s="558"/>
      <c r="C268" s="558"/>
    </row>
    <row r="269" spans="1:3" s="53" customFormat="1" x14ac:dyDescent="0.2">
      <c r="A269" s="249" t="s">
        <v>435</v>
      </c>
      <c r="B269" s="283">
        <v>60</v>
      </c>
      <c r="C269" s="263" t="s">
        <v>359</v>
      </c>
    </row>
    <row r="270" spans="1:3" s="53" customFormat="1" x14ac:dyDescent="0.2">
      <c r="A270" s="262" t="s">
        <v>221</v>
      </c>
      <c r="B270" s="283">
        <v>130</v>
      </c>
      <c r="C270" s="249" t="s">
        <v>26</v>
      </c>
    </row>
    <row r="271" spans="1:3" s="53" customFormat="1" x14ac:dyDescent="0.2">
      <c r="A271" s="262" t="s">
        <v>186</v>
      </c>
      <c r="B271" s="284">
        <v>1</v>
      </c>
      <c r="C271" s="249" t="s">
        <v>69</v>
      </c>
    </row>
    <row r="272" spans="1:3" s="53" customFormat="1" x14ac:dyDescent="0.2">
      <c r="A272" s="262" t="s">
        <v>436</v>
      </c>
      <c r="B272" s="283">
        <v>330</v>
      </c>
      <c r="C272" s="263" t="s">
        <v>54</v>
      </c>
    </row>
    <row r="273" spans="1:3" s="53" customFormat="1" x14ac:dyDescent="0.2">
      <c r="A273" s="262" t="s">
        <v>56</v>
      </c>
      <c r="B273" s="284">
        <v>1</v>
      </c>
      <c r="C273" s="247"/>
    </row>
    <row r="274" spans="1:3" s="53" customFormat="1" x14ac:dyDescent="0.2">
      <c r="A274" s="262" t="s">
        <v>52</v>
      </c>
      <c r="B274" s="284">
        <v>0.4</v>
      </c>
      <c r="C274" s="247"/>
    </row>
    <row r="275" spans="1:3" s="53" customFormat="1" x14ac:dyDescent="0.2">
      <c r="A275" s="262" t="s">
        <v>62</v>
      </c>
      <c r="B275" s="284">
        <v>1</v>
      </c>
      <c r="C275" s="247"/>
    </row>
    <row r="276" spans="1:3" s="53" customFormat="1" x14ac:dyDescent="0.2">
      <c r="A276" s="262" t="s">
        <v>471</v>
      </c>
      <c r="B276" s="283">
        <v>8</v>
      </c>
      <c r="C276" s="249" t="s">
        <v>224</v>
      </c>
    </row>
    <row r="277" spans="1:3" s="53" customFormat="1" x14ac:dyDescent="0.2">
      <c r="A277" s="262" t="s">
        <v>472</v>
      </c>
      <c r="B277" s="283">
        <v>0</v>
      </c>
      <c r="C277" s="249" t="s">
        <v>224</v>
      </c>
    </row>
    <row r="278" spans="1:3" s="53" customFormat="1" x14ac:dyDescent="0.2">
      <c r="A278" s="262" t="s">
        <v>103</v>
      </c>
      <c r="B278" s="283">
        <v>0.4</v>
      </c>
      <c r="C278" s="247"/>
    </row>
    <row r="279" spans="1:3" s="53" customFormat="1" x14ac:dyDescent="0.2">
      <c r="A279" s="262" t="s">
        <v>220</v>
      </c>
      <c r="B279" s="283">
        <v>5</v>
      </c>
      <c r="C279" s="249" t="s">
        <v>129</v>
      </c>
    </row>
    <row r="280" spans="1:3" s="53" customFormat="1" x14ac:dyDescent="0.2">
      <c r="A280" s="262" t="s">
        <v>219</v>
      </c>
      <c r="B280" s="283">
        <v>26</v>
      </c>
      <c r="C280" s="249" t="s">
        <v>130</v>
      </c>
    </row>
    <row r="281" spans="1:3" s="53" customFormat="1" x14ac:dyDescent="0.2">
      <c r="A281" s="663" t="s">
        <v>576</v>
      </c>
      <c r="B281" s="663"/>
      <c r="C281" s="663"/>
    </row>
    <row r="282" spans="1:3" s="53" customFormat="1" x14ac:dyDescent="0.2">
      <c r="A282" s="263" t="s">
        <v>577</v>
      </c>
      <c r="B282" s="283">
        <v>1.5</v>
      </c>
      <c r="C282" s="249"/>
    </row>
    <row r="283" spans="1:3" s="53" customFormat="1" x14ac:dyDescent="0.2">
      <c r="A283" s="249" t="s">
        <v>100</v>
      </c>
      <c r="B283" s="283">
        <v>0.3</v>
      </c>
      <c r="C283" s="249"/>
    </row>
    <row r="284" spans="1:3" s="53" customFormat="1" x14ac:dyDescent="0.2">
      <c r="A284" s="249" t="s">
        <v>107</v>
      </c>
      <c r="B284" s="283">
        <v>26</v>
      </c>
      <c r="C284" s="249" t="s">
        <v>69</v>
      </c>
    </row>
    <row r="285" spans="1:3" s="53" customFormat="1" x14ac:dyDescent="0.2">
      <c r="A285" s="263" t="s">
        <v>39</v>
      </c>
      <c r="B285" s="283">
        <v>70</v>
      </c>
      <c r="C285" s="249" t="s">
        <v>69</v>
      </c>
    </row>
    <row r="286" spans="1:3" s="53" customFormat="1" x14ac:dyDescent="0.2">
      <c r="A286" s="263" t="s">
        <v>83</v>
      </c>
      <c r="B286" s="283">
        <v>1</v>
      </c>
      <c r="C286" s="249" t="s">
        <v>108</v>
      </c>
    </row>
    <row r="287" spans="1:3" s="53" customFormat="1" x14ac:dyDescent="0.2">
      <c r="A287" s="249" t="s">
        <v>109</v>
      </c>
      <c r="B287" s="283">
        <v>1</v>
      </c>
      <c r="C287" s="249" t="s">
        <v>110</v>
      </c>
    </row>
    <row r="288" spans="1:3" s="53" customFormat="1" x14ac:dyDescent="0.2">
      <c r="A288" s="249" t="s">
        <v>114</v>
      </c>
      <c r="B288" s="283">
        <v>0.18</v>
      </c>
      <c r="C288" s="249" t="s">
        <v>108</v>
      </c>
    </row>
    <row r="289" spans="1:3" s="53" customFormat="1" x14ac:dyDescent="0.2">
      <c r="A289" s="249" t="s">
        <v>116</v>
      </c>
      <c r="B289" s="283">
        <v>1</v>
      </c>
      <c r="C289" s="249" t="s">
        <v>113</v>
      </c>
    </row>
    <row r="290" spans="1:3" s="53" customFormat="1" x14ac:dyDescent="0.2">
      <c r="A290" s="249" t="s">
        <v>118</v>
      </c>
      <c r="B290" s="283">
        <v>1</v>
      </c>
      <c r="C290" s="249" t="s">
        <v>113</v>
      </c>
    </row>
    <row r="291" spans="1:3" s="53" customFormat="1" x14ac:dyDescent="0.2">
      <c r="A291" s="249" t="s">
        <v>119</v>
      </c>
      <c r="B291" s="283">
        <v>1</v>
      </c>
      <c r="C291" s="249" t="s">
        <v>113</v>
      </c>
    </row>
    <row r="293" spans="1:3" s="53" customFormat="1" x14ac:dyDescent="0.2">
      <c r="A293" s="95" t="s">
        <v>299</v>
      </c>
      <c r="B293" s="284">
        <v>27.027027027027</v>
      </c>
      <c r="C293" s="249"/>
    </row>
  </sheetData>
  <mergeCells count="335">
    <mergeCell ref="HD21:HF21"/>
    <mergeCell ref="FW1:FY1"/>
    <mergeCell ref="D41:F41"/>
    <mergeCell ref="GY2:GY4"/>
    <mergeCell ref="GZ2:GZ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HD1:HF1"/>
    <mergeCell ref="DC2:DC4"/>
    <mergeCell ref="DD2:DD4"/>
    <mergeCell ref="DE2:DE4"/>
    <mergeCell ref="DF2:DF4"/>
    <mergeCell ref="DG2:DG4"/>
    <mergeCell ref="DH2:DH4"/>
    <mergeCell ref="DI2:DI4"/>
    <mergeCell ref="DJ2:DJ4"/>
    <mergeCell ref="DK2:DK4"/>
    <mergeCell ref="DL2:DL4"/>
    <mergeCell ref="DM2:DM4"/>
    <mergeCell ref="DN2:DN4"/>
    <mergeCell ref="DO2:DO4"/>
    <mergeCell ref="DP2:DP4"/>
    <mergeCell ref="DQ2:DQ4"/>
    <mergeCell ref="GO1:GQ1"/>
    <mergeCell ref="GR1:GT1"/>
    <mergeCell ref="GU1:GW1"/>
    <mergeCell ref="GX1:GZ1"/>
    <mergeCell ref="HA1:HC1"/>
    <mergeCell ref="FZ1:GB1"/>
    <mergeCell ref="GC1:GE1"/>
    <mergeCell ref="GF1:GH1"/>
    <mergeCell ref="GI1:GK1"/>
    <mergeCell ref="GL1:GN1"/>
    <mergeCell ref="FK1:FM1"/>
    <mergeCell ref="FN1:FP1"/>
    <mergeCell ref="FQ1:FS1"/>
    <mergeCell ref="FT1:FV1"/>
    <mergeCell ref="EV1:EX1"/>
    <mergeCell ref="EY1:FA1"/>
    <mergeCell ref="FB1:FD1"/>
    <mergeCell ref="FE1:FG1"/>
    <mergeCell ref="FH1:FJ1"/>
    <mergeCell ref="EG1:EI1"/>
    <mergeCell ref="EJ1:EL1"/>
    <mergeCell ref="EM1:EO1"/>
    <mergeCell ref="EP1:ER1"/>
    <mergeCell ref="ES1:EU1"/>
    <mergeCell ref="DR1:DT1"/>
    <mergeCell ref="DU1:DW1"/>
    <mergeCell ref="DX1:DZ1"/>
    <mergeCell ref="EA1:EC1"/>
    <mergeCell ref="ED1:EF1"/>
    <mergeCell ref="DC1:DE1"/>
    <mergeCell ref="DF1:DH1"/>
    <mergeCell ref="DI1:DK1"/>
    <mergeCell ref="DL1:DN1"/>
    <mergeCell ref="DO1:DQ1"/>
    <mergeCell ref="CC35:CG38"/>
    <mergeCell ref="A281:C281"/>
    <mergeCell ref="CT1:CV1"/>
    <mergeCell ref="CW1:CY1"/>
    <mergeCell ref="CZ1:DB1"/>
    <mergeCell ref="CO19:CO21"/>
    <mergeCell ref="CP19:CP21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CB19:CB21"/>
    <mergeCell ref="CC19:CC21"/>
    <mergeCell ref="CD19:CD21"/>
    <mergeCell ref="CE19:CE21"/>
    <mergeCell ref="CF19:CF21"/>
    <mergeCell ref="CP2:CP4"/>
    <mergeCell ref="CQ2:CQ4"/>
    <mergeCell ref="CR2:CR4"/>
    <mergeCell ref="CS2:CS4"/>
    <mergeCell ref="CB18:CD18"/>
    <mergeCell ref="CE18:CG18"/>
    <mergeCell ref="CK18:CM18"/>
    <mergeCell ref="CN18:CP18"/>
    <mergeCell ref="CQ18:CS18"/>
    <mergeCell ref="CK2:CK4"/>
    <mergeCell ref="CL2:CL4"/>
    <mergeCell ref="CM2:CM4"/>
    <mergeCell ref="CN2:CN4"/>
    <mergeCell ref="CO2:CO4"/>
    <mergeCell ref="CQ1:CS1"/>
    <mergeCell ref="BV2:BV4"/>
    <mergeCell ref="BW2:BW4"/>
    <mergeCell ref="BX2:BX4"/>
    <mergeCell ref="BY2:BY4"/>
    <mergeCell ref="BZ2:BZ4"/>
    <mergeCell ref="CA2:CA4"/>
    <mergeCell ref="CB2:CB4"/>
    <mergeCell ref="CC2:CC4"/>
    <mergeCell ref="CD2:CD4"/>
    <mergeCell ref="CE2:CE4"/>
    <mergeCell ref="CF2:CF4"/>
    <mergeCell ref="CG2:CG4"/>
    <mergeCell ref="CH2:CH4"/>
    <mergeCell ref="CI2:CI4"/>
    <mergeCell ref="CJ2:CJ4"/>
    <mergeCell ref="CB1:CD1"/>
    <mergeCell ref="CE1:CG1"/>
    <mergeCell ref="CH1:CJ1"/>
    <mergeCell ref="CK1:CM1"/>
    <mergeCell ref="CN1:CP1"/>
    <mergeCell ref="BK40:BO43"/>
    <mergeCell ref="AF42:AH44"/>
    <mergeCell ref="BS1:BU1"/>
    <mergeCell ref="BV1:BX1"/>
    <mergeCell ref="BY1:CA1"/>
    <mergeCell ref="BL21:BL23"/>
    <mergeCell ref="BM21:BM23"/>
    <mergeCell ref="BN21:BN23"/>
    <mergeCell ref="BO21:BO23"/>
    <mergeCell ref="BR2:BR4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BM2:BM4"/>
    <mergeCell ref="BN2:BN4"/>
    <mergeCell ref="BO2:BO4"/>
    <mergeCell ref="BP2:BP4"/>
    <mergeCell ref="BQ2:BQ4"/>
    <mergeCell ref="BH2:BH4"/>
    <mergeCell ref="BF2:BF4"/>
    <mergeCell ref="BG2:BG4"/>
    <mergeCell ref="V23:X23"/>
    <mergeCell ref="Y23:AA23"/>
    <mergeCell ref="BD21:BD23"/>
    <mergeCell ref="BE21:BE23"/>
    <mergeCell ref="BF21:BF23"/>
    <mergeCell ref="BJ21:BJ23"/>
    <mergeCell ref="BK21:BK23"/>
    <mergeCell ref="AV21:AV23"/>
    <mergeCell ref="AW21:AW23"/>
    <mergeCell ref="BA21:BA23"/>
    <mergeCell ref="BB21:BB23"/>
    <mergeCell ref="BC21:BC23"/>
    <mergeCell ref="AN21:AN23"/>
    <mergeCell ref="AR21:AR23"/>
    <mergeCell ref="AS21:AS23"/>
    <mergeCell ref="AT21:AT23"/>
    <mergeCell ref="AU21:AU23"/>
    <mergeCell ref="AI21:AI23"/>
    <mergeCell ref="AJ21:AJ23"/>
    <mergeCell ref="AK21:AK23"/>
    <mergeCell ref="AL21:AL23"/>
    <mergeCell ref="AM21:AM23"/>
    <mergeCell ref="AP2:AP4"/>
    <mergeCell ref="AQ2:AQ4"/>
    <mergeCell ref="AR2:AR4"/>
    <mergeCell ref="BD1:BF1"/>
    <mergeCell ref="BG1:BI1"/>
    <mergeCell ref="BJ1:BL1"/>
    <mergeCell ref="BM1:BO1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BI2:BI4"/>
    <mergeCell ref="BJ2:BJ4"/>
    <mergeCell ref="BK2:BK4"/>
    <mergeCell ref="BL2:BL4"/>
    <mergeCell ref="BC2:BC4"/>
    <mergeCell ref="BD2:BD4"/>
    <mergeCell ref="BE2:BE4"/>
    <mergeCell ref="BP1:BR1"/>
    <mergeCell ref="AO1:AQ1"/>
    <mergeCell ref="AR1:AT1"/>
    <mergeCell ref="AU1:AW1"/>
    <mergeCell ref="AX1:AZ1"/>
    <mergeCell ref="BA1:BC1"/>
    <mergeCell ref="V1:X1"/>
    <mergeCell ref="Y1:AA1"/>
    <mergeCell ref="AB1:AB4"/>
    <mergeCell ref="AI1:AK1"/>
    <mergeCell ref="AL1:AN1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N2:AN4"/>
    <mergeCell ref="AO2:AO4"/>
    <mergeCell ref="M20:O20"/>
    <mergeCell ref="P20:R20"/>
    <mergeCell ref="M21:M23"/>
    <mergeCell ref="N21:N23"/>
    <mergeCell ref="O21:O23"/>
    <mergeCell ref="P21:P23"/>
    <mergeCell ref="Q21:Q23"/>
    <mergeCell ref="R21:R23"/>
    <mergeCell ref="O2:O4"/>
    <mergeCell ref="P2:P4"/>
    <mergeCell ref="Q2:Q4"/>
    <mergeCell ref="R2:R4"/>
    <mergeCell ref="A242:C242"/>
    <mergeCell ref="A254:C254"/>
    <mergeCell ref="A268:C268"/>
    <mergeCell ref="D1:F1"/>
    <mergeCell ref="G1:I1"/>
    <mergeCell ref="G2:G4"/>
    <mergeCell ref="H2:H4"/>
    <mergeCell ref="I2:I4"/>
    <mergeCell ref="D29:F29"/>
    <mergeCell ref="A50:C50"/>
    <mergeCell ref="A98:C98"/>
    <mergeCell ref="A132:C132"/>
    <mergeCell ref="A218:C218"/>
    <mergeCell ref="A230:C230"/>
    <mergeCell ref="A1:C1"/>
    <mergeCell ref="A14:C17"/>
    <mergeCell ref="A2:C2"/>
    <mergeCell ref="J1:L1"/>
    <mergeCell ref="M1:O1"/>
    <mergeCell ref="P1:R1"/>
    <mergeCell ref="S1:U1"/>
    <mergeCell ref="J2:J4"/>
    <mergeCell ref="K2:K4"/>
    <mergeCell ref="L2:L4"/>
    <mergeCell ref="M2:M4"/>
    <mergeCell ref="N2:N4"/>
    <mergeCell ref="T2:T4"/>
    <mergeCell ref="U2:U4"/>
    <mergeCell ref="S2:S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93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2.75" x14ac:dyDescent="0.2"/>
  <cols>
    <col min="1" max="1" width="15" style="249" bestFit="1" customWidth="1"/>
    <col min="2" max="2" width="13" style="249" bestFit="1" customWidth="1"/>
    <col min="3" max="3" width="20.140625" style="249" bestFit="1" customWidth="1"/>
    <col min="4" max="4" width="10" style="249" bestFit="1" customWidth="1"/>
    <col min="5" max="5" width="13" style="289" bestFit="1" customWidth="1"/>
    <col min="6" max="6" width="20.140625" style="249" bestFit="1" customWidth="1"/>
    <col min="7" max="7" width="15" style="249" bestFit="1" customWidth="1"/>
    <col min="8" max="8" width="13" style="289" bestFit="1" customWidth="1"/>
    <col min="9" max="9" width="14.42578125" style="249" bestFit="1" customWidth="1"/>
    <col min="10" max="10" width="15" style="249" bestFit="1" customWidth="1"/>
    <col min="11" max="11" width="13" style="289" bestFit="1" customWidth="1"/>
    <col min="12" max="12" width="17.140625" style="249" bestFit="1" customWidth="1"/>
    <col min="13" max="13" width="11" style="249" bestFit="1" customWidth="1"/>
    <col min="14" max="14" width="13" style="289" bestFit="1" customWidth="1"/>
    <col min="15" max="15" width="21.28515625" style="249" bestFit="1" customWidth="1"/>
    <col min="16" max="16" width="12.42578125" style="249" bestFit="1" customWidth="1"/>
    <col min="17" max="17" width="13" style="289" bestFit="1" customWidth="1"/>
    <col min="18" max="18" width="18.7109375" style="249" bestFit="1" customWidth="1"/>
    <col min="19" max="19" width="13.5703125" style="249" bestFit="1" customWidth="1"/>
    <col min="20" max="20" width="13" style="289" bestFit="1" customWidth="1"/>
    <col min="21" max="21" width="18.7109375" style="249" bestFit="1" customWidth="1"/>
    <col min="22" max="22" width="10" style="249" bestFit="1" customWidth="1"/>
    <col min="23" max="23" width="13" style="289" bestFit="1" customWidth="1"/>
    <col min="24" max="24" width="17.42578125" style="249" bestFit="1" customWidth="1"/>
    <col min="25" max="25" width="10" style="249" bestFit="1" customWidth="1"/>
    <col min="26" max="26" width="13" style="289" bestFit="1" customWidth="1"/>
    <col min="27" max="27" width="17.42578125" style="249" bestFit="1" customWidth="1"/>
    <col min="28" max="28" width="16.7109375" style="249" bestFit="1" customWidth="1"/>
    <col min="29" max="29" width="11.7109375" style="289" bestFit="1" customWidth="1"/>
    <col min="30" max="31" width="10.28515625" style="289" bestFit="1" customWidth="1"/>
    <col min="32" max="32" width="11.5703125" style="289" bestFit="1" customWidth="1"/>
    <col min="33" max="33" width="16.28515625" style="289" bestFit="1" customWidth="1"/>
    <col min="34" max="34" width="15" style="249" bestFit="1" customWidth="1"/>
    <col min="35" max="35" width="9.5703125" style="249" bestFit="1" customWidth="1"/>
    <col min="36" max="36" width="13" style="289" bestFit="1" customWidth="1"/>
    <col min="37" max="37" width="17.42578125" style="249" bestFit="1" customWidth="1"/>
    <col min="38" max="38" width="11" style="249" bestFit="1" customWidth="1"/>
    <col min="39" max="39" width="13" style="289" bestFit="1" customWidth="1"/>
    <col min="40" max="40" width="16.42578125" style="249" bestFit="1" customWidth="1"/>
    <col min="41" max="41" width="12.7109375" style="249" bestFit="1" customWidth="1"/>
    <col min="42" max="42" width="13" style="289" bestFit="1" customWidth="1"/>
    <col min="43" max="43" width="16.42578125" style="249" bestFit="1" customWidth="1"/>
    <col min="44" max="44" width="9.5703125" style="249" bestFit="1" customWidth="1"/>
    <col min="45" max="45" width="13" style="289" bestFit="1" customWidth="1"/>
    <col min="46" max="46" width="17.42578125" style="249" bestFit="1" customWidth="1"/>
    <col min="47" max="47" width="11" style="249" bestFit="1" customWidth="1"/>
    <col min="48" max="48" width="13" style="289" bestFit="1" customWidth="1"/>
    <col min="49" max="49" width="16.42578125" style="249" bestFit="1" customWidth="1"/>
    <col min="50" max="50" width="12.7109375" style="249" bestFit="1" customWidth="1"/>
    <col min="51" max="51" width="13" style="289" bestFit="1" customWidth="1"/>
    <col min="52" max="52" width="16.42578125" style="249" bestFit="1" customWidth="1"/>
    <col min="53" max="53" width="9.5703125" style="249" bestFit="1" customWidth="1"/>
    <col min="54" max="54" width="13" style="289" bestFit="1" customWidth="1"/>
    <col min="55" max="55" width="17.42578125" style="249" bestFit="1" customWidth="1"/>
    <col min="56" max="56" width="11" style="249" bestFit="1" customWidth="1"/>
    <col min="57" max="57" width="13" style="289" bestFit="1" customWidth="1"/>
    <col min="58" max="58" width="16.42578125" style="249" bestFit="1" customWidth="1"/>
    <col min="59" max="59" width="12.7109375" style="249" bestFit="1" customWidth="1"/>
    <col min="60" max="60" width="13" style="289" bestFit="1" customWidth="1"/>
    <col min="61" max="61" width="16.42578125" style="249" bestFit="1" customWidth="1"/>
    <col min="62" max="62" width="11" style="249" bestFit="1" customWidth="1"/>
    <col min="63" max="63" width="13" style="289" bestFit="1" customWidth="1"/>
    <col min="64" max="64" width="17.42578125" style="249" bestFit="1" customWidth="1"/>
    <col min="65" max="65" width="12.42578125" style="249" bestFit="1" customWidth="1"/>
    <col min="66" max="66" width="13" style="289" bestFit="1" customWidth="1"/>
    <col min="67" max="67" width="16.42578125" style="249" bestFit="1" customWidth="1"/>
    <col min="68" max="68" width="13.5703125" style="249" bestFit="1" customWidth="1"/>
    <col min="69" max="69" width="13" style="289" bestFit="1" customWidth="1"/>
    <col min="70" max="70" width="16.42578125" style="249" bestFit="1" customWidth="1"/>
    <col min="71" max="71" width="10" style="249" bestFit="1" customWidth="1"/>
    <col min="72" max="72" width="13" style="289" bestFit="1" customWidth="1"/>
    <col min="73" max="73" width="17.42578125" style="249" bestFit="1" customWidth="1"/>
    <col min="74" max="74" width="11.5703125" style="249" bestFit="1" customWidth="1"/>
    <col min="75" max="75" width="13" style="289" bestFit="1" customWidth="1"/>
    <col min="76" max="76" width="11.5703125" style="249" bestFit="1" customWidth="1"/>
    <col min="77" max="77" width="10.7109375" style="249" bestFit="1" customWidth="1"/>
    <col min="78" max="78" width="10.28515625" style="289" bestFit="1" customWidth="1"/>
    <col min="79" max="79" width="15" style="249" bestFit="1" customWidth="1"/>
    <col min="80" max="80" width="11" style="249" bestFit="1" customWidth="1"/>
    <col min="81" max="81" width="13" style="289" bestFit="1" customWidth="1"/>
    <col min="82" max="82" width="17.42578125" style="249" bestFit="1" customWidth="1"/>
    <col min="83" max="83" width="12.42578125" style="249" bestFit="1" customWidth="1"/>
    <col min="84" max="84" width="13" style="289" bestFit="1" customWidth="1"/>
    <col min="85" max="85" width="16.42578125" style="249" bestFit="1" customWidth="1"/>
    <col min="86" max="86" width="13.5703125" style="249" bestFit="1" customWidth="1"/>
    <col min="87" max="87" width="13" style="289" bestFit="1" customWidth="1"/>
    <col min="88" max="88" width="16.42578125" style="249" bestFit="1" customWidth="1"/>
    <col min="89" max="89" width="8.7109375" style="249" bestFit="1" customWidth="1"/>
    <col min="90" max="90" width="13" style="289" bestFit="1" customWidth="1"/>
    <col min="91" max="91" width="8.85546875" style="249" bestFit="1" customWidth="1"/>
    <col min="92" max="92" width="10" style="249" bestFit="1" customWidth="1"/>
    <col min="93" max="93" width="9.28515625" style="289" bestFit="1" customWidth="1"/>
    <col min="94" max="94" width="7.85546875" style="249" bestFit="1" customWidth="1"/>
    <col min="95" max="95" width="10.28515625" style="249" bestFit="1" customWidth="1"/>
    <col min="96" max="96" width="9.28515625" style="289" bestFit="1" customWidth="1"/>
    <col min="97" max="97" width="6" style="249" bestFit="1" customWidth="1"/>
    <col min="98" max="98" width="14.5703125" style="249" bestFit="1" customWidth="1"/>
    <col min="99" max="99" width="13" style="289" bestFit="1" customWidth="1"/>
    <col min="100" max="100" width="15" style="249" bestFit="1" customWidth="1"/>
    <col min="101" max="101" width="10" style="249" bestFit="1" customWidth="1"/>
    <col min="102" max="102" width="9.5703125" style="289" bestFit="1" customWidth="1"/>
    <col min="103" max="103" width="17.42578125" style="249" bestFit="1" customWidth="1"/>
    <col min="104" max="104" width="13.7109375" style="249" bestFit="1" customWidth="1"/>
    <col min="105" max="105" width="13" style="289" bestFit="1" customWidth="1"/>
    <col min="106" max="106" width="9.85546875" style="249" bestFit="1" customWidth="1"/>
    <col min="107" max="107" width="14.5703125" style="249" bestFit="1" customWidth="1"/>
    <col min="108" max="108" width="11.28515625" style="289" bestFit="1" customWidth="1"/>
    <col min="109" max="109" width="10" style="249" bestFit="1" customWidth="1"/>
    <col min="110" max="110" width="10.140625" style="249" bestFit="1" customWidth="1"/>
    <col min="111" max="111" width="9.85546875" style="289" bestFit="1" customWidth="1"/>
    <col min="112" max="112" width="14.42578125" style="249" bestFit="1" customWidth="1"/>
    <col min="113" max="113" width="12.42578125" style="249" bestFit="1" customWidth="1"/>
    <col min="114" max="114" width="9.28515625" style="289" bestFit="1" customWidth="1"/>
    <col min="115" max="115" width="5.5703125" style="249" bestFit="1" customWidth="1"/>
    <col min="116" max="116" width="12.42578125" style="249" bestFit="1" customWidth="1"/>
    <col min="117" max="117" width="9.28515625" style="289" bestFit="1" customWidth="1"/>
    <col min="118" max="118" width="6.28515625" style="249" bestFit="1" customWidth="1"/>
    <col min="119" max="119" width="12.42578125" style="249" bestFit="1" customWidth="1"/>
    <col min="120" max="120" width="10" style="289" bestFit="1" customWidth="1"/>
    <col min="121" max="121" width="10.140625" style="249" bestFit="1" customWidth="1"/>
    <col min="122" max="122" width="11.5703125" style="249" bestFit="1" customWidth="1"/>
    <col min="123" max="123" width="13" style="289" bestFit="1" customWidth="1"/>
    <col min="124" max="124" width="10" style="249" bestFit="1" customWidth="1"/>
    <col min="125" max="125" width="9.85546875" style="249" bestFit="1" customWidth="1"/>
    <col min="126" max="126" width="9.28515625" style="289" bestFit="1" customWidth="1"/>
    <col min="127" max="127" width="6" style="249" bestFit="1" customWidth="1"/>
    <col min="128" max="128" width="12" style="249" bestFit="1" customWidth="1"/>
    <col min="129" max="129" width="9.28515625" style="289" bestFit="1" customWidth="1"/>
    <col min="130" max="130" width="5.5703125" style="249" bestFit="1" customWidth="1"/>
    <col min="131" max="131" width="12" style="249" bestFit="1" customWidth="1"/>
    <col min="132" max="132" width="9.28515625" style="289" bestFit="1" customWidth="1"/>
    <col min="133" max="133" width="6.28515625" style="249" bestFit="1" customWidth="1"/>
    <col min="134" max="134" width="12" style="249" bestFit="1" customWidth="1"/>
    <col min="135" max="135" width="10" style="289" bestFit="1" customWidth="1"/>
    <col min="136" max="136" width="7.85546875" style="249" bestFit="1" customWidth="1"/>
    <col min="137" max="137" width="11.28515625" style="249" bestFit="1" customWidth="1"/>
    <col min="138" max="138" width="11.28515625" style="289" bestFit="1" customWidth="1"/>
    <col min="139" max="139" width="10" style="249" bestFit="1" customWidth="1"/>
    <col min="140" max="140" width="9.42578125" style="249" bestFit="1" customWidth="1"/>
    <col min="141" max="141" width="9.28515625" style="289" bestFit="1" customWidth="1"/>
    <col min="142" max="142" width="6" style="249" bestFit="1" customWidth="1"/>
    <col min="143" max="143" width="12" style="249" bestFit="1" customWidth="1"/>
    <col min="144" max="144" width="9.28515625" style="289" bestFit="1" customWidth="1"/>
    <col min="145" max="145" width="5.5703125" style="249" bestFit="1" customWidth="1"/>
    <col min="146" max="146" width="12" style="249" bestFit="1" customWidth="1"/>
    <col min="147" max="147" width="9.28515625" style="289" bestFit="1" customWidth="1"/>
    <col min="148" max="148" width="5.5703125" style="249" bestFit="1" customWidth="1"/>
    <col min="149" max="149" width="12" style="249" bestFit="1" customWidth="1"/>
    <col min="150" max="150" width="10" style="289" bestFit="1" customWidth="1"/>
    <col min="151" max="151" width="7.85546875" style="249" bestFit="1" customWidth="1"/>
    <col min="152" max="152" width="10.5703125" style="249" bestFit="1" customWidth="1"/>
    <col min="153" max="153" width="9.5703125" style="289" bestFit="1" customWidth="1"/>
    <col min="154" max="154" width="10" style="249" bestFit="1" customWidth="1"/>
    <col min="155" max="155" width="8.7109375" style="249" bestFit="1" customWidth="1"/>
    <col min="156" max="156" width="9.28515625" style="289" bestFit="1" customWidth="1"/>
    <col min="157" max="157" width="6" style="249" bestFit="1" customWidth="1"/>
    <col min="158" max="158" width="8.5703125" style="249" bestFit="1" customWidth="1"/>
    <col min="159" max="159" width="9.28515625" style="289" bestFit="1" customWidth="1"/>
    <col min="160" max="160" width="5.5703125" style="249" bestFit="1" customWidth="1"/>
    <col min="161" max="161" width="10.140625" style="249" bestFit="1" customWidth="1"/>
    <col min="162" max="162" width="9.28515625" style="289" bestFit="1" customWidth="1"/>
    <col min="163" max="163" width="6.28515625" style="249" bestFit="1" customWidth="1"/>
    <col min="164" max="164" width="10.140625" style="249" bestFit="1" customWidth="1"/>
    <col min="165" max="165" width="10" style="289" bestFit="1" customWidth="1"/>
    <col min="166" max="166" width="7.85546875" style="249" bestFit="1" customWidth="1"/>
    <col min="167" max="167" width="10.5703125" style="249" bestFit="1" customWidth="1"/>
    <col min="168" max="168" width="11.28515625" style="289" bestFit="1" customWidth="1"/>
    <col min="169" max="169" width="10" style="249" bestFit="1" customWidth="1"/>
    <col min="170" max="170" width="4.85546875" style="249" bestFit="1" customWidth="1"/>
    <col min="171" max="171" width="7.7109375" style="289" bestFit="1" customWidth="1"/>
    <col min="172" max="172" width="5.5703125" style="249" bestFit="1" customWidth="1"/>
    <col min="173" max="173" width="4.85546875" style="249" bestFit="1" customWidth="1"/>
    <col min="174" max="174" width="9.28515625" style="289" bestFit="1" customWidth="1"/>
    <col min="175" max="175" width="5.5703125" style="249" bestFit="1" customWidth="1"/>
    <col min="176" max="176" width="10.140625" style="249" bestFit="1" customWidth="1"/>
    <col min="177" max="177" width="9.28515625" style="289" bestFit="1" customWidth="1"/>
    <col min="178" max="178" width="6.28515625" style="249" bestFit="1" customWidth="1"/>
    <col min="179" max="179" width="6.7109375" style="249" bestFit="1" customWidth="1"/>
    <col min="180" max="180" width="9.28515625" style="289" bestFit="1" customWidth="1"/>
    <col min="181" max="181" width="5.5703125" style="249" bestFit="1" customWidth="1"/>
    <col min="182" max="182" width="13.140625" style="249" bestFit="1" customWidth="1"/>
    <col min="183" max="183" width="11.28515625" style="289" bestFit="1" customWidth="1"/>
    <col min="184" max="184" width="10" style="249" bestFit="1" customWidth="1"/>
    <col min="185" max="185" width="11.42578125" style="249" bestFit="1" customWidth="1"/>
    <col min="186" max="186" width="9.28515625" style="289" bestFit="1" customWidth="1"/>
    <col min="187" max="187" width="6" style="249" bestFit="1" customWidth="1"/>
    <col min="188" max="188" width="12" style="249" bestFit="1" customWidth="1"/>
    <col min="189" max="189" width="9.28515625" style="289" bestFit="1" customWidth="1"/>
    <col min="190" max="190" width="5.5703125" style="249" bestFit="1" customWidth="1"/>
    <col min="191" max="191" width="12" style="249" bestFit="1" customWidth="1"/>
    <col min="192" max="192" width="9.28515625" style="289" bestFit="1" customWidth="1"/>
    <col min="193" max="193" width="6.28515625" style="249" bestFit="1" customWidth="1"/>
    <col min="194" max="194" width="12" style="249" bestFit="1" customWidth="1"/>
    <col min="195" max="195" width="10" style="289" bestFit="1" customWidth="1"/>
    <col min="196" max="196" width="7.85546875" style="249" bestFit="1" customWidth="1"/>
    <col min="197" max="197" width="12.7109375" style="249" bestFit="1" customWidth="1"/>
    <col min="198" max="198" width="11.28515625" style="289" bestFit="1" customWidth="1"/>
    <col min="199" max="199" width="10" style="249" bestFit="1" customWidth="1"/>
    <col min="200" max="200" width="10.85546875" style="249" bestFit="1" customWidth="1"/>
    <col min="201" max="201" width="9.28515625" style="289" bestFit="1" customWidth="1"/>
    <col min="202" max="202" width="6" style="249" bestFit="1" customWidth="1"/>
    <col min="203" max="203" width="12" style="249" bestFit="1" customWidth="1"/>
    <col min="204" max="204" width="9.28515625" style="289" bestFit="1" customWidth="1"/>
    <col min="205" max="205" width="5.5703125" style="249" bestFit="1" customWidth="1"/>
    <col min="206" max="206" width="12" style="249" bestFit="1" customWidth="1"/>
    <col min="207" max="207" width="9.28515625" style="289" bestFit="1" customWidth="1"/>
    <col min="208" max="208" width="6.28515625" style="249" bestFit="1" customWidth="1"/>
    <col min="209" max="209" width="12" style="249" bestFit="1" customWidth="1"/>
    <col min="210" max="210" width="10" style="289" bestFit="1" customWidth="1"/>
    <col min="211" max="212" width="7.85546875" style="249" bestFit="1" customWidth="1"/>
    <col min="213" max="213" width="9.28515625" style="289" bestFit="1" customWidth="1"/>
    <col min="214" max="214" width="6.28515625" style="249" bestFit="1" customWidth="1"/>
    <col min="215" max="16384" width="9.140625" style="53"/>
  </cols>
  <sheetData>
    <row r="1" spans="1:214" ht="21.75" customHeight="1" thickTop="1" thickBot="1" x14ac:dyDescent="0.25">
      <c r="A1" s="694" t="s">
        <v>280</v>
      </c>
      <c r="B1" s="695"/>
      <c r="C1" s="696"/>
      <c r="D1" s="612" t="s">
        <v>504</v>
      </c>
      <c r="E1" s="613"/>
      <c r="F1" s="614"/>
      <c r="G1" s="609" t="s">
        <v>505</v>
      </c>
      <c r="H1" s="610"/>
      <c r="I1" s="611"/>
      <c r="J1" s="606" t="s">
        <v>506</v>
      </c>
      <c r="K1" s="607"/>
      <c r="L1" s="608"/>
      <c r="M1" s="612" t="s">
        <v>511</v>
      </c>
      <c r="N1" s="613"/>
      <c r="O1" s="613"/>
      <c r="P1" s="645" t="s">
        <v>512</v>
      </c>
      <c r="Q1" s="613"/>
      <c r="R1" s="614"/>
      <c r="S1" s="613" t="s">
        <v>513</v>
      </c>
      <c r="T1" s="613"/>
      <c r="U1" s="614"/>
      <c r="V1" s="631" t="s">
        <v>517</v>
      </c>
      <c r="W1" s="632"/>
      <c r="X1" s="632"/>
      <c r="Y1" s="633" t="s">
        <v>518</v>
      </c>
      <c r="Z1" s="632"/>
      <c r="AA1" s="634"/>
      <c r="AB1" s="649" t="s">
        <v>521</v>
      </c>
      <c r="AC1" s="323" t="s">
        <v>3</v>
      </c>
      <c r="AD1" s="324" t="s">
        <v>4</v>
      </c>
      <c r="AE1" s="325" t="s">
        <v>1</v>
      </c>
      <c r="AF1" s="325" t="s">
        <v>477</v>
      </c>
      <c r="AG1" s="105" t="s">
        <v>478</v>
      </c>
      <c r="AH1" s="248"/>
      <c r="AI1" s="393" t="s">
        <v>522</v>
      </c>
      <c r="AJ1" s="394"/>
      <c r="AK1" s="395"/>
      <c r="AL1" s="396" t="s">
        <v>523</v>
      </c>
      <c r="AM1" s="394"/>
      <c r="AN1" s="395"/>
      <c r="AO1" s="396" t="s">
        <v>524</v>
      </c>
      <c r="AP1" s="394"/>
      <c r="AQ1" s="397"/>
      <c r="AR1" s="393" t="s">
        <v>525</v>
      </c>
      <c r="AS1" s="394"/>
      <c r="AT1" s="395"/>
      <c r="AU1" s="396" t="s">
        <v>526</v>
      </c>
      <c r="AV1" s="394"/>
      <c r="AW1" s="395"/>
      <c r="AX1" s="396" t="s">
        <v>527</v>
      </c>
      <c r="AY1" s="394"/>
      <c r="AZ1" s="397"/>
      <c r="BA1" s="393" t="s">
        <v>528</v>
      </c>
      <c r="BB1" s="394"/>
      <c r="BC1" s="395"/>
      <c r="BD1" s="396" t="s">
        <v>529</v>
      </c>
      <c r="BE1" s="394"/>
      <c r="BF1" s="395"/>
      <c r="BG1" s="396" t="s">
        <v>530</v>
      </c>
      <c r="BH1" s="394"/>
      <c r="BI1" s="397"/>
      <c r="BJ1" s="393" t="s">
        <v>531</v>
      </c>
      <c r="BK1" s="394"/>
      <c r="BL1" s="395"/>
      <c r="BM1" s="396" t="s">
        <v>565</v>
      </c>
      <c r="BN1" s="394"/>
      <c r="BO1" s="395"/>
      <c r="BP1" s="396" t="s">
        <v>564</v>
      </c>
      <c r="BQ1" s="394"/>
      <c r="BR1" s="397"/>
      <c r="BS1" s="409" t="s">
        <v>532</v>
      </c>
      <c r="BT1" s="407"/>
      <c r="BU1" s="414"/>
      <c r="BV1" s="598" t="s">
        <v>533</v>
      </c>
      <c r="BW1" s="599"/>
      <c r="BX1" s="600"/>
      <c r="BY1" s="601" t="s">
        <v>534</v>
      </c>
      <c r="BZ1" s="602"/>
      <c r="CA1" s="602"/>
      <c r="CB1" s="409" t="s">
        <v>535</v>
      </c>
      <c r="CC1" s="407"/>
      <c r="CD1" s="407"/>
      <c r="CE1" s="406" t="s">
        <v>536</v>
      </c>
      <c r="CF1" s="407"/>
      <c r="CG1" s="414"/>
      <c r="CH1" s="407" t="s">
        <v>537</v>
      </c>
      <c r="CI1" s="407"/>
      <c r="CJ1" s="408"/>
      <c r="CK1" s="409" t="s">
        <v>538</v>
      </c>
      <c r="CL1" s="407"/>
      <c r="CM1" s="407"/>
      <c r="CN1" s="406" t="s">
        <v>538</v>
      </c>
      <c r="CO1" s="407"/>
      <c r="CP1" s="414"/>
      <c r="CQ1" s="407" t="s">
        <v>538</v>
      </c>
      <c r="CR1" s="407"/>
      <c r="CS1" s="408"/>
      <c r="CT1" s="593" t="s">
        <v>539</v>
      </c>
      <c r="CU1" s="593"/>
      <c r="CV1" s="594"/>
      <c r="CW1" s="595" t="s">
        <v>540</v>
      </c>
      <c r="CX1" s="596"/>
      <c r="CY1" s="597"/>
      <c r="CZ1" s="575" t="s">
        <v>541</v>
      </c>
      <c r="DA1" s="576"/>
      <c r="DB1" s="577"/>
      <c r="DC1" s="578" t="s">
        <v>542</v>
      </c>
      <c r="DD1" s="579"/>
      <c r="DE1" s="580"/>
      <c r="DF1" s="581" t="s">
        <v>543</v>
      </c>
      <c r="DG1" s="568"/>
      <c r="DH1" s="582"/>
      <c r="DI1" s="567" t="s">
        <v>204</v>
      </c>
      <c r="DJ1" s="568"/>
      <c r="DK1" s="582"/>
      <c r="DL1" s="567" t="s">
        <v>544</v>
      </c>
      <c r="DM1" s="568"/>
      <c r="DN1" s="582"/>
      <c r="DO1" s="567" t="s">
        <v>544</v>
      </c>
      <c r="DP1" s="568"/>
      <c r="DQ1" s="569"/>
      <c r="DR1" s="570" t="s">
        <v>545</v>
      </c>
      <c r="DS1" s="571"/>
      <c r="DT1" s="572"/>
      <c r="DU1" s="573" t="s">
        <v>543</v>
      </c>
      <c r="DV1" s="560"/>
      <c r="DW1" s="574"/>
      <c r="DX1" s="559" t="s">
        <v>204</v>
      </c>
      <c r="DY1" s="560"/>
      <c r="DZ1" s="574"/>
      <c r="EA1" s="559" t="s">
        <v>544</v>
      </c>
      <c r="EB1" s="560"/>
      <c r="EC1" s="574"/>
      <c r="ED1" s="559" t="s">
        <v>544</v>
      </c>
      <c r="EE1" s="560"/>
      <c r="EF1" s="561"/>
      <c r="EG1" s="562" t="s">
        <v>546</v>
      </c>
      <c r="EH1" s="563"/>
      <c r="EI1" s="564"/>
      <c r="EJ1" s="565" t="s">
        <v>543</v>
      </c>
      <c r="EK1" s="549"/>
      <c r="EL1" s="566"/>
      <c r="EM1" s="548" t="s">
        <v>204</v>
      </c>
      <c r="EN1" s="549"/>
      <c r="EO1" s="566"/>
      <c r="EP1" s="548" t="s">
        <v>544</v>
      </c>
      <c r="EQ1" s="549"/>
      <c r="ER1" s="566"/>
      <c r="ES1" s="548" t="s">
        <v>544</v>
      </c>
      <c r="ET1" s="549"/>
      <c r="EU1" s="550"/>
      <c r="EV1" s="551" t="s">
        <v>547</v>
      </c>
      <c r="EW1" s="552"/>
      <c r="EX1" s="553"/>
      <c r="EY1" s="554" t="s">
        <v>543</v>
      </c>
      <c r="EZ1" s="539"/>
      <c r="FA1" s="555"/>
      <c r="FB1" s="538" t="s">
        <v>204</v>
      </c>
      <c r="FC1" s="539"/>
      <c r="FD1" s="555"/>
      <c r="FE1" s="538" t="s">
        <v>544</v>
      </c>
      <c r="FF1" s="539"/>
      <c r="FG1" s="555"/>
      <c r="FH1" s="538" t="s">
        <v>544</v>
      </c>
      <c r="FI1" s="539"/>
      <c r="FJ1" s="540"/>
      <c r="FK1" s="541" t="s">
        <v>548</v>
      </c>
      <c r="FL1" s="542"/>
      <c r="FM1" s="543"/>
      <c r="FN1" s="544" t="s">
        <v>543</v>
      </c>
      <c r="FO1" s="545"/>
      <c r="FP1" s="546"/>
      <c r="FQ1" s="547" t="s">
        <v>204</v>
      </c>
      <c r="FR1" s="545"/>
      <c r="FS1" s="546"/>
      <c r="FT1" s="547" t="s">
        <v>544</v>
      </c>
      <c r="FU1" s="545"/>
      <c r="FV1" s="546"/>
      <c r="FW1" s="547" t="s">
        <v>544</v>
      </c>
      <c r="FX1" s="545"/>
      <c r="FY1" s="664"/>
      <c r="FZ1" s="533" t="s">
        <v>549</v>
      </c>
      <c r="GA1" s="534"/>
      <c r="GB1" s="535"/>
      <c r="GC1" s="536" t="s">
        <v>543</v>
      </c>
      <c r="GD1" s="526"/>
      <c r="GE1" s="537"/>
      <c r="GF1" s="525" t="s">
        <v>204</v>
      </c>
      <c r="GG1" s="526"/>
      <c r="GH1" s="537"/>
      <c r="GI1" s="525" t="s">
        <v>544</v>
      </c>
      <c r="GJ1" s="526"/>
      <c r="GK1" s="537"/>
      <c r="GL1" s="525" t="s">
        <v>544</v>
      </c>
      <c r="GM1" s="526"/>
      <c r="GN1" s="527"/>
      <c r="GO1" s="528" t="s">
        <v>550</v>
      </c>
      <c r="GP1" s="529"/>
      <c r="GQ1" s="530"/>
      <c r="GR1" s="531" t="s">
        <v>543</v>
      </c>
      <c r="GS1" s="520"/>
      <c r="GT1" s="532"/>
      <c r="GU1" s="519" t="s">
        <v>204</v>
      </c>
      <c r="GV1" s="520"/>
      <c r="GW1" s="532"/>
      <c r="GX1" s="519" t="s">
        <v>544</v>
      </c>
      <c r="GY1" s="520"/>
      <c r="GZ1" s="532"/>
      <c r="HA1" s="519" t="s">
        <v>544</v>
      </c>
      <c r="HB1" s="520"/>
      <c r="HC1" s="521"/>
      <c r="HD1" s="522" t="s">
        <v>551</v>
      </c>
      <c r="HE1" s="523"/>
      <c r="HF1" s="524"/>
    </row>
    <row r="2" spans="1:214" ht="14.25" customHeight="1" thickTop="1" thickBot="1" x14ac:dyDescent="0.25">
      <c r="A2" s="589" t="s">
        <v>295</v>
      </c>
      <c r="B2" s="590"/>
      <c r="C2" s="591"/>
      <c r="D2" s="317"/>
      <c r="E2" s="202"/>
      <c r="F2" s="253"/>
      <c r="G2" s="627" t="s">
        <v>507</v>
      </c>
      <c r="H2" s="623">
        <f>1/((1/H11)+(1/H12))</f>
        <v>1.4363354023612067E-2</v>
      </c>
      <c r="I2" s="625" t="s">
        <v>304</v>
      </c>
      <c r="J2" s="619" t="s">
        <v>507</v>
      </c>
      <c r="K2" s="623">
        <f>1/((1/K15)+(1/K16))</f>
        <v>4348.8737796390033</v>
      </c>
      <c r="L2" s="621" t="s">
        <v>303</v>
      </c>
      <c r="M2" s="617" t="s">
        <v>516</v>
      </c>
      <c r="N2" s="647">
        <f>((N5*N6*N7)/((1-EXP(-N7*N6))*N10*N15*(N9/365)*N13*(((N14/24)*N12)+((N16/24)*N11))))/N17</f>
        <v>4350.0003863964484</v>
      </c>
      <c r="O2" s="615" t="s">
        <v>303</v>
      </c>
      <c r="P2" s="639" t="s">
        <v>516</v>
      </c>
      <c r="Q2" s="647">
        <f>((Q5*Q6*Q7)/((1-EXP(-Q7*Q6))*Q10*Q15*(Q9/365)*Q13*(((Q14/24)*Q12)+((Q16/24)*Q11))))/Q17</f>
        <v>20639.726964250167</v>
      </c>
      <c r="R2" s="637" t="s">
        <v>303</v>
      </c>
      <c r="S2" s="641" t="s">
        <v>516</v>
      </c>
      <c r="T2" s="647">
        <f>((T5*T6*T7)/((1-EXP(-T7*T6))*T10*T15*(T9/365)*T13*(((T14/24)*T12)+((T16/24)*T11))))/T17</f>
        <v>4778.4095153597345</v>
      </c>
      <c r="U2" s="643" t="s">
        <v>303</v>
      </c>
      <c r="V2" s="55"/>
      <c r="W2" s="357"/>
      <c r="X2" s="56"/>
      <c r="Y2" s="57"/>
      <c r="Z2" s="357"/>
      <c r="AA2" s="58"/>
      <c r="AB2" s="650"/>
      <c r="AC2" s="660">
        <f>1/((1/AC33)+(1/AC34))</f>
        <v>6330.4549230848097</v>
      </c>
      <c r="AD2" s="660">
        <f>1/((1/AD33)+(1/AD34))</f>
        <v>15818.914158628691</v>
      </c>
      <c r="AE2" s="660">
        <f>1/((1/AE33)+(1/AE34))</f>
        <v>7033.8388034275658</v>
      </c>
      <c r="AF2" s="660">
        <f>1/((1/AF33)+(1/AF34))</f>
        <v>20766.340294978101</v>
      </c>
      <c r="AG2" s="660">
        <f>1/((1/AG33)+(1/AG34))</f>
        <v>193640.20566153305</v>
      </c>
      <c r="AH2" s="652" t="s">
        <v>303</v>
      </c>
      <c r="AI2" s="381" t="s">
        <v>516</v>
      </c>
      <c r="AJ2" s="387">
        <f>((AJ5*AJ6*AJ7)/((1-EXP(-AJ7*AJ6))*AJ15*(AJ9/365)*AJ10*(AJ16/24)*AJ11*AJ13))/AJ17</f>
        <v>15830.956406212597</v>
      </c>
      <c r="AK2" s="629" t="s">
        <v>303</v>
      </c>
      <c r="AL2" s="383" t="s">
        <v>516</v>
      </c>
      <c r="AM2" s="387">
        <f>((AM5*AM6*AM7)/((1-EXP(-AM7*AM6))*AM15*(AM9/365)*AM10*(AM16/24)*AM11*AM13))/AM17</f>
        <v>75114.158340995622</v>
      </c>
      <c r="AN2" s="629" t="s">
        <v>303</v>
      </c>
      <c r="AO2" s="383" t="s">
        <v>516</v>
      </c>
      <c r="AP2" s="387">
        <f>((AP5*AP6*AP7)/((1-EXP(-AP7*AP6))*AP15*(AP9/365)*AP10*(AP16/24)*AP11*AP13))/AP17</f>
        <v>17390.065749248683</v>
      </c>
      <c r="AQ2" s="635" t="s">
        <v>303</v>
      </c>
      <c r="AR2" s="381" t="s">
        <v>516</v>
      </c>
      <c r="AS2" s="387">
        <f>((AS5*AS6*AS7)/((1-EXP(-AS7*AS6))*AS15*(AS9/365)*AS10*(AS14/24)*AS12*AS13))/AS17</f>
        <v>7035.9806249833764</v>
      </c>
      <c r="AT2" s="391" t="s">
        <v>303</v>
      </c>
      <c r="AU2" s="383" t="s">
        <v>516</v>
      </c>
      <c r="AV2" s="387">
        <f>((AV5*AV6*AV7)/((1-EXP(-AV7*AV6))*AV15*(AV9/365)*AV10*(AV14/24)*AV12*AV13))/AV17</f>
        <v>33384.07037377583</v>
      </c>
      <c r="AW2" s="391" t="s">
        <v>303</v>
      </c>
      <c r="AX2" s="383" t="s">
        <v>516</v>
      </c>
      <c r="AY2" s="387">
        <f>((AY5*AY6*AY7)/((1-EXP(-AY7*AY6))*AY15*(AY9/365)*AY10*(AY14/24)*AY12*AY13))/AY17</f>
        <v>7728.9181107771929</v>
      </c>
      <c r="AZ2" s="385" t="s">
        <v>303</v>
      </c>
      <c r="BA2" s="381" t="s">
        <v>516</v>
      </c>
      <c r="BB2" s="387">
        <f>((BB5*BB6*BB7)/((1-EXP(-BB7*BB6))*BB15*(BB9/365)*BB10*((BB14+BB16)/24)*BB12*BB13))/BB17</f>
        <v>6332.3825624850379</v>
      </c>
      <c r="BC2" s="391" t="s">
        <v>303</v>
      </c>
      <c r="BD2" s="383" t="s">
        <v>516</v>
      </c>
      <c r="BE2" s="387">
        <f>((BE5*BE6*BE7)/((1-EXP(-BE7*BE6))*BE15*(BE9/365)*BE10*((BE14+BE16)/24)*BE12*BE13))/BE17</f>
        <v>30045.663336398247</v>
      </c>
      <c r="BF2" s="391" t="s">
        <v>303</v>
      </c>
      <c r="BG2" s="383" t="s">
        <v>516</v>
      </c>
      <c r="BH2" s="387">
        <f>((BH5*BH6*BH7)/((1-EXP(-BH7*BH6))*BH15*(BH9/365)*BH10*((BH14+BH16)/24)*BH12*BH13))/BH17</f>
        <v>6956.0262996994743</v>
      </c>
      <c r="BI2" s="385" t="s">
        <v>303</v>
      </c>
      <c r="BJ2" s="381" t="s">
        <v>558</v>
      </c>
      <c r="BK2" s="389">
        <f>((BK5*BK6*BK7)/((1-EXP(-BK7*BK6))*BK12*BK16*(BK9/365)*BK14*(BK15/24)*BK13))/BK17</f>
        <v>236882.56251964069</v>
      </c>
      <c r="BL2" s="391" t="s">
        <v>303</v>
      </c>
      <c r="BM2" s="383" t="s">
        <v>559</v>
      </c>
      <c r="BN2" s="389">
        <f>((BN5*BN6*BN7)/((1-EXP(-BN7*BN6))*BN12*BN16*(BN9/365)*BN14*(BN15/24)*BN13))/BN17</f>
        <v>2396024.1260943757</v>
      </c>
      <c r="BO2" s="391" t="s">
        <v>303</v>
      </c>
      <c r="BP2" s="383" t="s">
        <v>560</v>
      </c>
      <c r="BQ2" s="389">
        <f>((BQ5*BQ6*BQ7)/((1-EXP(-BQ7*BQ6))*BQ12*BQ16*(BQ9/365)*BQ14*(BQ15/24)*BQ13))/BQ17</f>
        <v>326758.58492926497</v>
      </c>
      <c r="BR2" s="385" t="s">
        <v>303</v>
      </c>
      <c r="BS2" s="59"/>
      <c r="BT2" s="110"/>
      <c r="BU2" s="250"/>
      <c r="BV2" s="402" t="s">
        <v>563</v>
      </c>
      <c r="BW2" s="400" t="e">
        <f>1/((1/BW10)+(1/BW11))</f>
        <v>#DIV/0!</v>
      </c>
      <c r="BX2" s="404" t="s">
        <v>304</v>
      </c>
      <c r="BY2" s="402" t="s">
        <v>563</v>
      </c>
      <c r="BZ2" s="400" t="e">
        <f>1/((1/BZ13)+(1/BZ14)+(1/BZ15))</f>
        <v>#DIV/0!</v>
      </c>
      <c r="CA2" s="398" t="s">
        <v>303</v>
      </c>
      <c r="CB2" s="410" t="s">
        <v>558</v>
      </c>
      <c r="CC2" s="400">
        <f>((CC5*CC6*CC7)/((1-EXP(-CC7*CC6))*CC10*CC14*(CC9/365)*CC12*(CC13/24)*CC11))/CC15</f>
        <v>3284771.5336056841</v>
      </c>
      <c r="CD2" s="404" t="s">
        <v>303</v>
      </c>
      <c r="CE2" s="402" t="s">
        <v>559</v>
      </c>
      <c r="CF2" s="400">
        <f>((CF5*CF6*CF7)/((1-EXP(-CF7*CF6))*CF10*CF14*(CF9/365)*CF12*(CF13/24)*CF11))/CF15</f>
        <v>33224867.88184201</v>
      </c>
      <c r="CG2" s="404" t="s">
        <v>303</v>
      </c>
      <c r="CH2" s="402" t="s">
        <v>560</v>
      </c>
      <c r="CI2" s="400">
        <f>((CI5*CI6*CI7)/((1-EXP(-CI7*CI6))*CI10*CI14*(CI9/365)*CI12*(CI13/24)*CI11))/CI15</f>
        <v>4531052.3776858076</v>
      </c>
      <c r="CJ2" s="398" t="s">
        <v>303</v>
      </c>
      <c r="CK2" s="410" t="s">
        <v>510</v>
      </c>
      <c r="CL2" s="400" t="e">
        <f>(CL5/(CL6*CL7*CL8*CL9))/CL10</f>
        <v>#DIV/0!</v>
      </c>
      <c r="CM2" s="404" t="s">
        <v>303</v>
      </c>
      <c r="CN2" s="402" t="s">
        <v>7</v>
      </c>
      <c r="CO2" s="400" t="e">
        <f>(CL2/(CO5*((CO10*CO12*CO13*(CO6+CO7))+(CO11*CO12))))*CL13</f>
        <v>#DIV/0!</v>
      </c>
      <c r="CP2" s="412" t="s">
        <v>303</v>
      </c>
      <c r="CQ2" s="402" t="s">
        <v>6</v>
      </c>
      <c r="CR2" s="400" t="e">
        <f>CL2/(CR5*CR6*(1/CR7))</f>
        <v>#DIV/0!</v>
      </c>
      <c r="CS2" s="415" t="s">
        <v>304</v>
      </c>
      <c r="CT2" s="208"/>
      <c r="CU2" s="61"/>
      <c r="CV2" s="62"/>
      <c r="CW2" s="63"/>
      <c r="CX2" s="151"/>
      <c r="CY2" s="64"/>
      <c r="CZ2" s="65"/>
      <c r="DA2" s="66"/>
      <c r="DB2" s="67"/>
      <c r="DC2" s="676" t="s">
        <v>510</v>
      </c>
      <c r="DD2" s="674" t="e">
        <f>((DD5)/(DD6*(DD7+DD10)*DD20))/DD23</f>
        <v>#DIV/0!</v>
      </c>
      <c r="DE2" s="672" t="s">
        <v>303</v>
      </c>
      <c r="DF2" s="670" t="s">
        <v>510</v>
      </c>
      <c r="DG2" s="668" t="e">
        <f>(DD2/((1/DG24)*(DG5+DG6+DG7)))</f>
        <v>#DIV/0!</v>
      </c>
      <c r="DH2" s="666" t="s">
        <v>304</v>
      </c>
      <c r="DI2" s="680" t="s">
        <v>510</v>
      </c>
      <c r="DJ2" s="668" t="e">
        <f>(DD2/(DJ5+DJ6))*CU11</f>
        <v>#DIV/0!</v>
      </c>
      <c r="DK2" s="666" t="s">
        <v>304</v>
      </c>
      <c r="DL2" s="680" t="s">
        <v>554</v>
      </c>
      <c r="DM2" s="668" t="e">
        <f>(DD2/(DM5+DM6))*((DM9*DD21)/(1-EXP(-DD21*DM9)))</f>
        <v>#DIV/0!</v>
      </c>
      <c r="DN2" s="666" t="s">
        <v>304</v>
      </c>
      <c r="DO2" s="680" t="s">
        <v>553</v>
      </c>
      <c r="DP2" s="668">
        <f>-(DP5+DP6+DP7)/(DP23+DP24)</f>
        <v>-3.186299176558379</v>
      </c>
      <c r="DQ2" s="678" t="s">
        <v>19</v>
      </c>
      <c r="DR2" s="556" t="s">
        <v>510</v>
      </c>
      <c r="DS2" s="460" t="e">
        <f>(DS5/(DS6*DS7*DS16))/DS20</f>
        <v>#DIV/0!</v>
      </c>
      <c r="DT2" s="466" t="s">
        <v>303</v>
      </c>
      <c r="DU2" s="464" t="s">
        <v>510</v>
      </c>
      <c r="DV2" s="462" t="e">
        <f>DS2/(DV5*(1/DV8)*DV6*(1/DV7))</f>
        <v>#DIV/0!</v>
      </c>
      <c r="DW2" s="480" t="s">
        <v>304</v>
      </c>
      <c r="DX2" s="478" t="s">
        <v>510</v>
      </c>
      <c r="DY2" s="462" t="e">
        <f>(DS2/(DY9*(1/DY14)*((DY10*DY12*DY13*(DY5+DY6))+(DY11*DY12))))*CU11</f>
        <v>#DIV/0!</v>
      </c>
      <c r="DZ2" s="480" t="s">
        <v>304</v>
      </c>
      <c r="EA2" s="478" t="s">
        <v>554</v>
      </c>
      <c r="EB2" s="462" t="e">
        <f>(DS2/(EB9*(1/EB14)*((EB10*EB12*EB13*(EB5+EB6))+(EB11*EB12))))*((EB15*DS18)/(1-EXP(-DS18*EB15)))</f>
        <v>#DIV/0!</v>
      </c>
      <c r="EC2" s="480" t="s">
        <v>304</v>
      </c>
      <c r="ED2" s="478" t="s">
        <v>553</v>
      </c>
      <c r="EE2" s="462">
        <f>-EE15/((EE10*EE12*EE13*(EE5+EE6))+(EE11*EE12))</f>
        <v>-16.803652968036527</v>
      </c>
      <c r="EF2" s="476" t="s">
        <v>19</v>
      </c>
      <c r="EG2" s="474" t="s">
        <v>510</v>
      </c>
      <c r="EH2" s="472" t="e">
        <f>(EH5/(EH6*EH7*EH16))/EH20</f>
        <v>#DIV/0!</v>
      </c>
      <c r="EI2" s="470" t="s">
        <v>303</v>
      </c>
      <c r="EJ2" s="468" t="s">
        <v>510</v>
      </c>
      <c r="EK2" s="502" t="e">
        <f>EH2/(EK5*EK6*(1/EK7))</f>
        <v>#DIV/0!</v>
      </c>
      <c r="EL2" s="500" t="s">
        <v>304</v>
      </c>
      <c r="EM2" s="504" t="s">
        <v>510</v>
      </c>
      <c r="EN2" s="502" t="e">
        <f>(EH2/(EN9*((EN10*EN12*EN13*(EN5+EN6))+(EN11*EN12))))*CU11</f>
        <v>#DIV/0!</v>
      </c>
      <c r="EO2" s="500" t="s">
        <v>303</v>
      </c>
      <c r="EP2" s="504" t="s">
        <v>554</v>
      </c>
      <c r="EQ2" s="502" t="e">
        <f>(EH2/(EQ9*((EQ10*EQ12*EQ13*(EQ5+EQ6))+(EQ11*EQ12))))*((EQ14*EH18)/(1-EXP(-EH18*EQ14)))</f>
        <v>#DIV/0!</v>
      </c>
      <c r="ER2" s="500" t="s">
        <v>304</v>
      </c>
      <c r="ES2" s="504" t="s">
        <v>553</v>
      </c>
      <c r="ET2" s="502">
        <f>-ET15/((ET10*ET12*ET13*(ET5+ET6))+(ET11*ET12))</f>
        <v>-15.395787944807553</v>
      </c>
      <c r="EU2" s="514" t="s">
        <v>19</v>
      </c>
      <c r="EV2" s="512" t="s">
        <v>510</v>
      </c>
      <c r="EW2" s="510" t="e">
        <f>(EW5/(EW6*EW7*EW16))/EW20</f>
        <v>#DIV/0!</v>
      </c>
      <c r="EX2" s="508" t="s">
        <v>303</v>
      </c>
      <c r="EY2" s="506" t="s">
        <v>510</v>
      </c>
      <c r="EZ2" s="494" t="e">
        <f>EW2/(EZ5*EZ6*(1/EZ7))</f>
        <v>#DIV/0!</v>
      </c>
      <c r="FA2" s="498" t="s">
        <v>304</v>
      </c>
      <c r="FB2" s="496" t="s">
        <v>510</v>
      </c>
      <c r="FC2" s="494" t="e">
        <f>(EW2/(FC9*((FC10*FC12*FC13*(FC5+FC6))+(FC11*FC12))))*CU11</f>
        <v>#DIV/0!</v>
      </c>
      <c r="FD2" s="498" t="s">
        <v>303</v>
      </c>
      <c r="FE2" s="496" t="s">
        <v>554</v>
      </c>
      <c r="FF2" s="494" t="e">
        <f>(EW2/(FF9*((FF10*FF12*FF13*(FF5+FF6))+(FF11*FF12))))*((FF14*EW18)/(1-EXP(-EW18*FF14)))</f>
        <v>#DIV/0!</v>
      </c>
      <c r="FG2" s="498" t="s">
        <v>304</v>
      </c>
      <c r="FH2" s="496" t="s">
        <v>553</v>
      </c>
      <c r="FI2" s="494">
        <f>-FI15/((FI10*FI12*FI13*(FI5+FI6))+(FI11*FI12))</f>
        <v>-5.5555555555555554</v>
      </c>
      <c r="FJ2" s="492" t="s">
        <v>19</v>
      </c>
      <c r="FK2" s="490" t="s">
        <v>510</v>
      </c>
      <c r="FL2" s="488" t="e">
        <f>(FL5/(FL6*FL7*FL16))/FL20</f>
        <v>#DIV/0!</v>
      </c>
      <c r="FM2" s="486" t="s">
        <v>303</v>
      </c>
      <c r="FN2" s="484" t="s">
        <v>510</v>
      </c>
      <c r="FO2" s="430" t="e">
        <f>FL2/(FO5*(1/FO6))</f>
        <v>#DIV/0!</v>
      </c>
      <c r="FP2" s="428" t="s">
        <v>304</v>
      </c>
      <c r="FQ2" s="482" t="s">
        <v>510</v>
      </c>
      <c r="FR2" s="430" t="e">
        <f>((FL2*FR6)/FR5)*CU11</f>
        <v>#DIV/0!</v>
      </c>
      <c r="FS2" s="428" t="s">
        <v>303</v>
      </c>
      <c r="FT2" s="426" t="s">
        <v>554</v>
      </c>
      <c r="FU2" s="430" t="e">
        <f>((FL2*FU6)/FU5)*((FU7*FL18)/(1-EXP(-FL18*FU7)))</f>
        <v>#DIV/0!</v>
      </c>
      <c r="FV2" s="428" t="s">
        <v>304</v>
      </c>
      <c r="FW2" s="426" t="s">
        <v>553</v>
      </c>
      <c r="FX2" s="430">
        <f>-FX5/FX6</f>
        <v>0</v>
      </c>
      <c r="FY2" s="438" t="s">
        <v>19</v>
      </c>
      <c r="FZ2" s="436" t="s">
        <v>510</v>
      </c>
      <c r="GA2" s="434" t="e">
        <f>(GA5/(GA6*GA7*GA16))/GA20</f>
        <v>#DIV/0!</v>
      </c>
      <c r="GB2" s="432" t="s">
        <v>303</v>
      </c>
      <c r="GC2" s="458" t="s">
        <v>510</v>
      </c>
      <c r="GD2" s="417" t="e">
        <f>(GA2/(GD5*GD6*(1/GD7)))</f>
        <v>#DIV/0!</v>
      </c>
      <c r="GE2" s="421" t="s">
        <v>304</v>
      </c>
      <c r="GF2" s="419" t="s">
        <v>510</v>
      </c>
      <c r="GG2" s="417" t="e">
        <f>(GA2/((GG9)*((GG10*GG12*GG13*(GG5+GG6))+(GG11*GG12))))*CU11</f>
        <v>#DIV/0!</v>
      </c>
      <c r="GH2" s="421" t="s">
        <v>303</v>
      </c>
      <c r="GI2" s="419" t="s">
        <v>554</v>
      </c>
      <c r="GJ2" s="417" t="e">
        <f>(GA2/((GJ9)*((GJ10*GJ12*GJ13*(GJ5+GJ6))+(GJ11*GJ12))))*((GJ14*GA18)/(1-EXP(-GA18*GJ14)))</f>
        <v>#DIV/0!</v>
      </c>
      <c r="GK2" s="421" t="s">
        <v>304</v>
      </c>
      <c r="GL2" s="419" t="s">
        <v>553</v>
      </c>
      <c r="GM2" s="417">
        <f>-GM15/((GM10*GM12*GM13*(GM5+GM6))+(GM11*GM12))</f>
        <v>-5.5555555555555554</v>
      </c>
      <c r="GN2" s="456" t="s">
        <v>19</v>
      </c>
      <c r="GO2" s="454" t="s">
        <v>510</v>
      </c>
      <c r="GP2" s="452" t="e">
        <f>(GP5/(GP6*GP7*GP15))/GP19</f>
        <v>#DIV/0!</v>
      </c>
      <c r="GQ2" s="450" t="s">
        <v>303</v>
      </c>
      <c r="GR2" s="448" t="s">
        <v>510</v>
      </c>
      <c r="GS2" s="442" t="e">
        <f>GP2/(GS5*GS6*(1/GS7))</f>
        <v>#DIV/0!</v>
      </c>
      <c r="GT2" s="446" t="s">
        <v>304</v>
      </c>
      <c r="GU2" s="444" t="s">
        <v>510</v>
      </c>
      <c r="GV2" s="442" t="e">
        <f>(GP2/((GV9)*((GV10*GV12*GV13*(GV5+GV6))+(GV11*GV12))))*CU11</f>
        <v>#DIV/0!</v>
      </c>
      <c r="GW2" s="446" t="s">
        <v>303</v>
      </c>
      <c r="GX2" s="444" t="s">
        <v>554</v>
      </c>
      <c r="GY2" s="442" t="e">
        <f>(GP2/((GY9)*((GY10*GY12*GY13*(GY5+GY6))+(GY11*GY12))))*((GY14*GP17)/(1-EXP(-GP17*GY14)))</f>
        <v>#DIV/0!</v>
      </c>
      <c r="GZ2" s="446" t="s">
        <v>304</v>
      </c>
      <c r="HA2" s="444" t="s">
        <v>553</v>
      </c>
      <c r="HB2" s="442">
        <f>-HB15/((HB10*HB12*HB13*(HB5+HB6))+(HB11*HB12))</f>
        <v>-7.3786407766990294</v>
      </c>
      <c r="HC2" s="440" t="s">
        <v>19</v>
      </c>
      <c r="HD2" s="251"/>
      <c r="HE2" s="350"/>
      <c r="HF2" s="252"/>
    </row>
    <row r="3" spans="1:214" ht="13.5" customHeight="1" thickTop="1" x14ac:dyDescent="0.2">
      <c r="A3" s="278" t="s">
        <v>456</v>
      </c>
      <c r="B3" s="54">
        <v>6.8000000000000005E-2</v>
      </c>
      <c r="C3" s="240"/>
      <c r="D3" s="317" t="s">
        <v>15</v>
      </c>
      <c r="E3" s="285">
        <f>1/((1/E20)+(1/E21))</f>
        <v>7.1816206138906888E-3</v>
      </c>
      <c r="F3" s="253" t="s">
        <v>302</v>
      </c>
      <c r="G3" s="627"/>
      <c r="H3" s="623"/>
      <c r="I3" s="625"/>
      <c r="J3" s="619"/>
      <c r="K3" s="623"/>
      <c r="L3" s="621"/>
      <c r="M3" s="617"/>
      <c r="N3" s="647"/>
      <c r="O3" s="615"/>
      <c r="P3" s="639"/>
      <c r="Q3" s="647"/>
      <c r="R3" s="637"/>
      <c r="S3" s="641"/>
      <c r="T3" s="647"/>
      <c r="U3" s="643"/>
      <c r="V3" s="319" t="s">
        <v>16</v>
      </c>
      <c r="W3" s="358">
        <f>1/((1/W18)+(1/W19))</f>
        <v>16.998211525756677</v>
      </c>
      <c r="X3" s="254" t="s">
        <v>302</v>
      </c>
      <c r="Y3" s="321" t="s">
        <v>16</v>
      </c>
      <c r="Z3" s="358">
        <f>1/((1/Z18)+(1/Z19))</f>
        <v>15.298390373181009</v>
      </c>
      <c r="AA3" s="255" t="s">
        <v>302</v>
      </c>
      <c r="AB3" s="650"/>
      <c r="AC3" s="661"/>
      <c r="AD3" s="661"/>
      <c r="AE3" s="661"/>
      <c r="AF3" s="661"/>
      <c r="AG3" s="661"/>
      <c r="AH3" s="652"/>
      <c r="AI3" s="381"/>
      <c r="AJ3" s="387"/>
      <c r="AK3" s="629"/>
      <c r="AL3" s="383"/>
      <c r="AM3" s="387"/>
      <c r="AN3" s="629"/>
      <c r="AO3" s="383"/>
      <c r="AP3" s="387"/>
      <c r="AQ3" s="635"/>
      <c r="AR3" s="381"/>
      <c r="AS3" s="387"/>
      <c r="AT3" s="391"/>
      <c r="AU3" s="383"/>
      <c r="AV3" s="387"/>
      <c r="AW3" s="391"/>
      <c r="AX3" s="383"/>
      <c r="AY3" s="387"/>
      <c r="AZ3" s="385"/>
      <c r="BA3" s="381"/>
      <c r="BB3" s="387"/>
      <c r="BC3" s="391"/>
      <c r="BD3" s="383"/>
      <c r="BE3" s="387"/>
      <c r="BF3" s="391"/>
      <c r="BG3" s="383"/>
      <c r="BH3" s="387"/>
      <c r="BI3" s="385"/>
      <c r="BJ3" s="381"/>
      <c r="BK3" s="389"/>
      <c r="BL3" s="391"/>
      <c r="BM3" s="383"/>
      <c r="BN3" s="389"/>
      <c r="BO3" s="391"/>
      <c r="BP3" s="383"/>
      <c r="BQ3" s="389"/>
      <c r="BR3" s="385"/>
      <c r="BS3" s="330" t="s">
        <v>15</v>
      </c>
      <c r="BT3" s="332">
        <f>1/((1/BT21)+(1/BT22))</f>
        <v>0.80434150875575705</v>
      </c>
      <c r="BU3" s="250" t="s">
        <v>302</v>
      </c>
      <c r="BV3" s="402"/>
      <c r="BW3" s="400"/>
      <c r="BX3" s="404"/>
      <c r="BY3" s="402"/>
      <c r="BZ3" s="400"/>
      <c r="CA3" s="398"/>
      <c r="CB3" s="410"/>
      <c r="CC3" s="400"/>
      <c r="CD3" s="404"/>
      <c r="CE3" s="402"/>
      <c r="CF3" s="400"/>
      <c r="CG3" s="404"/>
      <c r="CH3" s="402"/>
      <c r="CI3" s="400"/>
      <c r="CJ3" s="398"/>
      <c r="CK3" s="410"/>
      <c r="CL3" s="400"/>
      <c r="CM3" s="404"/>
      <c r="CN3" s="402"/>
      <c r="CO3" s="400"/>
      <c r="CP3" s="412"/>
      <c r="CQ3" s="402"/>
      <c r="CR3" s="400"/>
      <c r="CS3" s="415"/>
      <c r="CT3" s="226" t="s">
        <v>285</v>
      </c>
      <c r="CU3" s="334">
        <f>1/((1/CU15)+(1/CU16))</f>
        <v>2237.3108884964704</v>
      </c>
      <c r="CV3" s="71" t="s">
        <v>303</v>
      </c>
      <c r="CW3" s="326" t="s">
        <v>15</v>
      </c>
      <c r="CX3" s="117">
        <f>1/((1/CX20)+(1/CX21))</f>
        <v>4.4642521826576877E-3</v>
      </c>
      <c r="CY3" s="256" t="s">
        <v>302</v>
      </c>
      <c r="CZ3" s="338" t="s">
        <v>285</v>
      </c>
      <c r="DA3" s="336">
        <f>1/((1/DA14)+(1/DA15))</f>
        <v>8.9285714202875961E-3</v>
      </c>
      <c r="DB3" s="72" t="s">
        <v>303</v>
      </c>
      <c r="DC3" s="676"/>
      <c r="DD3" s="674"/>
      <c r="DE3" s="672"/>
      <c r="DF3" s="670"/>
      <c r="DG3" s="668"/>
      <c r="DH3" s="666"/>
      <c r="DI3" s="680"/>
      <c r="DJ3" s="668"/>
      <c r="DK3" s="666"/>
      <c r="DL3" s="680"/>
      <c r="DM3" s="668"/>
      <c r="DN3" s="666"/>
      <c r="DO3" s="680"/>
      <c r="DP3" s="668"/>
      <c r="DQ3" s="678"/>
      <c r="DR3" s="556"/>
      <c r="DS3" s="460"/>
      <c r="DT3" s="466"/>
      <c r="DU3" s="464"/>
      <c r="DV3" s="462"/>
      <c r="DW3" s="480"/>
      <c r="DX3" s="478"/>
      <c r="DY3" s="462"/>
      <c r="DZ3" s="480"/>
      <c r="EA3" s="478"/>
      <c r="EB3" s="462"/>
      <c r="EC3" s="480"/>
      <c r="ED3" s="478"/>
      <c r="EE3" s="462"/>
      <c r="EF3" s="476"/>
      <c r="EG3" s="474"/>
      <c r="EH3" s="472"/>
      <c r="EI3" s="470"/>
      <c r="EJ3" s="468"/>
      <c r="EK3" s="502"/>
      <c r="EL3" s="500"/>
      <c r="EM3" s="504"/>
      <c r="EN3" s="502"/>
      <c r="EO3" s="500"/>
      <c r="EP3" s="504"/>
      <c r="EQ3" s="502"/>
      <c r="ER3" s="500"/>
      <c r="ES3" s="504"/>
      <c r="ET3" s="502"/>
      <c r="EU3" s="514"/>
      <c r="EV3" s="512"/>
      <c r="EW3" s="510"/>
      <c r="EX3" s="508"/>
      <c r="EY3" s="506"/>
      <c r="EZ3" s="494"/>
      <c r="FA3" s="498"/>
      <c r="FB3" s="496"/>
      <c r="FC3" s="494"/>
      <c r="FD3" s="498"/>
      <c r="FE3" s="496"/>
      <c r="FF3" s="494"/>
      <c r="FG3" s="498"/>
      <c r="FH3" s="496"/>
      <c r="FI3" s="494"/>
      <c r="FJ3" s="492"/>
      <c r="FK3" s="490"/>
      <c r="FL3" s="488"/>
      <c r="FM3" s="486"/>
      <c r="FN3" s="484"/>
      <c r="FO3" s="430"/>
      <c r="FP3" s="428"/>
      <c r="FQ3" s="482"/>
      <c r="FR3" s="430"/>
      <c r="FS3" s="428"/>
      <c r="FT3" s="426"/>
      <c r="FU3" s="430"/>
      <c r="FV3" s="428"/>
      <c r="FW3" s="426"/>
      <c r="FX3" s="430"/>
      <c r="FY3" s="438"/>
      <c r="FZ3" s="436"/>
      <c r="GA3" s="434"/>
      <c r="GB3" s="432"/>
      <c r="GC3" s="458"/>
      <c r="GD3" s="417"/>
      <c r="GE3" s="421"/>
      <c r="GF3" s="419"/>
      <c r="GG3" s="417"/>
      <c r="GH3" s="421"/>
      <c r="GI3" s="419"/>
      <c r="GJ3" s="417"/>
      <c r="GK3" s="421"/>
      <c r="GL3" s="419"/>
      <c r="GM3" s="417"/>
      <c r="GN3" s="456"/>
      <c r="GO3" s="454"/>
      <c r="GP3" s="452"/>
      <c r="GQ3" s="450"/>
      <c r="GR3" s="448"/>
      <c r="GS3" s="442"/>
      <c r="GT3" s="446"/>
      <c r="GU3" s="444"/>
      <c r="GV3" s="442"/>
      <c r="GW3" s="446"/>
      <c r="GX3" s="444"/>
      <c r="GY3" s="442"/>
      <c r="GZ3" s="446"/>
      <c r="HA3" s="444"/>
      <c r="HB3" s="442"/>
      <c r="HC3" s="440"/>
      <c r="HD3" s="219" t="s">
        <v>574</v>
      </c>
      <c r="HE3" s="348">
        <f>HE5*HE13*10^-3*(HE14+(HE9/HE10))*((HE11*HE7)/(1-EXP(-HE7*HE11)))</f>
        <v>0</v>
      </c>
      <c r="HF3" s="252" t="s">
        <v>303</v>
      </c>
    </row>
    <row r="4" spans="1:214" ht="13.5" customHeight="1" thickBot="1" x14ac:dyDescent="0.25">
      <c r="A4" s="279" t="s">
        <v>457</v>
      </c>
      <c r="B4" s="70">
        <v>0.75600000000000001</v>
      </c>
      <c r="C4" s="241"/>
      <c r="D4" s="318" t="s">
        <v>16</v>
      </c>
      <c r="E4" s="286">
        <f>1/((1/E22)+(1/E23))</f>
        <v>12.352669158176203</v>
      </c>
      <c r="F4" s="257" t="s">
        <v>302</v>
      </c>
      <c r="G4" s="628"/>
      <c r="H4" s="624"/>
      <c r="I4" s="626"/>
      <c r="J4" s="620"/>
      <c r="K4" s="624"/>
      <c r="L4" s="622"/>
      <c r="M4" s="618"/>
      <c r="N4" s="648"/>
      <c r="O4" s="616"/>
      <c r="P4" s="640"/>
      <c r="Q4" s="648"/>
      <c r="R4" s="638"/>
      <c r="S4" s="642"/>
      <c r="T4" s="648"/>
      <c r="U4" s="644"/>
      <c r="V4" s="320" t="s">
        <v>15</v>
      </c>
      <c r="W4" s="359">
        <f>1/((1/W16)+(1/W17))</f>
        <v>1.0277753975165876E-2</v>
      </c>
      <c r="X4" s="258" t="s">
        <v>302</v>
      </c>
      <c r="Y4" s="322" t="s">
        <v>15</v>
      </c>
      <c r="Z4" s="359">
        <f>1/((1/Z16)+(1/Z17))</f>
        <v>9.2499785776492902E-3</v>
      </c>
      <c r="AA4" s="259" t="s">
        <v>302</v>
      </c>
      <c r="AB4" s="651"/>
      <c r="AC4" s="662"/>
      <c r="AD4" s="662"/>
      <c r="AE4" s="662"/>
      <c r="AF4" s="662"/>
      <c r="AG4" s="662"/>
      <c r="AH4" s="653"/>
      <c r="AI4" s="382"/>
      <c r="AJ4" s="388"/>
      <c r="AK4" s="630"/>
      <c r="AL4" s="384"/>
      <c r="AM4" s="388"/>
      <c r="AN4" s="630"/>
      <c r="AO4" s="384"/>
      <c r="AP4" s="388"/>
      <c r="AQ4" s="636"/>
      <c r="AR4" s="382"/>
      <c r="AS4" s="388"/>
      <c r="AT4" s="392"/>
      <c r="AU4" s="384"/>
      <c r="AV4" s="388"/>
      <c r="AW4" s="392"/>
      <c r="AX4" s="384"/>
      <c r="AY4" s="388"/>
      <c r="AZ4" s="386"/>
      <c r="BA4" s="382"/>
      <c r="BB4" s="388"/>
      <c r="BC4" s="392"/>
      <c r="BD4" s="384"/>
      <c r="BE4" s="388"/>
      <c r="BF4" s="392"/>
      <c r="BG4" s="384"/>
      <c r="BH4" s="388"/>
      <c r="BI4" s="386"/>
      <c r="BJ4" s="382"/>
      <c r="BK4" s="390"/>
      <c r="BL4" s="392"/>
      <c r="BM4" s="384"/>
      <c r="BN4" s="390"/>
      <c r="BO4" s="392"/>
      <c r="BP4" s="384"/>
      <c r="BQ4" s="390"/>
      <c r="BR4" s="386"/>
      <c r="BS4" s="331" t="s">
        <v>16</v>
      </c>
      <c r="BT4" s="333">
        <f>1/((1/BT23)+(1/BT24))</f>
        <v>1383.4989457157346</v>
      </c>
      <c r="BU4" s="260" t="s">
        <v>302</v>
      </c>
      <c r="BV4" s="403"/>
      <c r="BW4" s="401"/>
      <c r="BX4" s="405"/>
      <c r="BY4" s="403"/>
      <c r="BZ4" s="401"/>
      <c r="CA4" s="399"/>
      <c r="CB4" s="411"/>
      <c r="CC4" s="401"/>
      <c r="CD4" s="405"/>
      <c r="CE4" s="403"/>
      <c r="CF4" s="401"/>
      <c r="CG4" s="405"/>
      <c r="CH4" s="403"/>
      <c r="CI4" s="401"/>
      <c r="CJ4" s="399"/>
      <c r="CK4" s="411"/>
      <c r="CL4" s="401"/>
      <c r="CM4" s="405"/>
      <c r="CN4" s="403"/>
      <c r="CO4" s="401"/>
      <c r="CP4" s="413"/>
      <c r="CQ4" s="403"/>
      <c r="CR4" s="401"/>
      <c r="CS4" s="416"/>
      <c r="CT4" s="205" t="s">
        <v>286</v>
      </c>
      <c r="CU4" s="335">
        <f>1/((1/CU15)+(1/CU16))</f>
        <v>2237.3108884964704</v>
      </c>
      <c r="CV4" s="73" t="s">
        <v>303</v>
      </c>
      <c r="CW4" s="327" t="s">
        <v>16</v>
      </c>
      <c r="CX4" s="106">
        <f>1/((1/CX22)+(1/CX23))</f>
        <v>11.813367486864616</v>
      </c>
      <c r="CY4" s="261" t="s">
        <v>302</v>
      </c>
      <c r="CZ4" s="339" t="s">
        <v>11</v>
      </c>
      <c r="DA4" s="337">
        <f>1/((1/DA14)+(1/DA15))</f>
        <v>8.9285714202875961E-3</v>
      </c>
      <c r="DB4" s="74" t="s">
        <v>303</v>
      </c>
      <c r="DC4" s="677"/>
      <c r="DD4" s="675"/>
      <c r="DE4" s="673"/>
      <c r="DF4" s="671"/>
      <c r="DG4" s="669"/>
      <c r="DH4" s="667"/>
      <c r="DI4" s="681"/>
      <c r="DJ4" s="669"/>
      <c r="DK4" s="667"/>
      <c r="DL4" s="681"/>
      <c r="DM4" s="669"/>
      <c r="DN4" s="667"/>
      <c r="DO4" s="681"/>
      <c r="DP4" s="669"/>
      <c r="DQ4" s="679"/>
      <c r="DR4" s="557"/>
      <c r="DS4" s="461"/>
      <c r="DT4" s="467"/>
      <c r="DU4" s="465"/>
      <c r="DV4" s="463"/>
      <c r="DW4" s="481"/>
      <c r="DX4" s="479"/>
      <c r="DY4" s="463"/>
      <c r="DZ4" s="481"/>
      <c r="EA4" s="479"/>
      <c r="EB4" s="463"/>
      <c r="EC4" s="481"/>
      <c r="ED4" s="479"/>
      <c r="EE4" s="463"/>
      <c r="EF4" s="477"/>
      <c r="EG4" s="475"/>
      <c r="EH4" s="473"/>
      <c r="EI4" s="471"/>
      <c r="EJ4" s="469"/>
      <c r="EK4" s="503"/>
      <c r="EL4" s="501"/>
      <c r="EM4" s="505"/>
      <c r="EN4" s="503"/>
      <c r="EO4" s="501"/>
      <c r="EP4" s="505"/>
      <c r="EQ4" s="503"/>
      <c r="ER4" s="501"/>
      <c r="ES4" s="505"/>
      <c r="ET4" s="503"/>
      <c r="EU4" s="515"/>
      <c r="EV4" s="513"/>
      <c r="EW4" s="511"/>
      <c r="EX4" s="509"/>
      <c r="EY4" s="507"/>
      <c r="EZ4" s="495"/>
      <c r="FA4" s="499"/>
      <c r="FB4" s="497"/>
      <c r="FC4" s="495"/>
      <c r="FD4" s="499"/>
      <c r="FE4" s="497"/>
      <c r="FF4" s="495"/>
      <c r="FG4" s="499"/>
      <c r="FH4" s="497"/>
      <c r="FI4" s="495"/>
      <c r="FJ4" s="493"/>
      <c r="FK4" s="491"/>
      <c r="FL4" s="489"/>
      <c r="FM4" s="487"/>
      <c r="FN4" s="485"/>
      <c r="FO4" s="431"/>
      <c r="FP4" s="429"/>
      <c r="FQ4" s="483"/>
      <c r="FR4" s="431"/>
      <c r="FS4" s="429"/>
      <c r="FT4" s="427"/>
      <c r="FU4" s="431"/>
      <c r="FV4" s="429"/>
      <c r="FW4" s="427"/>
      <c r="FX4" s="431"/>
      <c r="FY4" s="439"/>
      <c r="FZ4" s="437"/>
      <c r="GA4" s="435"/>
      <c r="GB4" s="433"/>
      <c r="GC4" s="459"/>
      <c r="GD4" s="418"/>
      <c r="GE4" s="422"/>
      <c r="GF4" s="420"/>
      <c r="GG4" s="418"/>
      <c r="GH4" s="422"/>
      <c r="GI4" s="420"/>
      <c r="GJ4" s="418"/>
      <c r="GK4" s="422"/>
      <c r="GL4" s="420"/>
      <c r="GM4" s="418"/>
      <c r="GN4" s="457"/>
      <c r="GO4" s="455"/>
      <c r="GP4" s="453"/>
      <c r="GQ4" s="451"/>
      <c r="GR4" s="449"/>
      <c r="GS4" s="443"/>
      <c r="GT4" s="447"/>
      <c r="GU4" s="445"/>
      <c r="GV4" s="443"/>
      <c r="GW4" s="447"/>
      <c r="GX4" s="445"/>
      <c r="GY4" s="443"/>
      <c r="GZ4" s="447"/>
      <c r="HA4" s="445"/>
      <c r="HB4" s="443"/>
      <c r="HC4" s="441"/>
      <c r="HD4" s="246" t="s">
        <v>575</v>
      </c>
      <c r="HE4" s="349">
        <f>HE6*HE13*10^-3*(HE14+(HE9/HE10))*((HE11*HE7)/(1-EXP(-HE7*HE11)))</f>
        <v>4.9411064659211313E-3</v>
      </c>
      <c r="HF4" s="75" t="s">
        <v>303</v>
      </c>
    </row>
    <row r="5" spans="1:214" ht="14.25" thickTop="1" thickBot="1" x14ac:dyDescent="0.25">
      <c r="A5" s="243" t="s">
        <v>281</v>
      </c>
      <c r="B5" s="244"/>
      <c r="C5" s="245"/>
      <c r="D5" s="249" t="s">
        <v>17</v>
      </c>
      <c r="E5" s="287">
        <f>B18</f>
        <v>9.9999999999999995E-7</v>
      </c>
      <c r="G5" s="262" t="s">
        <v>17</v>
      </c>
      <c r="H5" s="287">
        <f>B18</f>
        <v>9.9999999999999995E-7</v>
      </c>
      <c r="J5" s="262" t="s">
        <v>17</v>
      </c>
      <c r="K5" s="287">
        <f>B18</f>
        <v>9.9999999999999995E-7</v>
      </c>
      <c r="M5" s="249" t="s">
        <v>17</v>
      </c>
      <c r="N5" s="287">
        <f>B18</f>
        <v>9.9999999999999995E-7</v>
      </c>
      <c r="P5" s="249" t="s">
        <v>17</v>
      </c>
      <c r="Q5" s="287">
        <f>B18</f>
        <v>9.9999999999999995E-7</v>
      </c>
      <c r="S5" s="249" t="s">
        <v>17</v>
      </c>
      <c r="T5" s="287">
        <f>B18</f>
        <v>9.9999999999999995E-7</v>
      </c>
      <c r="V5" s="249" t="s">
        <v>17</v>
      </c>
      <c r="W5" s="287">
        <f>B18</f>
        <v>9.9999999999999995E-7</v>
      </c>
      <c r="Y5" s="249" t="s">
        <v>17</v>
      </c>
      <c r="Z5" s="287">
        <f>B18</f>
        <v>9.9999999999999995E-7</v>
      </c>
      <c r="AB5" s="262" t="s">
        <v>17</v>
      </c>
      <c r="AC5" s="287">
        <f>B18</f>
        <v>9.9999999999999995E-7</v>
      </c>
      <c r="AD5" s="287">
        <f>B18</f>
        <v>9.9999999999999995E-7</v>
      </c>
      <c r="AE5" s="287">
        <f>B18</f>
        <v>9.9999999999999995E-7</v>
      </c>
      <c r="AF5" s="287">
        <f>B18</f>
        <v>9.9999999999999995E-7</v>
      </c>
      <c r="AG5" s="287">
        <f>B18</f>
        <v>9.9999999999999995E-7</v>
      </c>
      <c r="AI5" s="249" t="s">
        <v>17</v>
      </c>
      <c r="AJ5" s="287">
        <f>B18</f>
        <v>9.9999999999999995E-7</v>
      </c>
      <c r="AL5" s="249" t="s">
        <v>17</v>
      </c>
      <c r="AM5" s="287">
        <f>B18</f>
        <v>9.9999999999999995E-7</v>
      </c>
      <c r="AO5" s="249" t="s">
        <v>17</v>
      </c>
      <c r="AP5" s="287">
        <f>B18</f>
        <v>9.9999999999999995E-7</v>
      </c>
      <c r="AR5" s="249" t="s">
        <v>17</v>
      </c>
      <c r="AS5" s="287">
        <f>B18</f>
        <v>9.9999999999999995E-7</v>
      </c>
      <c r="AU5" s="249" t="s">
        <v>17</v>
      </c>
      <c r="AV5" s="287">
        <f>B18</f>
        <v>9.9999999999999995E-7</v>
      </c>
      <c r="AX5" s="249" t="s">
        <v>17</v>
      </c>
      <c r="AY5" s="287">
        <f>B18</f>
        <v>9.9999999999999995E-7</v>
      </c>
      <c r="BA5" s="249" t="s">
        <v>17</v>
      </c>
      <c r="BB5" s="287">
        <f>B18</f>
        <v>9.9999999999999995E-7</v>
      </c>
      <c r="BD5" s="249" t="s">
        <v>17</v>
      </c>
      <c r="BE5" s="287">
        <f>B18</f>
        <v>9.9999999999999995E-7</v>
      </c>
      <c r="BG5" s="249" t="s">
        <v>17</v>
      </c>
      <c r="BH5" s="287">
        <f>B18</f>
        <v>9.9999999999999995E-7</v>
      </c>
      <c r="BJ5" s="249" t="s">
        <v>17</v>
      </c>
      <c r="BK5" s="287">
        <f>B18</f>
        <v>9.9999999999999995E-7</v>
      </c>
      <c r="BM5" s="249" t="s">
        <v>17</v>
      </c>
      <c r="BN5" s="287">
        <f>B18</f>
        <v>9.9999999999999995E-7</v>
      </c>
      <c r="BP5" s="249" t="s">
        <v>17</v>
      </c>
      <c r="BQ5" s="287">
        <f>B18</f>
        <v>9.9999999999999995E-7</v>
      </c>
      <c r="BS5" s="249" t="s">
        <v>17</v>
      </c>
      <c r="BT5" s="287">
        <f>B18</f>
        <v>9.9999999999999995E-7</v>
      </c>
      <c r="BV5" s="262" t="s">
        <v>17</v>
      </c>
      <c r="BW5" s="287">
        <f>B18</f>
        <v>9.9999999999999995E-7</v>
      </c>
      <c r="BY5" s="262" t="s">
        <v>17</v>
      </c>
      <c r="BZ5" s="287">
        <f>B18</f>
        <v>9.9999999999999995E-7</v>
      </c>
      <c r="CB5" s="249" t="s">
        <v>17</v>
      </c>
      <c r="CC5" s="287">
        <f>B18</f>
        <v>9.9999999999999995E-7</v>
      </c>
      <c r="CE5" s="249" t="s">
        <v>17</v>
      </c>
      <c r="CF5" s="287">
        <f>B18</f>
        <v>9.9999999999999995E-7</v>
      </c>
      <c r="CH5" s="249" t="s">
        <v>17</v>
      </c>
      <c r="CI5" s="287">
        <f>B18</f>
        <v>9.9999999999999995E-7</v>
      </c>
      <c r="CK5" s="249" t="s">
        <v>17</v>
      </c>
      <c r="CL5" s="287">
        <f>B18</f>
        <v>9.9999999999999995E-7</v>
      </c>
      <c r="CM5" s="76"/>
      <c r="CN5" s="262" t="s">
        <v>264</v>
      </c>
      <c r="CO5" s="287">
        <f>B43</f>
        <v>0</v>
      </c>
      <c r="CQ5" s="262" t="s">
        <v>264</v>
      </c>
      <c r="CR5" s="287">
        <f>CO5</f>
        <v>0</v>
      </c>
      <c r="CT5" s="262" t="s">
        <v>17</v>
      </c>
      <c r="CU5" s="287">
        <f>B18</f>
        <v>9.9999999999999995E-7</v>
      </c>
      <c r="CW5" s="249" t="s">
        <v>17</v>
      </c>
      <c r="CX5" s="287">
        <f>B18</f>
        <v>9.9999999999999995E-7</v>
      </c>
      <c r="CZ5" s="262" t="s">
        <v>17</v>
      </c>
      <c r="DA5" s="287">
        <f>B18</f>
        <v>9.9999999999999995E-7</v>
      </c>
      <c r="DC5" s="262" t="s">
        <v>17</v>
      </c>
      <c r="DD5" s="287">
        <f>B18</f>
        <v>9.9999999999999995E-7</v>
      </c>
      <c r="DF5" s="249" t="s">
        <v>18</v>
      </c>
      <c r="DG5" s="118">
        <f>(DG8*DG9*DG10*((1-EXP(-DG11*DG12))))/(DG13*DG11)</f>
        <v>0</v>
      </c>
      <c r="DH5" s="249" t="s">
        <v>19</v>
      </c>
      <c r="DI5" s="262" t="s">
        <v>20</v>
      </c>
      <c r="DJ5" s="305">
        <f>DJ7</f>
        <v>0</v>
      </c>
      <c r="DK5" s="262"/>
      <c r="DL5" s="262" t="s">
        <v>20</v>
      </c>
      <c r="DM5" s="305">
        <f>DM7</f>
        <v>0</v>
      </c>
      <c r="DO5" s="249" t="s">
        <v>18</v>
      </c>
      <c r="DP5" s="118">
        <f>(DP8*DP9*DP10*((1-EXP(-DP11*DP12))))/(DP13*DP11)</f>
        <v>0</v>
      </c>
      <c r="DQ5" s="249" t="s">
        <v>19</v>
      </c>
      <c r="DR5" s="262" t="s">
        <v>17</v>
      </c>
      <c r="DS5" s="287">
        <f>B18</f>
        <v>9.9999999999999995E-7</v>
      </c>
      <c r="DU5" s="262" t="s">
        <v>278</v>
      </c>
      <c r="DV5" s="310">
        <f>B37</f>
        <v>0</v>
      </c>
      <c r="DW5" s="262"/>
      <c r="DX5" s="262" t="s">
        <v>21</v>
      </c>
      <c r="DY5" s="305">
        <f>DY7</f>
        <v>0</v>
      </c>
      <c r="DZ5" s="262"/>
      <c r="EA5" s="262" t="s">
        <v>21</v>
      </c>
      <c r="EB5" s="305">
        <f>EB7</f>
        <v>0</v>
      </c>
      <c r="EC5" s="263"/>
      <c r="ED5" s="262" t="s">
        <v>21</v>
      </c>
      <c r="EE5" s="305">
        <f>EE7</f>
        <v>0</v>
      </c>
      <c r="EF5" s="263"/>
      <c r="EG5" s="262" t="s">
        <v>17</v>
      </c>
      <c r="EH5" s="287">
        <f>B18</f>
        <v>9.9999999999999995E-7</v>
      </c>
      <c r="EJ5" s="262" t="s">
        <v>275</v>
      </c>
      <c r="EK5" s="310">
        <f>B38</f>
        <v>0</v>
      </c>
      <c r="EL5" s="262"/>
      <c r="EM5" s="262" t="s">
        <v>21</v>
      </c>
      <c r="EN5" s="305">
        <f>EN7</f>
        <v>0</v>
      </c>
      <c r="EO5" s="262"/>
      <c r="EP5" s="262" t="s">
        <v>21</v>
      </c>
      <c r="EQ5" s="305">
        <f>EQ7</f>
        <v>0</v>
      </c>
      <c r="ER5" s="263"/>
      <c r="ES5" s="262" t="s">
        <v>21</v>
      </c>
      <c r="ET5" s="305">
        <f>ET7</f>
        <v>0</v>
      </c>
      <c r="EU5" s="263"/>
      <c r="EV5" s="262" t="s">
        <v>17</v>
      </c>
      <c r="EW5" s="287">
        <f>B18</f>
        <v>9.9999999999999995E-7</v>
      </c>
      <c r="EY5" s="262" t="s">
        <v>201</v>
      </c>
      <c r="EZ5" s="310">
        <f>B40</f>
        <v>0</v>
      </c>
      <c r="FA5" s="262"/>
      <c r="FB5" s="262" t="s">
        <v>21</v>
      </c>
      <c r="FC5" s="305">
        <f>FC7</f>
        <v>0</v>
      </c>
      <c r="FD5" s="262"/>
      <c r="FE5" s="262" t="s">
        <v>21</v>
      </c>
      <c r="FF5" s="305">
        <f>FF7</f>
        <v>0</v>
      </c>
      <c r="FG5" s="263"/>
      <c r="FH5" s="263" t="s">
        <v>21</v>
      </c>
      <c r="FI5" s="290">
        <f>FI7</f>
        <v>0</v>
      </c>
      <c r="FJ5" s="263"/>
      <c r="FK5" s="262" t="s">
        <v>17</v>
      </c>
      <c r="FL5" s="287">
        <f>B18</f>
        <v>9.9999999999999995E-7</v>
      </c>
      <c r="FN5" s="263" t="s">
        <v>122</v>
      </c>
      <c r="FO5" s="308">
        <f>B36</f>
        <v>0</v>
      </c>
      <c r="FP5" s="263"/>
      <c r="FQ5" s="263" t="s">
        <v>122</v>
      </c>
      <c r="FR5" s="298">
        <f>B36</f>
        <v>0</v>
      </c>
      <c r="FS5" s="263"/>
      <c r="FT5" s="263" t="s">
        <v>122</v>
      </c>
      <c r="FU5" s="298">
        <f>B36</f>
        <v>0</v>
      </c>
      <c r="FV5" s="263"/>
      <c r="FW5" s="262" t="s">
        <v>181</v>
      </c>
      <c r="FX5" s="305">
        <f>B46</f>
        <v>0</v>
      </c>
      <c r="FY5" s="249" t="s">
        <v>19</v>
      </c>
      <c r="FZ5" s="262" t="s">
        <v>17</v>
      </c>
      <c r="GA5" s="287">
        <f>B18</f>
        <v>9.9999999999999995E-7</v>
      </c>
      <c r="GC5" s="263" t="s">
        <v>276</v>
      </c>
      <c r="GD5" s="310">
        <f>B39</f>
        <v>0</v>
      </c>
      <c r="GE5" s="262"/>
      <c r="GF5" s="262" t="s">
        <v>21</v>
      </c>
      <c r="GG5" s="305">
        <f>GG7</f>
        <v>0</v>
      </c>
      <c r="GH5" s="262"/>
      <c r="GI5" s="262" t="s">
        <v>21</v>
      </c>
      <c r="GJ5" s="305">
        <f>GJ7</f>
        <v>0</v>
      </c>
      <c r="GK5" s="262"/>
      <c r="GL5" s="262" t="s">
        <v>21</v>
      </c>
      <c r="GM5" s="305">
        <f>GM7</f>
        <v>0</v>
      </c>
      <c r="GN5" s="263"/>
      <c r="GO5" s="262" t="s">
        <v>17</v>
      </c>
      <c r="GP5" s="287">
        <f>B18</f>
        <v>9.9999999999999995E-7</v>
      </c>
      <c r="GR5" s="263" t="s">
        <v>277</v>
      </c>
      <c r="GS5" s="310">
        <f>B41</f>
        <v>0</v>
      </c>
      <c r="GT5" s="262"/>
      <c r="GU5" s="262" t="s">
        <v>21</v>
      </c>
      <c r="GV5" s="305">
        <f>GV7</f>
        <v>0</v>
      </c>
      <c r="GW5" s="262"/>
      <c r="GX5" s="262" t="s">
        <v>21</v>
      </c>
      <c r="GY5" s="305">
        <f>GY7</f>
        <v>0</v>
      </c>
      <c r="GZ5" s="262"/>
      <c r="HA5" s="262" t="s">
        <v>21</v>
      </c>
      <c r="HB5" s="305">
        <f>HB7</f>
        <v>0</v>
      </c>
      <c r="HC5" s="263"/>
      <c r="HD5" s="265" t="s">
        <v>22</v>
      </c>
      <c r="HE5" s="305">
        <f>B47</f>
        <v>0</v>
      </c>
      <c r="HF5" s="262" t="s">
        <v>304</v>
      </c>
    </row>
    <row r="6" spans="1:214" ht="13.5" thickTop="1" x14ac:dyDescent="0.2">
      <c r="A6" s="278" t="s">
        <v>454</v>
      </c>
      <c r="B6" s="54">
        <v>3.7100000000000001E-2</v>
      </c>
      <c r="C6" s="240"/>
      <c r="D6" s="262" t="s">
        <v>23</v>
      </c>
      <c r="E6" s="288">
        <f>0.693/E7</f>
        <v>66.155354824913829</v>
      </c>
      <c r="G6" s="262" t="s">
        <v>439</v>
      </c>
      <c r="H6" s="287">
        <f>B20</f>
        <v>0</v>
      </c>
      <c r="I6" s="262" t="s">
        <v>35</v>
      </c>
      <c r="J6" s="262" t="s">
        <v>316</v>
      </c>
      <c r="K6" s="287">
        <f>B21</f>
        <v>0</v>
      </c>
      <c r="L6" s="262" t="s">
        <v>35</v>
      </c>
      <c r="M6" s="269" t="s">
        <v>107</v>
      </c>
      <c r="N6" s="289">
        <v>26</v>
      </c>
      <c r="O6" s="249" t="s">
        <v>69</v>
      </c>
      <c r="P6" s="269" t="s">
        <v>107</v>
      </c>
      <c r="Q6" s="289">
        <v>26</v>
      </c>
      <c r="R6" s="249" t="s">
        <v>69</v>
      </c>
      <c r="S6" s="269" t="s">
        <v>107</v>
      </c>
      <c r="T6" s="289">
        <v>26</v>
      </c>
      <c r="U6" s="249" t="s">
        <v>69</v>
      </c>
      <c r="V6" s="262" t="s">
        <v>23</v>
      </c>
      <c r="W6" s="288">
        <f>0.693/W7</f>
        <v>66.155354824913829</v>
      </c>
      <c r="Y6" s="262" t="s">
        <v>23</v>
      </c>
      <c r="Z6" s="288">
        <f>0.693/Z7</f>
        <v>66.155354824913829</v>
      </c>
      <c r="AB6" s="262"/>
      <c r="AC6" s="297">
        <v>1000</v>
      </c>
      <c r="AD6" s="297">
        <v>1000</v>
      </c>
      <c r="AE6" s="297">
        <v>1000</v>
      </c>
      <c r="AF6" s="297">
        <v>1000</v>
      </c>
      <c r="AG6" s="297">
        <v>1000</v>
      </c>
      <c r="AH6" s="249" t="s">
        <v>24</v>
      </c>
      <c r="AI6" s="249" t="s">
        <v>485</v>
      </c>
      <c r="AJ6" s="289">
        <f>AJ10</f>
        <v>25</v>
      </c>
      <c r="AK6" s="249" t="s">
        <v>69</v>
      </c>
      <c r="AL6" s="249" t="s">
        <v>485</v>
      </c>
      <c r="AM6" s="289">
        <f>AM10</f>
        <v>25</v>
      </c>
      <c r="AN6" s="249" t="s">
        <v>69</v>
      </c>
      <c r="AO6" s="249" t="s">
        <v>485</v>
      </c>
      <c r="AP6" s="289">
        <f>AP10</f>
        <v>25</v>
      </c>
      <c r="AQ6" s="249" t="s">
        <v>69</v>
      </c>
      <c r="AR6" s="249" t="s">
        <v>486</v>
      </c>
      <c r="AS6" s="289">
        <f>AS10</f>
        <v>25</v>
      </c>
      <c r="AT6" s="249" t="s">
        <v>69</v>
      </c>
      <c r="AU6" s="249" t="s">
        <v>486</v>
      </c>
      <c r="AV6" s="289">
        <f>AS10</f>
        <v>25</v>
      </c>
      <c r="AW6" s="249" t="s">
        <v>69</v>
      </c>
      <c r="AX6" s="249" t="s">
        <v>486</v>
      </c>
      <c r="AY6" s="289">
        <f>AS10</f>
        <v>25</v>
      </c>
      <c r="AZ6" s="249" t="s">
        <v>69</v>
      </c>
      <c r="BA6" s="249" t="s">
        <v>92</v>
      </c>
      <c r="BB6" s="289">
        <f>BB10</f>
        <v>25</v>
      </c>
      <c r="BC6" s="249" t="s">
        <v>69</v>
      </c>
      <c r="BD6" s="249" t="s">
        <v>92</v>
      </c>
      <c r="BE6" s="289">
        <f>BB10</f>
        <v>25</v>
      </c>
      <c r="BF6" s="249" t="s">
        <v>69</v>
      </c>
      <c r="BG6" s="249" t="s">
        <v>92</v>
      </c>
      <c r="BH6" s="289">
        <f>BB10</f>
        <v>25</v>
      </c>
      <c r="BI6" s="249" t="s">
        <v>69</v>
      </c>
      <c r="BJ6" s="249" t="s">
        <v>487</v>
      </c>
      <c r="BK6" s="289">
        <f>BK12</f>
        <v>1</v>
      </c>
      <c r="BL6" s="249" t="s">
        <v>69</v>
      </c>
      <c r="BM6" s="249" t="s">
        <v>487</v>
      </c>
      <c r="BN6" s="289">
        <f>BK12</f>
        <v>1</v>
      </c>
      <c r="BO6" s="249" t="s">
        <v>69</v>
      </c>
      <c r="BP6" s="249" t="s">
        <v>487</v>
      </c>
      <c r="BQ6" s="289">
        <f>BK12</f>
        <v>1</v>
      </c>
      <c r="BR6" s="249" t="s">
        <v>69</v>
      </c>
      <c r="BS6" s="262" t="s">
        <v>23</v>
      </c>
      <c r="BT6" s="288">
        <f>0.693/BT7</f>
        <v>66.155354824913829</v>
      </c>
      <c r="BV6" s="262" t="s">
        <v>163</v>
      </c>
      <c r="BW6" s="287">
        <f>B20</f>
        <v>0</v>
      </c>
      <c r="BX6" s="262" t="s">
        <v>35</v>
      </c>
      <c r="BY6" s="262" t="s">
        <v>45</v>
      </c>
      <c r="BZ6" s="287">
        <f>B21</f>
        <v>0</v>
      </c>
      <c r="CA6" s="262" t="s">
        <v>35</v>
      </c>
      <c r="CB6" s="249" t="s">
        <v>111</v>
      </c>
      <c r="CC6" s="289">
        <f>CC10</f>
        <v>26</v>
      </c>
      <c r="CD6" s="249" t="s">
        <v>69</v>
      </c>
      <c r="CE6" s="249" t="s">
        <v>111</v>
      </c>
      <c r="CF6" s="289">
        <f>CC10</f>
        <v>26</v>
      </c>
      <c r="CG6" s="249" t="s">
        <v>69</v>
      </c>
      <c r="CH6" s="249" t="s">
        <v>111</v>
      </c>
      <c r="CI6" s="289">
        <f>CC10</f>
        <v>26</v>
      </c>
      <c r="CJ6" s="249" t="s">
        <v>69</v>
      </c>
      <c r="CK6" s="249" t="s">
        <v>256</v>
      </c>
      <c r="CL6" s="287">
        <f>E34</f>
        <v>0</v>
      </c>
      <c r="CM6" s="266" t="s">
        <v>13</v>
      </c>
      <c r="CN6" s="263" t="s">
        <v>21</v>
      </c>
      <c r="CO6" s="290">
        <f>CO8</f>
        <v>0</v>
      </c>
      <c r="CQ6" s="263" t="s">
        <v>199</v>
      </c>
      <c r="CR6" s="306">
        <f>B124</f>
        <v>1</v>
      </c>
      <c r="CS6" s="249" t="s">
        <v>30</v>
      </c>
      <c r="CT6" s="262" t="s">
        <v>45</v>
      </c>
      <c r="CU6" s="287">
        <f>B21</f>
        <v>0</v>
      </c>
      <c r="CV6" s="262" t="s">
        <v>35</v>
      </c>
      <c r="CW6" s="262" t="s">
        <v>23</v>
      </c>
      <c r="CX6" s="288">
        <f>0.693/CX7</f>
        <v>66.155354824913829</v>
      </c>
      <c r="CZ6" s="262" t="s">
        <v>163</v>
      </c>
      <c r="DA6" s="287">
        <f>B20</f>
        <v>0</v>
      </c>
      <c r="DB6" s="262" t="s">
        <v>35</v>
      </c>
      <c r="DC6" s="262" t="s">
        <v>438</v>
      </c>
      <c r="DD6" s="287">
        <f>B30</f>
        <v>0</v>
      </c>
      <c r="DE6" s="267" t="s">
        <v>35</v>
      </c>
      <c r="DF6" s="249" t="s">
        <v>27</v>
      </c>
      <c r="DG6" s="118">
        <f>(DG8*DG9*DG14*((1-EXP(-DG11*DG12))))/(DG13*DG11)</f>
        <v>5.4035127681958941E-3</v>
      </c>
      <c r="DH6" s="249" t="s">
        <v>19</v>
      </c>
      <c r="DI6" s="262" t="s">
        <v>28</v>
      </c>
      <c r="DJ6" s="293">
        <f>DJ8</f>
        <v>0.26</v>
      </c>
      <c r="DK6" s="262"/>
      <c r="DL6" s="262" t="s">
        <v>28</v>
      </c>
      <c r="DM6" s="293">
        <f>DM8</f>
        <v>0.26</v>
      </c>
      <c r="DO6" s="249" t="s">
        <v>27</v>
      </c>
      <c r="DP6" s="118">
        <f>(DP8*DP9*DP14*((1-EXP(-DP11*DP12))))/(DP13*DP11)</f>
        <v>5.4035127681958941E-3</v>
      </c>
      <c r="DQ6" s="249" t="s">
        <v>19</v>
      </c>
      <c r="DR6" s="262" t="s">
        <v>438</v>
      </c>
      <c r="DS6" s="287">
        <f>B30</f>
        <v>0</v>
      </c>
      <c r="DT6" s="262" t="s">
        <v>35</v>
      </c>
      <c r="DU6" s="262" t="s">
        <v>29</v>
      </c>
      <c r="DV6" s="293">
        <f>B191</f>
        <v>92</v>
      </c>
      <c r="DW6" s="262" t="s">
        <v>30</v>
      </c>
      <c r="DX6" s="262" t="s">
        <v>28</v>
      </c>
      <c r="DY6" s="293">
        <f>DY8</f>
        <v>0.25</v>
      </c>
      <c r="DZ6" s="262"/>
      <c r="EA6" s="262" t="s">
        <v>28</v>
      </c>
      <c r="EB6" s="293">
        <f>EB8</f>
        <v>0.25</v>
      </c>
      <c r="EC6" s="263"/>
      <c r="ED6" s="262" t="s">
        <v>28</v>
      </c>
      <c r="EE6" s="293">
        <f>EE8</f>
        <v>0.25</v>
      </c>
      <c r="EF6" s="263"/>
      <c r="EG6" s="262" t="s">
        <v>438</v>
      </c>
      <c r="EH6" s="287">
        <f>B30</f>
        <v>0</v>
      </c>
      <c r="EI6" s="262" t="s">
        <v>35</v>
      </c>
      <c r="EJ6" s="262" t="s">
        <v>31</v>
      </c>
      <c r="EK6" s="293">
        <f>B197</f>
        <v>53</v>
      </c>
      <c r="EL6" s="262" t="s">
        <v>30</v>
      </c>
      <c r="EM6" s="262" t="s">
        <v>28</v>
      </c>
      <c r="EN6" s="293">
        <f>EN8</f>
        <v>0.25</v>
      </c>
      <c r="EO6" s="262"/>
      <c r="EP6" s="262" t="s">
        <v>28</v>
      </c>
      <c r="EQ6" s="293">
        <f>EQ8</f>
        <v>0.25</v>
      </c>
      <c r="ER6" s="263"/>
      <c r="ES6" s="262" t="s">
        <v>28</v>
      </c>
      <c r="ET6" s="293">
        <f>ET8</f>
        <v>0.25</v>
      </c>
      <c r="EU6" s="263"/>
      <c r="EV6" s="262" t="s">
        <v>438</v>
      </c>
      <c r="EW6" s="287">
        <f>B30</f>
        <v>0</v>
      </c>
      <c r="EX6" s="262" t="s">
        <v>35</v>
      </c>
      <c r="EY6" s="262" t="s">
        <v>173</v>
      </c>
      <c r="EZ6" s="308">
        <f>B202</f>
        <v>0.4</v>
      </c>
      <c r="FA6" s="262" t="s">
        <v>30</v>
      </c>
      <c r="FB6" s="262" t="s">
        <v>28</v>
      </c>
      <c r="FC6" s="293">
        <f>FC8</f>
        <v>0.25</v>
      </c>
      <c r="FD6" s="262"/>
      <c r="FE6" s="262" t="s">
        <v>28</v>
      </c>
      <c r="FF6" s="293">
        <f>FF8</f>
        <v>0.25</v>
      </c>
      <c r="FG6" s="263"/>
      <c r="FH6" s="263" t="s">
        <v>28</v>
      </c>
      <c r="FI6" s="307">
        <f>FI8</f>
        <v>0.25</v>
      </c>
      <c r="FJ6" s="263"/>
      <c r="FK6" s="262" t="s">
        <v>438</v>
      </c>
      <c r="FL6" s="287">
        <f>B30</f>
        <v>0</v>
      </c>
      <c r="FM6" s="262" t="s">
        <v>35</v>
      </c>
      <c r="FN6" s="263"/>
      <c r="FO6" s="307">
        <v>1000</v>
      </c>
      <c r="FP6" s="263" t="s">
        <v>149</v>
      </c>
      <c r="FQ6" s="262" t="s">
        <v>181</v>
      </c>
      <c r="FR6" s="305">
        <f>B46</f>
        <v>0</v>
      </c>
      <c r="FS6" s="249" t="s">
        <v>19</v>
      </c>
      <c r="FT6" s="262" t="s">
        <v>181</v>
      </c>
      <c r="FU6" s="305">
        <f>B46</f>
        <v>0</v>
      </c>
      <c r="FV6" s="249" t="s">
        <v>19</v>
      </c>
      <c r="FX6" s="307">
        <v>1000</v>
      </c>
      <c r="FY6" s="263" t="s">
        <v>149</v>
      </c>
      <c r="FZ6" s="262" t="s">
        <v>438</v>
      </c>
      <c r="GA6" s="287">
        <f>B30</f>
        <v>0</v>
      </c>
      <c r="GB6" s="262" t="s">
        <v>35</v>
      </c>
      <c r="GC6" s="263" t="s">
        <v>414</v>
      </c>
      <c r="GD6" s="308">
        <f>B207</f>
        <v>0.4</v>
      </c>
      <c r="GE6" s="262" t="s">
        <v>30</v>
      </c>
      <c r="GF6" s="262" t="s">
        <v>28</v>
      </c>
      <c r="GG6" s="293">
        <f>GG8</f>
        <v>0.25</v>
      </c>
      <c r="GH6" s="262"/>
      <c r="GI6" s="262" t="s">
        <v>28</v>
      </c>
      <c r="GJ6" s="293">
        <f>GJ8</f>
        <v>0.25</v>
      </c>
      <c r="GK6" s="262"/>
      <c r="GL6" s="262" t="s">
        <v>28</v>
      </c>
      <c r="GM6" s="293">
        <f>GM8</f>
        <v>0.25</v>
      </c>
      <c r="GN6" s="263"/>
      <c r="GO6" s="262" t="s">
        <v>438</v>
      </c>
      <c r="GP6" s="287">
        <f>B30</f>
        <v>0</v>
      </c>
      <c r="GQ6" s="262" t="s">
        <v>35</v>
      </c>
      <c r="GR6" s="263" t="s">
        <v>174</v>
      </c>
      <c r="GS6" s="293">
        <v>11.4</v>
      </c>
      <c r="GT6" s="262" t="s">
        <v>30</v>
      </c>
      <c r="GU6" s="262" t="s">
        <v>28</v>
      </c>
      <c r="GV6" s="293">
        <f>GV8</f>
        <v>0.25</v>
      </c>
      <c r="GW6" s="262"/>
      <c r="GX6" s="262" t="s">
        <v>28</v>
      </c>
      <c r="GY6" s="293">
        <f>GY8</f>
        <v>0.25</v>
      </c>
      <c r="GZ6" s="262"/>
      <c r="HA6" s="262" t="s">
        <v>28</v>
      </c>
      <c r="HB6" s="293">
        <f>HB8</f>
        <v>0.25</v>
      </c>
      <c r="HC6" s="263"/>
      <c r="HD6" s="263" t="s">
        <v>9</v>
      </c>
      <c r="HE6" s="290">
        <f>H2</f>
        <v>1.4363354023612067E-2</v>
      </c>
      <c r="HF6" s="262" t="s">
        <v>304</v>
      </c>
    </row>
    <row r="7" spans="1:214" x14ac:dyDescent="0.2">
      <c r="A7" s="279" t="s">
        <v>455</v>
      </c>
      <c r="B7" s="70">
        <v>0.65</v>
      </c>
      <c r="C7" s="241"/>
      <c r="D7" s="266" t="s">
        <v>270</v>
      </c>
      <c r="E7" s="287">
        <f>B31</f>
        <v>1.04753425E-2</v>
      </c>
      <c r="F7" s="249" t="s">
        <v>69</v>
      </c>
      <c r="G7" s="262" t="s">
        <v>43</v>
      </c>
      <c r="H7" s="290">
        <f>B19</f>
        <v>3.1999999999999999E-11</v>
      </c>
      <c r="I7" s="263" t="s">
        <v>35</v>
      </c>
      <c r="J7" s="262" t="s">
        <v>43</v>
      </c>
      <c r="K7" s="290">
        <f>B19</f>
        <v>3.1999999999999999E-11</v>
      </c>
      <c r="L7" s="263" t="s">
        <v>35</v>
      </c>
      <c r="M7" s="262" t="s">
        <v>23</v>
      </c>
      <c r="N7" s="288">
        <f>0.693/N8</f>
        <v>66.155354824913829</v>
      </c>
      <c r="P7" s="262" t="s">
        <v>23</v>
      </c>
      <c r="Q7" s="288">
        <f>0.693/Q8</f>
        <v>66.155354824913829</v>
      </c>
      <c r="S7" s="262" t="s">
        <v>23</v>
      </c>
      <c r="T7" s="288">
        <f>0.693/T8</f>
        <v>66.155354824913829</v>
      </c>
      <c r="V7" s="266" t="s">
        <v>270</v>
      </c>
      <c r="W7" s="287">
        <f>B31</f>
        <v>1.04753425E-2</v>
      </c>
      <c r="X7" s="249" t="s">
        <v>69</v>
      </c>
      <c r="Y7" s="266" t="s">
        <v>270</v>
      </c>
      <c r="Z7" s="287">
        <f>B31</f>
        <v>1.04753425E-2</v>
      </c>
      <c r="AA7" s="249" t="s">
        <v>69</v>
      </c>
      <c r="AB7" s="262"/>
      <c r="AC7" s="298"/>
      <c r="AD7" s="298"/>
      <c r="AE7" s="298"/>
      <c r="AF7" s="298"/>
      <c r="AG7" s="298"/>
      <c r="AI7" s="262" t="s">
        <v>23</v>
      </c>
      <c r="AJ7" s="288">
        <f>0.693/AJ8</f>
        <v>66.155354824913829</v>
      </c>
      <c r="AL7" s="262" t="s">
        <v>23</v>
      </c>
      <c r="AM7" s="288">
        <f>0.693/AM8</f>
        <v>66.155354824913829</v>
      </c>
      <c r="AO7" s="262" t="s">
        <v>23</v>
      </c>
      <c r="AP7" s="288">
        <f>0.693/AP8</f>
        <v>66.155354824913829</v>
      </c>
      <c r="AR7" s="262" t="s">
        <v>23</v>
      </c>
      <c r="AS7" s="288">
        <f>0.693/AS8</f>
        <v>66.155354824913829</v>
      </c>
      <c r="AU7" s="262" t="s">
        <v>23</v>
      </c>
      <c r="AV7" s="288">
        <f>0.693/AV8</f>
        <v>66.155354824913829</v>
      </c>
      <c r="AX7" s="262" t="s">
        <v>23</v>
      </c>
      <c r="AY7" s="288">
        <f>0.693/AY8</f>
        <v>66.155354824913829</v>
      </c>
      <c r="BA7" s="262" t="s">
        <v>23</v>
      </c>
      <c r="BB7" s="288">
        <f>0.693/BB8</f>
        <v>66.155354824913829</v>
      </c>
      <c r="BD7" s="262" t="s">
        <v>23</v>
      </c>
      <c r="BE7" s="288">
        <f>0.693/BE8</f>
        <v>66.155354824913829</v>
      </c>
      <c r="BG7" s="262" t="s">
        <v>23</v>
      </c>
      <c r="BH7" s="288">
        <f>0.693/BH8</f>
        <v>66.155354824913829</v>
      </c>
      <c r="BJ7" s="262" t="s">
        <v>23</v>
      </c>
      <c r="BK7" s="288">
        <f>0.693/BK8</f>
        <v>66.155354824913829</v>
      </c>
      <c r="BM7" s="262" t="s">
        <v>23</v>
      </c>
      <c r="BN7" s="288">
        <f>0.693/BN8</f>
        <v>66.155354824913829</v>
      </c>
      <c r="BP7" s="262" t="s">
        <v>23</v>
      </c>
      <c r="BQ7" s="288">
        <f>0.693/BQ8</f>
        <v>66.155354824913829</v>
      </c>
      <c r="BS7" s="266" t="s">
        <v>270</v>
      </c>
      <c r="BT7" s="287">
        <f>B31</f>
        <v>1.04753425E-2</v>
      </c>
      <c r="BU7" s="249" t="s">
        <v>69</v>
      </c>
      <c r="BV7" s="262" t="s">
        <v>43</v>
      </c>
      <c r="BW7" s="290">
        <f>E10</f>
        <v>3.1999999999999999E-11</v>
      </c>
      <c r="BX7" s="263" t="s">
        <v>35</v>
      </c>
      <c r="BY7" s="262" t="s">
        <v>43</v>
      </c>
      <c r="BZ7" s="290">
        <f>B19</f>
        <v>3.1999999999999999E-11</v>
      </c>
      <c r="CA7" s="263" t="s">
        <v>35</v>
      </c>
      <c r="CB7" s="262" t="s">
        <v>23</v>
      </c>
      <c r="CC7" s="288">
        <f>0.693/CC8</f>
        <v>66.155354824913829</v>
      </c>
      <c r="CE7" s="262" t="s">
        <v>23</v>
      </c>
      <c r="CF7" s="288">
        <f>0.693/CF8</f>
        <v>66.155354824913829</v>
      </c>
      <c r="CH7" s="262" t="s">
        <v>23</v>
      </c>
      <c r="CI7" s="288">
        <f>0.693/CI8</f>
        <v>66.155354824913829</v>
      </c>
      <c r="CK7" s="249" t="s">
        <v>157</v>
      </c>
      <c r="CL7" s="289">
        <f>B112</f>
        <v>75</v>
      </c>
      <c r="CM7" s="266" t="s">
        <v>165</v>
      </c>
      <c r="CN7" s="263" t="s">
        <v>28</v>
      </c>
      <c r="CO7" s="307">
        <f>CO9</f>
        <v>0.25</v>
      </c>
      <c r="CR7" s="289">
        <v>1000</v>
      </c>
      <c r="CS7" s="249" t="s">
        <v>149</v>
      </c>
      <c r="CT7" s="262" t="s">
        <v>43</v>
      </c>
      <c r="CU7" s="290">
        <f>B19</f>
        <v>3.1999999999999999E-11</v>
      </c>
      <c r="CV7" s="263" t="s">
        <v>35</v>
      </c>
      <c r="CW7" s="266" t="s">
        <v>270</v>
      </c>
      <c r="CX7" s="287">
        <f>B31</f>
        <v>1.04753425E-2</v>
      </c>
      <c r="CY7" s="249" t="s">
        <v>69</v>
      </c>
      <c r="CZ7" s="263" t="s">
        <v>43</v>
      </c>
      <c r="DA7" s="290">
        <f>B19</f>
        <v>3.1999999999999999E-11</v>
      </c>
      <c r="DB7" s="263" t="s">
        <v>35</v>
      </c>
      <c r="DC7" s="262" t="s">
        <v>498</v>
      </c>
      <c r="DD7" s="312">
        <f>(DD8*DD14*DD15)+(DD9*DD13*DD16)</f>
        <v>2246930.0000000005</v>
      </c>
      <c r="DE7" s="267" t="s">
        <v>149</v>
      </c>
      <c r="DF7" s="249" t="s">
        <v>36</v>
      </c>
      <c r="DG7" s="118">
        <f>(DG8*DG9*DG15*DG21*((1-EXP(-DG16*DG17))))/(DG18*DG16)</f>
        <v>0.82303427313698274</v>
      </c>
      <c r="DH7" s="249" t="s">
        <v>19</v>
      </c>
      <c r="DI7" s="262" t="s">
        <v>37</v>
      </c>
      <c r="DJ7" s="287">
        <f>B44</f>
        <v>0</v>
      </c>
      <c r="DL7" s="262" t="s">
        <v>37</v>
      </c>
      <c r="DM7" s="287">
        <f>B44</f>
        <v>0</v>
      </c>
      <c r="DO7" s="249" t="s">
        <v>36</v>
      </c>
      <c r="DP7" s="118">
        <f>(DP8*DP9*DP15*DP21*((1-EXP(-DP16*DP17))))/(DP18*DP16)</f>
        <v>0.82303427313698274</v>
      </c>
      <c r="DQ7" s="249" t="s">
        <v>19</v>
      </c>
      <c r="DR7" s="262" t="s">
        <v>500</v>
      </c>
      <c r="DS7" s="291">
        <f>(DS10*DS12*DS8)+(DS11*DS13*DS9)</f>
        <v>6036590</v>
      </c>
      <c r="DT7" s="249" t="s">
        <v>149</v>
      </c>
      <c r="DV7" s="289">
        <v>1000</v>
      </c>
      <c r="DW7" s="249" t="s">
        <v>115</v>
      </c>
      <c r="DX7" s="262" t="s">
        <v>38</v>
      </c>
      <c r="DY7" s="287">
        <f>B45</f>
        <v>0</v>
      </c>
      <c r="EA7" s="262" t="s">
        <v>38</v>
      </c>
      <c r="EB7" s="287">
        <f>B45</f>
        <v>0</v>
      </c>
      <c r="EC7" s="263"/>
      <c r="ED7" s="262" t="s">
        <v>38</v>
      </c>
      <c r="EE7" s="287">
        <f>B45</f>
        <v>0</v>
      </c>
      <c r="EF7" s="263"/>
      <c r="EG7" s="262" t="s">
        <v>501</v>
      </c>
      <c r="EH7" s="312">
        <f>(EH12*EH10*EH8)+(EH13*EH11*EH9)</f>
        <v>2202410</v>
      </c>
      <c r="EI7" s="249" t="s">
        <v>149</v>
      </c>
      <c r="EK7" s="289">
        <v>1000</v>
      </c>
      <c r="EL7" s="249" t="s">
        <v>115</v>
      </c>
      <c r="EM7" s="262" t="s">
        <v>38</v>
      </c>
      <c r="EN7" s="287">
        <f>B45</f>
        <v>0</v>
      </c>
      <c r="EP7" s="262" t="s">
        <v>38</v>
      </c>
      <c r="EQ7" s="287">
        <f>B45</f>
        <v>0</v>
      </c>
      <c r="ER7" s="263"/>
      <c r="ES7" s="262" t="s">
        <v>38</v>
      </c>
      <c r="ET7" s="287">
        <f>B45</f>
        <v>0</v>
      </c>
      <c r="EU7" s="263"/>
      <c r="EV7" s="262" t="s">
        <v>171</v>
      </c>
      <c r="EW7" s="312">
        <f>(EW10*EW12*EW8)+(EW11*EW13*EW9)</f>
        <v>658455</v>
      </c>
      <c r="EX7" s="249" t="s">
        <v>149</v>
      </c>
      <c r="EY7" s="263"/>
      <c r="EZ7" s="293">
        <v>1000</v>
      </c>
      <c r="FA7" s="262" t="s">
        <v>149</v>
      </c>
      <c r="FB7" s="262" t="s">
        <v>38</v>
      </c>
      <c r="FC7" s="305">
        <f>B45</f>
        <v>0</v>
      </c>
      <c r="FD7" s="262"/>
      <c r="FE7" s="262" t="s">
        <v>38</v>
      </c>
      <c r="FF7" s="305">
        <f>B45</f>
        <v>0</v>
      </c>
      <c r="FG7" s="263"/>
      <c r="FH7" s="263" t="s">
        <v>38</v>
      </c>
      <c r="FI7" s="290">
        <f>B45</f>
        <v>0</v>
      </c>
      <c r="FJ7" s="263"/>
      <c r="FK7" s="262" t="s">
        <v>502</v>
      </c>
      <c r="FL7" s="312">
        <f>(FL12*FL8*FL10)+(FL13*FL9*FL11)</f>
        <v>1918140.0000000002</v>
      </c>
      <c r="FM7" s="249" t="s">
        <v>149</v>
      </c>
      <c r="FN7" s="263"/>
      <c r="FS7" s="263"/>
      <c r="FT7" s="263" t="s">
        <v>494</v>
      </c>
      <c r="FU7" s="307">
        <f>FL14</f>
        <v>40</v>
      </c>
      <c r="FV7" s="263" t="s">
        <v>69</v>
      </c>
      <c r="FW7" s="262"/>
      <c r="FX7" s="305"/>
      <c r="FY7" s="262"/>
      <c r="FZ7" s="262" t="s">
        <v>503</v>
      </c>
      <c r="GA7" s="312">
        <f>(GA10*GA8*GA12)+(GA13*GA9*GA11)</f>
        <v>1318099.9999999998</v>
      </c>
      <c r="GB7" s="249" t="s">
        <v>149</v>
      </c>
      <c r="GC7" s="263"/>
      <c r="GD7" s="293">
        <v>1000</v>
      </c>
      <c r="GE7" s="262" t="s">
        <v>149</v>
      </c>
      <c r="GF7" s="262" t="s">
        <v>38</v>
      </c>
      <c r="GG7" s="305">
        <f>B45</f>
        <v>0</v>
      </c>
      <c r="GH7" s="262"/>
      <c r="GI7" s="262" t="s">
        <v>38</v>
      </c>
      <c r="GJ7" s="305">
        <f>B45</f>
        <v>0</v>
      </c>
      <c r="GK7" s="262"/>
      <c r="GL7" s="262" t="s">
        <v>38</v>
      </c>
      <c r="GM7" s="305">
        <f>B45</f>
        <v>0</v>
      </c>
      <c r="GN7" s="263"/>
      <c r="GO7" s="262" t="s">
        <v>172</v>
      </c>
      <c r="GP7" s="312">
        <f>(GP12*GP8*GP10)+(GP13*GP9*GP11)</f>
        <v>1203860.0000000002</v>
      </c>
      <c r="GQ7" s="249" t="s">
        <v>149</v>
      </c>
      <c r="GS7" s="293">
        <v>1000</v>
      </c>
      <c r="GT7" s="262" t="s">
        <v>149</v>
      </c>
      <c r="GU7" s="262" t="s">
        <v>38</v>
      </c>
      <c r="GV7" s="305">
        <f>B45</f>
        <v>0</v>
      </c>
      <c r="GW7" s="262"/>
      <c r="GX7" s="262" t="s">
        <v>38</v>
      </c>
      <c r="GY7" s="305">
        <f>B45</f>
        <v>0</v>
      </c>
      <c r="GZ7" s="262"/>
      <c r="HA7" s="262" t="s">
        <v>38</v>
      </c>
      <c r="HB7" s="305">
        <f>B45</f>
        <v>0</v>
      </c>
      <c r="HC7" s="263"/>
      <c r="HD7" s="262" t="s">
        <v>23</v>
      </c>
      <c r="HE7" s="288">
        <f>0.693/HE8</f>
        <v>66.155354824913829</v>
      </c>
    </row>
    <row r="8" spans="1:214" x14ac:dyDescent="0.2">
      <c r="A8" s="279" t="s">
        <v>458</v>
      </c>
      <c r="B8" s="70">
        <v>4.2700000000000002E-2</v>
      </c>
      <c r="C8" s="241"/>
      <c r="D8" s="249" t="s">
        <v>338</v>
      </c>
      <c r="E8" s="289">
        <f>B69</f>
        <v>350</v>
      </c>
      <c r="F8" s="249" t="s">
        <v>26</v>
      </c>
      <c r="G8" s="266" t="s">
        <v>161</v>
      </c>
      <c r="H8" s="287">
        <f>B29</f>
        <v>3.5145699120000001E-15</v>
      </c>
      <c r="I8" s="263" t="s">
        <v>35</v>
      </c>
      <c r="J8" s="262" t="s">
        <v>71</v>
      </c>
      <c r="K8" s="287">
        <f>B23</f>
        <v>1.6930652399999999E-9</v>
      </c>
      <c r="L8" s="262" t="s">
        <v>445</v>
      </c>
      <c r="M8" s="266" t="s">
        <v>270</v>
      </c>
      <c r="N8" s="287">
        <f>B31</f>
        <v>1.04753425E-2</v>
      </c>
      <c r="O8" s="249" t="s">
        <v>69</v>
      </c>
      <c r="P8" s="266" t="s">
        <v>270</v>
      </c>
      <c r="Q8" s="287">
        <f>B31</f>
        <v>1.04753425E-2</v>
      </c>
      <c r="R8" s="249" t="s">
        <v>69</v>
      </c>
      <c r="S8" s="266" t="s">
        <v>270</v>
      </c>
      <c r="T8" s="287">
        <f>B31</f>
        <v>1.04753425E-2</v>
      </c>
      <c r="U8" s="249" t="s">
        <v>69</v>
      </c>
      <c r="V8" s="249" t="s">
        <v>431</v>
      </c>
      <c r="W8" s="289">
        <f>B244</f>
        <v>225</v>
      </c>
      <c r="X8" s="249" t="s">
        <v>165</v>
      </c>
      <c r="Y8" s="249" t="s">
        <v>425</v>
      </c>
      <c r="Z8" s="289">
        <f>B220</f>
        <v>250</v>
      </c>
      <c r="AA8" s="249" t="s">
        <v>165</v>
      </c>
      <c r="AB8" s="262" t="s">
        <v>476</v>
      </c>
      <c r="AC8" s="298">
        <f>B220</f>
        <v>250</v>
      </c>
      <c r="AD8" s="298">
        <f>B232</f>
        <v>250</v>
      </c>
      <c r="AE8" s="298">
        <f>B244</f>
        <v>225</v>
      </c>
      <c r="AF8" s="298">
        <f>B256</f>
        <v>130</v>
      </c>
      <c r="AG8" s="298">
        <f>B270</f>
        <v>130</v>
      </c>
      <c r="AH8" s="262" t="s">
        <v>26</v>
      </c>
      <c r="AI8" s="266" t="s">
        <v>270</v>
      </c>
      <c r="AJ8" s="287">
        <f>B31</f>
        <v>1.04753425E-2</v>
      </c>
      <c r="AK8" s="249" t="s">
        <v>69</v>
      </c>
      <c r="AL8" s="266" t="s">
        <v>270</v>
      </c>
      <c r="AM8" s="287">
        <f>B31</f>
        <v>1.04753425E-2</v>
      </c>
      <c r="AN8" s="249" t="s">
        <v>69</v>
      </c>
      <c r="AO8" s="266" t="s">
        <v>270</v>
      </c>
      <c r="AP8" s="287">
        <f>B31</f>
        <v>1.04753425E-2</v>
      </c>
      <c r="AQ8" s="249" t="s">
        <v>69</v>
      </c>
      <c r="AR8" s="266" t="s">
        <v>270</v>
      </c>
      <c r="AS8" s="287">
        <f>B31</f>
        <v>1.04753425E-2</v>
      </c>
      <c r="AT8" s="249" t="s">
        <v>69</v>
      </c>
      <c r="AU8" s="266" t="s">
        <v>270</v>
      </c>
      <c r="AV8" s="287">
        <f>B31</f>
        <v>1.04753425E-2</v>
      </c>
      <c r="AW8" s="249" t="s">
        <v>69</v>
      </c>
      <c r="AX8" s="266" t="s">
        <v>270</v>
      </c>
      <c r="AY8" s="287">
        <f>B31</f>
        <v>1.04753425E-2</v>
      </c>
      <c r="AZ8" s="249" t="s">
        <v>69</v>
      </c>
      <c r="BA8" s="266" t="s">
        <v>270</v>
      </c>
      <c r="BB8" s="287">
        <f>B31</f>
        <v>1.04753425E-2</v>
      </c>
      <c r="BC8" s="249" t="s">
        <v>69</v>
      </c>
      <c r="BD8" s="266" t="s">
        <v>270</v>
      </c>
      <c r="BE8" s="287">
        <f>B31</f>
        <v>1.04753425E-2</v>
      </c>
      <c r="BF8" s="249" t="s">
        <v>69</v>
      </c>
      <c r="BG8" s="266" t="s">
        <v>270</v>
      </c>
      <c r="BH8" s="287">
        <f>B31</f>
        <v>1.04753425E-2</v>
      </c>
      <c r="BI8" s="249" t="s">
        <v>69</v>
      </c>
      <c r="BJ8" s="266" t="s">
        <v>270</v>
      </c>
      <c r="BK8" s="287">
        <f>B31</f>
        <v>1.04753425E-2</v>
      </c>
      <c r="BL8" s="249" t="s">
        <v>69</v>
      </c>
      <c r="BM8" s="266" t="s">
        <v>270</v>
      </c>
      <c r="BN8" s="287">
        <f>B31</f>
        <v>1.04753425E-2</v>
      </c>
      <c r="BO8" s="249" t="s">
        <v>69</v>
      </c>
      <c r="BP8" s="266" t="s">
        <v>270</v>
      </c>
      <c r="BQ8" s="287">
        <f>B31</f>
        <v>1.04753425E-2</v>
      </c>
      <c r="BR8" s="249" t="s">
        <v>69</v>
      </c>
      <c r="BS8" s="94" t="s">
        <v>157</v>
      </c>
      <c r="BT8" s="289">
        <f>B112</f>
        <v>75</v>
      </c>
      <c r="BU8" s="94" t="s">
        <v>26</v>
      </c>
      <c r="BV8" s="266" t="s">
        <v>251</v>
      </c>
      <c r="BW8" s="287">
        <f>B29</f>
        <v>3.5145699120000001E-15</v>
      </c>
      <c r="BX8" s="263" t="s">
        <v>35</v>
      </c>
      <c r="BY8" s="262" t="s">
        <v>71</v>
      </c>
      <c r="BZ8" s="287">
        <f>B23</f>
        <v>1.6930652399999999E-9</v>
      </c>
      <c r="CA8" s="262" t="s">
        <v>95</v>
      </c>
      <c r="CB8" s="266" t="s">
        <v>270</v>
      </c>
      <c r="CC8" s="287">
        <f>B31</f>
        <v>1.04753425E-2</v>
      </c>
      <c r="CD8" s="249" t="s">
        <v>69</v>
      </c>
      <c r="CE8" s="266" t="s">
        <v>270</v>
      </c>
      <c r="CF8" s="287">
        <f>B31</f>
        <v>1.04753425E-2</v>
      </c>
      <c r="CG8" s="249" t="s">
        <v>69</v>
      </c>
      <c r="CH8" s="266" t="s">
        <v>270</v>
      </c>
      <c r="CI8" s="287">
        <f>B31</f>
        <v>1.04753425E-2</v>
      </c>
      <c r="CJ8" s="249" t="s">
        <v>69</v>
      </c>
      <c r="CK8" s="249" t="s">
        <v>59</v>
      </c>
      <c r="CL8" s="289">
        <f>B109</f>
        <v>26</v>
      </c>
      <c r="CM8" s="266" t="s">
        <v>169</v>
      </c>
      <c r="CN8" s="263" t="s">
        <v>38</v>
      </c>
      <c r="CO8" s="287">
        <f>B45</f>
        <v>0</v>
      </c>
      <c r="CT8" s="262" t="s">
        <v>71</v>
      </c>
      <c r="CU8" s="287">
        <f>B23</f>
        <v>1.6930652399999999E-9</v>
      </c>
      <c r="CV8" s="262" t="s">
        <v>95</v>
      </c>
      <c r="CW8" s="249" t="s">
        <v>25</v>
      </c>
      <c r="CX8" s="289">
        <f>B159</f>
        <v>350</v>
      </c>
      <c r="CY8" s="249" t="s">
        <v>34</v>
      </c>
      <c r="CZ8" s="262" t="s">
        <v>161</v>
      </c>
      <c r="DA8" s="309">
        <f>B29</f>
        <v>3.5145699120000001E-15</v>
      </c>
      <c r="DB8" s="262" t="s">
        <v>35</v>
      </c>
      <c r="DC8" s="262" t="s">
        <v>380</v>
      </c>
      <c r="DD8" s="311">
        <f>B139</f>
        <v>68.099999999999994</v>
      </c>
      <c r="DE8" s="267" t="s">
        <v>254</v>
      </c>
      <c r="DF8" s="262" t="s">
        <v>41</v>
      </c>
      <c r="DG8" s="289">
        <v>3.62</v>
      </c>
      <c r="DH8" s="249" t="s">
        <v>42</v>
      </c>
      <c r="DI8" s="249" t="s">
        <v>330</v>
      </c>
      <c r="DJ8" s="289">
        <f>B48</f>
        <v>0.26</v>
      </c>
      <c r="DL8" s="249" t="s">
        <v>330</v>
      </c>
      <c r="DM8" s="289">
        <f>B48</f>
        <v>0.26</v>
      </c>
      <c r="DO8" s="262" t="s">
        <v>41</v>
      </c>
      <c r="DP8" s="289">
        <f>B181</f>
        <v>3.62</v>
      </c>
      <c r="DQ8" s="249" t="s">
        <v>42</v>
      </c>
      <c r="DR8" s="262" t="s">
        <v>479</v>
      </c>
      <c r="DS8" s="297">
        <f>B143</f>
        <v>349.5</v>
      </c>
      <c r="DT8" s="267" t="s">
        <v>254</v>
      </c>
      <c r="DU8" s="249" t="s">
        <v>287</v>
      </c>
      <c r="DV8" s="297">
        <v>1.03</v>
      </c>
      <c r="DW8" s="249" t="s">
        <v>288</v>
      </c>
      <c r="DX8" s="249" t="s">
        <v>331</v>
      </c>
      <c r="DY8" s="289">
        <f>B49</f>
        <v>0.25</v>
      </c>
      <c r="EA8" s="249" t="s">
        <v>331</v>
      </c>
      <c r="EB8" s="289">
        <f>B49</f>
        <v>0.25</v>
      </c>
      <c r="EC8" s="263"/>
      <c r="ED8" s="249" t="s">
        <v>331</v>
      </c>
      <c r="EE8" s="289">
        <f>B49</f>
        <v>0.25</v>
      </c>
      <c r="EF8" s="263"/>
      <c r="EG8" s="262" t="s">
        <v>481</v>
      </c>
      <c r="EH8" s="297">
        <f>B145</f>
        <v>40.1</v>
      </c>
      <c r="EI8" s="267" t="s">
        <v>254</v>
      </c>
      <c r="EJ8" s="262"/>
      <c r="EM8" s="249" t="s">
        <v>331</v>
      </c>
      <c r="EN8" s="289">
        <f>B49</f>
        <v>0.25</v>
      </c>
      <c r="EP8" s="249" t="s">
        <v>331</v>
      </c>
      <c r="EQ8" s="289">
        <f>B49</f>
        <v>0.25</v>
      </c>
      <c r="ER8" s="263"/>
      <c r="ES8" s="249" t="s">
        <v>331</v>
      </c>
      <c r="ET8" s="289">
        <f>B49</f>
        <v>0.25</v>
      </c>
      <c r="EU8" s="263"/>
      <c r="EV8" s="262" t="s">
        <v>326</v>
      </c>
      <c r="EW8" s="297">
        <f>B147</f>
        <v>10.95</v>
      </c>
      <c r="EX8" s="267" t="s">
        <v>254</v>
      </c>
      <c r="EY8" s="263"/>
      <c r="EZ8" s="293"/>
      <c r="FA8" s="262"/>
      <c r="FB8" s="262" t="s">
        <v>175</v>
      </c>
      <c r="FC8" s="293">
        <f>B49</f>
        <v>0.25</v>
      </c>
      <c r="FD8" s="262"/>
      <c r="FE8" s="262" t="s">
        <v>175</v>
      </c>
      <c r="FF8" s="293">
        <f>B49</f>
        <v>0.25</v>
      </c>
      <c r="FG8" s="263"/>
      <c r="FH8" s="263" t="s">
        <v>175</v>
      </c>
      <c r="FI8" s="307">
        <f>B49</f>
        <v>0.25</v>
      </c>
      <c r="FJ8" s="263"/>
      <c r="FK8" s="262" t="s">
        <v>483</v>
      </c>
      <c r="FL8" s="298">
        <f>B149</f>
        <v>32.799999999999997</v>
      </c>
      <c r="FM8" s="267" t="s">
        <v>254</v>
      </c>
      <c r="FN8" s="263"/>
      <c r="FO8" s="307"/>
      <c r="FP8" s="263"/>
      <c r="FS8" s="263"/>
      <c r="FT8" s="263"/>
      <c r="FU8" s="307"/>
      <c r="FV8" s="263"/>
      <c r="FW8" s="262"/>
      <c r="FX8" s="293"/>
      <c r="FY8" s="262"/>
      <c r="FZ8" s="262" t="s">
        <v>324</v>
      </c>
      <c r="GA8" s="298">
        <f>B151</f>
        <v>23.6</v>
      </c>
      <c r="GB8" s="267" t="s">
        <v>254</v>
      </c>
      <c r="GC8" s="263"/>
      <c r="GD8" s="293"/>
      <c r="GE8" s="262"/>
      <c r="GF8" s="249" t="s">
        <v>331</v>
      </c>
      <c r="GG8" s="293">
        <f>B49</f>
        <v>0.25</v>
      </c>
      <c r="GH8" s="262"/>
      <c r="GI8" s="249" t="s">
        <v>331</v>
      </c>
      <c r="GJ8" s="293">
        <f>B49</f>
        <v>0.25</v>
      </c>
      <c r="GK8" s="262"/>
      <c r="GL8" s="249" t="s">
        <v>331</v>
      </c>
      <c r="GM8" s="293">
        <f>B49</f>
        <v>0.25</v>
      </c>
      <c r="GN8" s="263"/>
      <c r="GO8" s="262" t="s">
        <v>328</v>
      </c>
      <c r="GP8" s="298">
        <f>B153</f>
        <v>18.5</v>
      </c>
      <c r="GQ8" s="267" t="s">
        <v>254</v>
      </c>
      <c r="GR8" s="263"/>
      <c r="GS8" s="293"/>
      <c r="GT8" s="262"/>
      <c r="GU8" s="249" t="s">
        <v>331</v>
      </c>
      <c r="GV8" s="293">
        <f>B49</f>
        <v>0.25</v>
      </c>
      <c r="GW8" s="262"/>
      <c r="GX8" s="249" t="s">
        <v>331</v>
      </c>
      <c r="GY8" s="293">
        <f>B49</f>
        <v>0.25</v>
      </c>
      <c r="GZ8" s="262"/>
      <c r="HA8" s="249" t="s">
        <v>331</v>
      </c>
      <c r="HB8" s="293">
        <f>B49</f>
        <v>0.25</v>
      </c>
      <c r="HC8" s="263"/>
      <c r="HD8" s="266" t="s">
        <v>270</v>
      </c>
      <c r="HE8" s="287">
        <f>B31</f>
        <v>1.04753425E-2</v>
      </c>
      <c r="HF8" s="249" t="s">
        <v>69</v>
      </c>
    </row>
    <row r="9" spans="1:214" x14ac:dyDescent="0.2">
      <c r="A9" s="279" t="s">
        <v>459</v>
      </c>
      <c r="B9" s="70">
        <v>0.72299999999999998</v>
      </c>
      <c r="C9" s="241"/>
      <c r="D9" s="249" t="s">
        <v>341</v>
      </c>
      <c r="E9" s="289">
        <f>B66</f>
        <v>26</v>
      </c>
      <c r="F9" s="249" t="s">
        <v>69</v>
      </c>
      <c r="G9" s="262" t="s">
        <v>438</v>
      </c>
      <c r="H9" s="287">
        <f>B30</f>
        <v>0</v>
      </c>
      <c r="I9" s="267" t="s">
        <v>35</v>
      </c>
      <c r="J9" s="262" t="s">
        <v>438</v>
      </c>
      <c r="K9" s="287">
        <f>B30</f>
        <v>0</v>
      </c>
      <c r="L9" s="267" t="s">
        <v>35</v>
      </c>
      <c r="M9" s="262" t="s">
        <v>338</v>
      </c>
      <c r="N9" s="289">
        <f>B68</f>
        <v>350</v>
      </c>
      <c r="O9" s="249" t="s">
        <v>26</v>
      </c>
      <c r="P9" s="262" t="s">
        <v>338</v>
      </c>
      <c r="Q9" s="289">
        <v>350</v>
      </c>
      <c r="R9" s="249" t="s">
        <v>26</v>
      </c>
      <c r="S9" s="262" t="s">
        <v>338</v>
      </c>
      <c r="T9" s="289">
        <v>350</v>
      </c>
      <c r="U9" s="249" t="s">
        <v>26</v>
      </c>
      <c r="V9" s="249" t="s">
        <v>432</v>
      </c>
      <c r="W9" s="289">
        <f>B245</f>
        <v>25</v>
      </c>
      <c r="X9" s="249" t="s">
        <v>169</v>
      </c>
      <c r="Y9" s="249" t="s">
        <v>75</v>
      </c>
      <c r="Z9" s="289">
        <f>B221</f>
        <v>25</v>
      </c>
      <c r="AA9" s="249" t="s">
        <v>169</v>
      </c>
      <c r="AB9" s="262" t="s">
        <v>317</v>
      </c>
      <c r="AC9" s="287">
        <f>B22</f>
        <v>0</v>
      </c>
      <c r="AD9" s="287">
        <f>B22</f>
        <v>0</v>
      </c>
      <c r="AE9" s="287">
        <f>B22</f>
        <v>0</v>
      </c>
      <c r="AF9" s="287">
        <f>B22</f>
        <v>0</v>
      </c>
      <c r="AG9" s="287">
        <f>B22</f>
        <v>0</v>
      </c>
      <c r="AH9" s="262" t="s">
        <v>35</v>
      </c>
      <c r="AI9" s="262" t="s">
        <v>40</v>
      </c>
      <c r="AJ9" s="289">
        <f>B232</f>
        <v>250</v>
      </c>
      <c r="AK9" s="249" t="s">
        <v>26</v>
      </c>
      <c r="AL9" s="262" t="s">
        <v>40</v>
      </c>
      <c r="AM9" s="289">
        <f>B232</f>
        <v>250</v>
      </c>
      <c r="AN9" s="249" t="s">
        <v>26</v>
      </c>
      <c r="AO9" s="262" t="s">
        <v>40</v>
      </c>
      <c r="AP9" s="289">
        <f>B232</f>
        <v>250</v>
      </c>
      <c r="AQ9" s="249" t="s">
        <v>26</v>
      </c>
      <c r="AR9" s="262" t="s">
        <v>431</v>
      </c>
      <c r="AS9" s="289">
        <f>B244</f>
        <v>225</v>
      </c>
      <c r="AT9" s="249" t="s">
        <v>26</v>
      </c>
      <c r="AU9" s="262" t="s">
        <v>431</v>
      </c>
      <c r="AV9" s="289">
        <f>B244</f>
        <v>225</v>
      </c>
      <c r="AW9" s="249" t="s">
        <v>26</v>
      </c>
      <c r="AX9" s="262" t="s">
        <v>431</v>
      </c>
      <c r="AY9" s="289">
        <f>B244</f>
        <v>225</v>
      </c>
      <c r="AZ9" s="249" t="s">
        <v>26</v>
      </c>
      <c r="BA9" s="262" t="s">
        <v>425</v>
      </c>
      <c r="BB9" s="289">
        <f>B220</f>
        <v>250</v>
      </c>
      <c r="BC9" s="249" t="s">
        <v>26</v>
      </c>
      <c r="BD9" s="262" t="s">
        <v>425</v>
      </c>
      <c r="BE9" s="289">
        <f>B220</f>
        <v>250</v>
      </c>
      <c r="BF9" s="249" t="s">
        <v>26</v>
      </c>
      <c r="BG9" s="262" t="s">
        <v>425</v>
      </c>
      <c r="BH9" s="289">
        <f>B220</f>
        <v>250</v>
      </c>
      <c r="BI9" s="249" t="s">
        <v>26</v>
      </c>
      <c r="BJ9" s="262" t="s">
        <v>221</v>
      </c>
      <c r="BK9" s="289">
        <f>B256</f>
        <v>130</v>
      </c>
      <c r="BL9" s="249" t="s">
        <v>26</v>
      </c>
      <c r="BM9" s="262" t="s">
        <v>221</v>
      </c>
      <c r="BN9" s="289">
        <f>B256</f>
        <v>130</v>
      </c>
      <c r="BO9" s="249" t="s">
        <v>26</v>
      </c>
      <c r="BP9" s="262" t="s">
        <v>221</v>
      </c>
      <c r="BQ9" s="289">
        <f>B256</f>
        <v>130</v>
      </c>
      <c r="BR9" s="249" t="s">
        <v>26</v>
      </c>
      <c r="BS9" s="94" t="s">
        <v>59</v>
      </c>
      <c r="BT9" s="289">
        <f>B109</f>
        <v>26</v>
      </c>
      <c r="BU9" s="270" t="s">
        <v>69</v>
      </c>
      <c r="BV9" s="266" t="s">
        <v>256</v>
      </c>
      <c r="BW9" s="189">
        <f>B30</f>
        <v>0</v>
      </c>
      <c r="BX9" s="271" t="s">
        <v>35</v>
      </c>
      <c r="BY9" s="266" t="s">
        <v>96</v>
      </c>
      <c r="BZ9" s="189">
        <f>B32</f>
        <v>1359344473.5814338</v>
      </c>
      <c r="CA9" s="266" t="s">
        <v>97</v>
      </c>
      <c r="CB9" s="249" t="s">
        <v>157</v>
      </c>
      <c r="CC9" s="289">
        <f>B112</f>
        <v>75</v>
      </c>
      <c r="CD9" s="249" t="s">
        <v>26</v>
      </c>
      <c r="CE9" s="249" t="s">
        <v>157</v>
      </c>
      <c r="CF9" s="289">
        <f>B112</f>
        <v>75</v>
      </c>
      <c r="CG9" s="249" t="s">
        <v>26</v>
      </c>
      <c r="CH9" s="249" t="s">
        <v>157</v>
      </c>
      <c r="CI9" s="289">
        <f>B112</f>
        <v>75</v>
      </c>
      <c r="CJ9" s="249" t="s">
        <v>26</v>
      </c>
      <c r="CK9" s="249" t="s">
        <v>187</v>
      </c>
      <c r="CL9" s="306">
        <f>B105</f>
        <v>1</v>
      </c>
      <c r="CM9" s="249" t="s">
        <v>254</v>
      </c>
      <c r="CN9" s="263" t="s">
        <v>194</v>
      </c>
      <c r="CO9" s="306">
        <f>B49</f>
        <v>0.25</v>
      </c>
      <c r="CT9" s="262" t="s">
        <v>256</v>
      </c>
      <c r="CU9" s="287">
        <f>B30</f>
        <v>0</v>
      </c>
      <c r="CV9" s="267" t="s">
        <v>35</v>
      </c>
      <c r="CW9" s="249" t="s">
        <v>39</v>
      </c>
      <c r="CX9" s="289">
        <f>B157</f>
        <v>40</v>
      </c>
      <c r="CY9" s="249" t="s">
        <v>69</v>
      </c>
      <c r="CZ9" s="262" t="s">
        <v>256</v>
      </c>
      <c r="DA9" s="287">
        <f>B30</f>
        <v>0</v>
      </c>
      <c r="DB9" s="263" t="s">
        <v>35</v>
      </c>
      <c r="DC9" s="262" t="s">
        <v>381</v>
      </c>
      <c r="DD9" s="311">
        <f>B140</f>
        <v>176.8</v>
      </c>
      <c r="DE9" s="267" t="s">
        <v>254</v>
      </c>
      <c r="DF9" s="262" t="s">
        <v>46</v>
      </c>
      <c r="DG9" s="289">
        <v>0.25</v>
      </c>
      <c r="DH9" s="249" t="s">
        <v>47</v>
      </c>
      <c r="DL9" s="263" t="s">
        <v>494</v>
      </c>
      <c r="DM9" s="307">
        <f>DD17</f>
        <v>40</v>
      </c>
      <c r="DN9" s="263" t="s">
        <v>69</v>
      </c>
      <c r="DO9" s="262" t="s">
        <v>46</v>
      </c>
      <c r="DP9" s="289">
        <f>B182</f>
        <v>0.25</v>
      </c>
      <c r="DQ9" s="249" t="s">
        <v>47</v>
      </c>
      <c r="DR9" s="262" t="s">
        <v>480</v>
      </c>
      <c r="DS9" s="297">
        <f>B144</f>
        <v>445.6</v>
      </c>
      <c r="DT9" s="267" t="s">
        <v>254</v>
      </c>
      <c r="DU9" s="262"/>
      <c r="DX9" s="262" t="s">
        <v>278</v>
      </c>
      <c r="DY9" s="287">
        <f>B37</f>
        <v>0</v>
      </c>
      <c r="EA9" s="262" t="s">
        <v>278</v>
      </c>
      <c r="EB9" s="287">
        <f>B37</f>
        <v>0</v>
      </c>
      <c r="EC9" s="263"/>
      <c r="ED9" s="262" t="s">
        <v>278</v>
      </c>
      <c r="EE9" s="287">
        <f>B37</f>
        <v>0</v>
      </c>
      <c r="EF9" s="263"/>
      <c r="EG9" s="262" t="s">
        <v>482</v>
      </c>
      <c r="EH9" s="297">
        <f>B146</f>
        <v>178</v>
      </c>
      <c r="EI9" s="267" t="s">
        <v>254</v>
      </c>
      <c r="EJ9" s="262"/>
      <c r="EM9" s="262" t="s">
        <v>275</v>
      </c>
      <c r="EN9" s="287">
        <f>B38</f>
        <v>0</v>
      </c>
      <c r="EP9" s="262" t="s">
        <v>275</v>
      </c>
      <c r="EQ9" s="310">
        <f>B38</f>
        <v>0</v>
      </c>
      <c r="ER9" s="263"/>
      <c r="ES9" s="262" t="s">
        <v>275</v>
      </c>
      <c r="ET9" s="310">
        <f>B38</f>
        <v>0</v>
      </c>
      <c r="EU9" s="263"/>
      <c r="EV9" s="262" t="s">
        <v>327</v>
      </c>
      <c r="EW9" s="297">
        <f>B148</f>
        <v>53.4</v>
      </c>
      <c r="EX9" s="267" t="s">
        <v>254</v>
      </c>
      <c r="EY9" s="263"/>
      <c r="EZ9" s="293"/>
      <c r="FA9" s="262"/>
      <c r="FB9" s="262" t="s">
        <v>201</v>
      </c>
      <c r="FC9" s="310">
        <f>B40</f>
        <v>0</v>
      </c>
      <c r="FD9" s="262"/>
      <c r="FE9" s="262" t="s">
        <v>201</v>
      </c>
      <c r="FF9" s="310">
        <f>B40</f>
        <v>0</v>
      </c>
      <c r="FG9" s="263"/>
      <c r="FH9" s="262" t="s">
        <v>201</v>
      </c>
      <c r="FI9" s="310">
        <f>B40</f>
        <v>0</v>
      </c>
      <c r="FJ9" s="263"/>
      <c r="FK9" s="262" t="s">
        <v>484</v>
      </c>
      <c r="FL9" s="298">
        <f>B150</f>
        <v>155.4</v>
      </c>
      <c r="FM9" s="267" t="s">
        <v>254</v>
      </c>
      <c r="FN9" s="263"/>
      <c r="FO9" s="307"/>
      <c r="FP9" s="263"/>
      <c r="FS9" s="263"/>
      <c r="FT9" s="263"/>
      <c r="FU9" s="308"/>
      <c r="FV9" s="263"/>
      <c r="FW9" s="262"/>
      <c r="FX9" s="308"/>
      <c r="FY9" s="262"/>
      <c r="FZ9" s="262" t="s">
        <v>325</v>
      </c>
      <c r="GA9" s="298">
        <f>B152</f>
        <v>106.6</v>
      </c>
      <c r="GB9" s="267" t="s">
        <v>254</v>
      </c>
      <c r="GC9" s="263"/>
      <c r="GD9" s="293"/>
      <c r="GE9" s="262"/>
      <c r="GF9" s="262" t="s">
        <v>276</v>
      </c>
      <c r="GG9" s="310">
        <f>B39</f>
        <v>0</v>
      </c>
      <c r="GH9" s="262"/>
      <c r="GI9" s="262" t="s">
        <v>276</v>
      </c>
      <c r="GJ9" s="310">
        <f>B39</f>
        <v>0</v>
      </c>
      <c r="GK9" s="262"/>
      <c r="GL9" s="262" t="s">
        <v>276</v>
      </c>
      <c r="GM9" s="310">
        <f>B39</f>
        <v>0</v>
      </c>
      <c r="GN9" s="263"/>
      <c r="GO9" s="262" t="s">
        <v>329</v>
      </c>
      <c r="GP9" s="298">
        <f>B154</f>
        <v>97.9</v>
      </c>
      <c r="GQ9" s="267" t="s">
        <v>254</v>
      </c>
      <c r="GR9" s="263"/>
      <c r="GS9" s="293"/>
      <c r="GT9" s="262"/>
      <c r="GU9" s="262" t="s">
        <v>277</v>
      </c>
      <c r="GV9" s="310">
        <f>B41</f>
        <v>0</v>
      </c>
      <c r="GW9" s="262"/>
      <c r="GX9" s="262" t="s">
        <v>277</v>
      </c>
      <c r="GY9" s="310">
        <f>B41</f>
        <v>0</v>
      </c>
      <c r="GZ9" s="262"/>
      <c r="HA9" s="262" t="s">
        <v>277</v>
      </c>
      <c r="HB9" s="310">
        <f>B41</f>
        <v>0</v>
      </c>
      <c r="HC9" s="263"/>
      <c r="HD9" s="263" t="s">
        <v>578</v>
      </c>
      <c r="HE9" s="307">
        <f>B283</f>
        <v>0.3</v>
      </c>
    </row>
    <row r="10" spans="1:214" x14ac:dyDescent="0.2">
      <c r="A10" s="279" t="s">
        <v>460</v>
      </c>
      <c r="B10" s="70">
        <v>5.8400000000000001E-2</v>
      </c>
      <c r="C10" s="241"/>
      <c r="D10" s="88" t="s">
        <v>43</v>
      </c>
      <c r="E10" s="187">
        <f>B19</f>
        <v>3.1999999999999999E-11</v>
      </c>
      <c r="F10" s="188" t="s">
        <v>35</v>
      </c>
      <c r="G10" s="266" t="s">
        <v>80</v>
      </c>
      <c r="H10" s="294" t="e">
        <f>(H5/(H6*H15))/H68</f>
        <v>#DIV/0!</v>
      </c>
      <c r="I10" s="271" t="s">
        <v>304</v>
      </c>
      <c r="J10" s="266" t="s">
        <v>96</v>
      </c>
      <c r="K10" s="189">
        <f>B32</f>
        <v>1359344473.5814338</v>
      </c>
      <c r="L10" s="266" t="s">
        <v>97</v>
      </c>
      <c r="M10" s="262" t="s">
        <v>341</v>
      </c>
      <c r="N10" s="289">
        <f>B66</f>
        <v>26</v>
      </c>
      <c r="O10" s="249" t="s">
        <v>69</v>
      </c>
      <c r="P10" s="262" t="s">
        <v>341</v>
      </c>
      <c r="Q10" s="289">
        <f>B66</f>
        <v>26</v>
      </c>
      <c r="R10" s="249" t="s">
        <v>69</v>
      </c>
      <c r="S10" s="262" t="s">
        <v>341</v>
      </c>
      <c r="T10" s="289">
        <f>B66</f>
        <v>26</v>
      </c>
      <c r="U10" s="249" t="s">
        <v>69</v>
      </c>
      <c r="V10" s="249" t="s">
        <v>43</v>
      </c>
      <c r="W10" s="290">
        <f>B19</f>
        <v>3.1999999999999999E-11</v>
      </c>
      <c r="X10" s="263" t="s">
        <v>44</v>
      </c>
      <c r="Y10" s="249" t="s">
        <v>43</v>
      </c>
      <c r="Z10" s="290">
        <f>B19</f>
        <v>3.1999999999999999E-11</v>
      </c>
      <c r="AA10" s="263" t="s">
        <v>44</v>
      </c>
      <c r="AB10" s="262"/>
      <c r="AC10" s="297"/>
      <c r="AD10" s="297"/>
      <c r="AE10" s="297"/>
      <c r="AF10" s="297"/>
      <c r="AG10" s="297"/>
      <c r="AH10" s="262"/>
      <c r="AI10" s="262" t="s">
        <v>429</v>
      </c>
      <c r="AJ10" s="289">
        <f>B233</f>
        <v>25</v>
      </c>
      <c r="AK10" s="249" t="s">
        <v>69</v>
      </c>
      <c r="AL10" s="262" t="s">
        <v>429</v>
      </c>
      <c r="AM10" s="289">
        <f>B233</f>
        <v>25</v>
      </c>
      <c r="AN10" s="249" t="s">
        <v>69</v>
      </c>
      <c r="AO10" s="262" t="s">
        <v>429</v>
      </c>
      <c r="AP10" s="289">
        <f>B233</f>
        <v>25</v>
      </c>
      <c r="AQ10" s="249" t="s">
        <v>69</v>
      </c>
      <c r="AR10" s="262" t="s">
        <v>432</v>
      </c>
      <c r="AS10" s="289">
        <f>B245</f>
        <v>25</v>
      </c>
      <c r="AT10" s="249" t="s">
        <v>69</v>
      </c>
      <c r="AU10" s="262" t="s">
        <v>432</v>
      </c>
      <c r="AV10" s="289">
        <f>B245</f>
        <v>25</v>
      </c>
      <c r="AW10" s="249" t="s">
        <v>69</v>
      </c>
      <c r="AX10" s="262" t="s">
        <v>432</v>
      </c>
      <c r="AY10" s="289">
        <f>B245</f>
        <v>25</v>
      </c>
      <c r="AZ10" s="249" t="s">
        <v>69</v>
      </c>
      <c r="BA10" s="262" t="s">
        <v>75</v>
      </c>
      <c r="BB10" s="289">
        <f>B221</f>
        <v>25</v>
      </c>
      <c r="BC10" s="249" t="s">
        <v>69</v>
      </c>
      <c r="BD10" s="262" t="s">
        <v>75</v>
      </c>
      <c r="BE10" s="289">
        <f>B221</f>
        <v>25</v>
      </c>
      <c r="BF10" s="249" t="s">
        <v>69</v>
      </c>
      <c r="BG10" s="262" t="s">
        <v>75</v>
      </c>
      <c r="BH10" s="289">
        <f>B221</f>
        <v>25</v>
      </c>
      <c r="BI10" s="249" t="s">
        <v>69</v>
      </c>
      <c r="BJ10" s="262" t="s">
        <v>219</v>
      </c>
      <c r="BK10" s="289">
        <f>B280</f>
        <v>26</v>
      </c>
      <c r="BL10" s="249" t="s">
        <v>130</v>
      </c>
      <c r="BM10" s="262" t="s">
        <v>219</v>
      </c>
      <c r="BN10" s="289">
        <f>B280</f>
        <v>26</v>
      </c>
      <c r="BO10" s="249" t="s">
        <v>130</v>
      </c>
      <c r="BP10" s="262" t="s">
        <v>219</v>
      </c>
      <c r="BQ10" s="289">
        <f>B280</f>
        <v>26</v>
      </c>
      <c r="BR10" s="249" t="s">
        <v>130</v>
      </c>
      <c r="BS10" s="249" t="s">
        <v>43</v>
      </c>
      <c r="BT10" s="290">
        <f>E10</f>
        <v>3.1999999999999999E-11</v>
      </c>
      <c r="BU10" s="263" t="s">
        <v>35</v>
      </c>
      <c r="BV10" s="266" t="s">
        <v>80</v>
      </c>
      <c r="BW10" s="294" t="e">
        <f>(BW5/(BW6*BW12))/BW32</f>
        <v>#DIV/0!</v>
      </c>
      <c r="BX10" s="271" t="s">
        <v>304</v>
      </c>
      <c r="BY10" s="188" t="s">
        <v>16</v>
      </c>
      <c r="BZ10" s="191">
        <f>(BZ33*BZ11)/(1-EXP(-BZ11*BZ33))</f>
        <v>1720.0392254477595</v>
      </c>
      <c r="CA10" s="88"/>
      <c r="CB10" s="249" t="s">
        <v>59</v>
      </c>
      <c r="CC10" s="289">
        <f>B109</f>
        <v>26</v>
      </c>
      <c r="CD10" s="249" t="s">
        <v>69</v>
      </c>
      <c r="CE10" s="249" t="s">
        <v>59</v>
      </c>
      <c r="CF10" s="289">
        <f>B109</f>
        <v>26</v>
      </c>
      <c r="CG10" s="249" t="s">
        <v>69</v>
      </c>
      <c r="CH10" s="249" t="s">
        <v>59</v>
      </c>
      <c r="CI10" s="289">
        <f>B109</f>
        <v>26</v>
      </c>
      <c r="CJ10" s="249" t="s">
        <v>69</v>
      </c>
      <c r="CK10" s="95" t="s">
        <v>299</v>
      </c>
      <c r="CL10" s="289">
        <f>B293</f>
        <v>27.027027027027</v>
      </c>
      <c r="CN10" s="263" t="s">
        <v>192</v>
      </c>
      <c r="CO10" s="108">
        <f>B120</f>
        <v>1</v>
      </c>
      <c r="CP10" s="249" t="s">
        <v>283</v>
      </c>
      <c r="CT10" s="262" t="s">
        <v>96</v>
      </c>
      <c r="CU10" s="287">
        <f>B32</f>
        <v>1359344473.5814338</v>
      </c>
      <c r="CV10" s="262" t="s">
        <v>97</v>
      </c>
      <c r="CW10" s="249" t="s">
        <v>43</v>
      </c>
      <c r="CX10" s="290">
        <f>B19</f>
        <v>3.1999999999999999E-11</v>
      </c>
      <c r="CY10" s="263" t="s">
        <v>35</v>
      </c>
      <c r="CZ10" s="263" t="s">
        <v>16</v>
      </c>
      <c r="DA10" s="288">
        <f>(DA38*DA11)/(1-EXP(-DA11*DA38))</f>
        <v>2646.2141929965533</v>
      </c>
      <c r="DC10" s="262" t="s">
        <v>499</v>
      </c>
      <c r="DD10" s="312">
        <f>(DD11*DD14*DD15)+(DD12*DD13*DD16)</f>
        <v>1583400</v>
      </c>
      <c r="DE10" s="267" t="s">
        <v>149</v>
      </c>
      <c r="DF10" s="267" t="s">
        <v>37</v>
      </c>
      <c r="DG10" s="287">
        <f>B44</f>
        <v>0</v>
      </c>
      <c r="DL10" s="267"/>
      <c r="DO10" s="267" t="s">
        <v>37</v>
      </c>
      <c r="DP10" s="287">
        <f>B44</f>
        <v>0</v>
      </c>
      <c r="DR10" s="262" t="s">
        <v>387</v>
      </c>
      <c r="DS10" s="298">
        <f>B158</f>
        <v>350</v>
      </c>
      <c r="DT10" s="262" t="s">
        <v>26</v>
      </c>
      <c r="DU10" s="267"/>
      <c r="DX10" s="262" t="s">
        <v>406</v>
      </c>
      <c r="DY10" s="289">
        <f>B193</f>
        <v>20.3</v>
      </c>
      <c r="EA10" s="262" t="s">
        <v>406</v>
      </c>
      <c r="EB10" s="289">
        <f>B193</f>
        <v>20.3</v>
      </c>
      <c r="EC10" s="263"/>
      <c r="ED10" s="262" t="s">
        <v>406</v>
      </c>
      <c r="EE10" s="289">
        <f>B193</f>
        <v>20.3</v>
      </c>
      <c r="EF10" s="263"/>
      <c r="EG10" s="262" t="s">
        <v>387</v>
      </c>
      <c r="EH10" s="298">
        <f>B158</f>
        <v>350</v>
      </c>
      <c r="EI10" s="262" t="s">
        <v>26</v>
      </c>
      <c r="EJ10" s="267"/>
      <c r="EM10" s="262" t="s">
        <v>410</v>
      </c>
      <c r="EN10" s="289">
        <f>B198</f>
        <v>11.77</v>
      </c>
      <c r="EP10" s="262" t="s">
        <v>410</v>
      </c>
      <c r="EQ10" s="289">
        <f>B198</f>
        <v>11.77</v>
      </c>
      <c r="ER10" s="263"/>
      <c r="ES10" s="262" t="s">
        <v>410</v>
      </c>
      <c r="ET10" s="289">
        <f>B198</f>
        <v>11.77</v>
      </c>
      <c r="EU10" s="263"/>
      <c r="EV10" s="262" t="s">
        <v>387</v>
      </c>
      <c r="EW10" s="298">
        <f>B158</f>
        <v>350</v>
      </c>
      <c r="EX10" s="262" t="s">
        <v>26</v>
      </c>
      <c r="EY10" s="263"/>
      <c r="EZ10" s="293"/>
      <c r="FA10" s="262"/>
      <c r="FB10" s="262" t="s">
        <v>177</v>
      </c>
      <c r="FC10" s="293">
        <f>B203</f>
        <v>0.2</v>
      </c>
      <c r="FD10" s="262"/>
      <c r="FE10" s="262" t="s">
        <v>177</v>
      </c>
      <c r="FF10" s="293">
        <f>B203</f>
        <v>0.2</v>
      </c>
      <c r="FG10" s="263"/>
      <c r="FH10" s="263" t="s">
        <v>177</v>
      </c>
      <c r="FI10" s="293">
        <f>B203</f>
        <v>0.2</v>
      </c>
      <c r="FJ10" s="263"/>
      <c r="FK10" s="262" t="s">
        <v>387</v>
      </c>
      <c r="FL10" s="298">
        <f>B158</f>
        <v>350</v>
      </c>
      <c r="FM10" s="262" t="s">
        <v>26</v>
      </c>
      <c r="FN10" s="263"/>
      <c r="FO10" s="307"/>
      <c r="FP10" s="263"/>
      <c r="FS10" s="263"/>
      <c r="FT10" s="263"/>
      <c r="FU10" s="308"/>
      <c r="FV10" s="263"/>
      <c r="FW10" s="262"/>
      <c r="FX10" s="308"/>
      <c r="FY10" s="262"/>
      <c r="FZ10" s="262" t="s">
        <v>387</v>
      </c>
      <c r="GA10" s="298">
        <f>B158</f>
        <v>350</v>
      </c>
      <c r="GB10" s="262" t="s">
        <v>26</v>
      </c>
      <c r="GC10" s="263"/>
      <c r="GD10" s="293"/>
      <c r="GE10" s="262"/>
      <c r="GF10" s="262" t="s">
        <v>415</v>
      </c>
      <c r="GG10" s="293">
        <f>B208</f>
        <v>0.2</v>
      </c>
      <c r="GH10" s="262"/>
      <c r="GI10" s="262" t="s">
        <v>415</v>
      </c>
      <c r="GJ10" s="293">
        <f>B208</f>
        <v>0.2</v>
      </c>
      <c r="GK10" s="262"/>
      <c r="GL10" s="262" t="s">
        <v>415</v>
      </c>
      <c r="GM10" s="293">
        <f>B208</f>
        <v>0.2</v>
      </c>
      <c r="GN10" s="263"/>
      <c r="GO10" s="262" t="s">
        <v>387</v>
      </c>
      <c r="GP10" s="298">
        <f>B158</f>
        <v>350</v>
      </c>
      <c r="GQ10" s="262" t="s">
        <v>26</v>
      </c>
      <c r="GR10" s="263"/>
      <c r="GS10" s="293"/>
      <c r="GT10" s="262"/>
      <c r="GU10" s="262" t="s">
        <v>419</v>
      </c>
      <c r="GV10" s="293">
        <f>B213</f>
        <v>4.7</v>
      </c>
      <c r="GW10" s="262"/>
      <c r="GX10" s="262" t="s">
        <v>419</v>
      </c>
      <c r="GY10" s="293">
        <f>B213</f>
        <v>4.7</v>
      </c>
      <c r="GZ10" s="262"/>
      <c r="HA10" s="262" t="s">
        <v>419</v>
      </c>
      <c r="HB10" s="293">
        <f>B213</f>
        <v>4.7</v>
      </c>
      <c r="HC10" s="263"/>
      <c r="HD10" s="263" t="s">
        <v>577</v>
      </c>
      <c r="HE10" s="298">
        <f>B282</f>
        <v>1.5</v>
      </c>
    </row>
    <row r="11" spans="1:214" x14ac:dyDescent="0.2">
      <c r="A11" s="279" t="s">
        <v>461</v>
      </c>
      <c r="B11" s="70">
        <v>0.70099999999999996</v>
      </c>
      <c r="C11" s="241"/>
      <c r="D11" s="266" t="s">
        <v>48</v>
      </c>
      <c r="E11" s="190">
        <f>((E14/E15)*E24*E12*E16)+((E15/E15)*E25*E13*E17)</f>
        <v>161000</v>
      </c>
      <c r="F11" s="88" t="s">
        <v>268</v>
      </c>
      <c r="G11" s="266" t="s">
        <v>74</v>
      </c>
      <c r="H11" s="295">
        <f>(H5/(H7*H16*H28))/H68</f>
        <v>1.4363354037267096E-2</v>
      </c>
      <c r="I11" s="271" t="s">
        <v>304</v>
      </c>
      <c r="J11" s="188" t="s">
        <v>16</v>
      </c>
      <c r="K11" s="109">
        <f>(K46*K12)/(1-EXP(-K12*K46))</f>
        <v>1720.0392254477595</v>
      </c>
      <c r="L11" s="88"/>
      <c r="M11" s="249" t="s">
        <v>52</v>
      </c>
      <c r="N11" s="289">
        <v>0.4</v>
      </c>
      <c r="P11" s="249" t="s">
        <v>52</v>
      </c>
      <c r="Q11" s="289">
        <v>0.4</v>
      </c>
      <c r="S11" s="249" t="s">
        <v>52</v>
      </c>
      <c r="T11" s="289">
        <v>0.4</v>
      </c>
      <c r="V11" s="249" t="s">
        <v>464</v>
      </c>
      <c r="W11" s="298">
        <f>B251</f>
        <v>8</v>
      </c>
      <c r="X11" s="263" t="s">
        <v>224</v>
      </c>
      <c r="Y11" s="249" t="s">
        <v>473</v>
      </c>
      <c r="Z11" s="298">
        <f>B227+B228</f>
        <v>8</v>
      </c>
      <c r="AA11" s="263" t="s">
        <v>224</v>
      </c>
      <c r="AB11" s="262" t="s">
        <v>39</v>
      </c>
      <c r="AC11" s="297">
        <f>B221</f>
        <v>25</v>
      </c>
      <c r="AD11" s="297">
        <f>B233</f>
        <v>25</v>
      </c>
      <c r="AE11" s="297">
        <f>B245</f>
        <v>25</v>
      </c>
      <c r="AF11" s="297">
        <f>B257</f>
        <v>1</v>
      </c>
      <c r="AG11" s="297">
        <f>B271</f>
        <v>1</v>
      </c>
      <c r="AH11" s="262" t="s">
        <v>69</v>
      </c>
      <c r="AI11" s="249" t="s">
        <v>52</v>
      </c>
      <c r="AJ11" s="289">
        <f>B237</f>
        <v>0.4</v>
      </c>
      <c r="AL11" s="249" t="s">
        <v>52</v>
      </c>
      <c r="AM11" s="289">
        <f>B237</f>
        <v>0.4</v>
      </c>
      <c r="AO11" s="249" t="s">
        <v>52</v>
      </c>
      <c r="AP11" s="289">
        <f>B237</f>
        <v>0.4</v>
      </c>
      <c r="AR11" s="249" t="s">
        <v>52</v>
      </c>
      <c r="AS11" s="289">
        <f>B249</f>
        <v>0.4</v>
      </c>
      <c r="AU11" s="249" t="s">
        <v>52</v>
      </c>
      <c r="AV11" s="289">
        <f>B249</f>
        <v>0.4</v>
      </c>
      <c r="AX11" s="249" t="s">
        <v>52</v>
      </c>
      <c r="AY11" s="289">
        <f>B249</f>
        <v>0.4</v>
      </c>
      <c r="BA11" s="249" t="s">
        <v>52</v>
      </c>
      <c r="BB11" s="289">
        <f>B225</f>
        <v>0.4</v>
      </c>
      <c r="BD11" s="249" t="s">
        <v>52</v>
      </c>
      <c r="BE11" s="289">
        <f>B225</f>
        <v>0.4</v>
      </c>
      <c r="BG11" s="249" t="s">
        <v>52</v>
      </c>
      <c r="BH11" s="289">
        <f>B225</f>
        <v>0.4</v>
      </c>
      <c r="BJ11" s="262" t="s">
        <v>220</v>
      </c>
      <c r="BK11" s="289">
        <f>B279</f>
        <v>5</v>
      </c>
      <c r="BL11" s="249" t="s">
        <v>129</v>
      </c>
      <c r="BM11" s="262" t="s">
        <v>220</v>
      </c>
      <c r="BN11" s="289">
        <f>B279</f>
        <v>5</v>
      </c>
      <c r="BO11" s="249" t="s">
        <v>129</v>
      </c>
      <c r="BP11" s="262" t="s">
        <v>220</v>
      </c>
      <c r="BQ11" s="289">
        <f>B279</f>
        <v>5</v>
      </c>
      <c r="BR11" s="249" t="s">
        <v>129</v>
      </c>
      <c r="BS11" s="262" t="s">
        <v>48</v>
      </c>
      <c r="BT11" s="291">
        <f>(BT25*BT17*BT14*(1/24)*BT12)+(BT26*BT18*BT15*(1/24)*BT13)</f>
        <v>1437.5</v>
      </c>
      <c r="BU11" s="249" t="s">
        <v>268</v>
      </c>
      <c r="BV11" s="266" t="s">
        <v>160</v>
      </c>
      <c r="BW11" s="296">
        <f>(BW5/(BW8*(1/BW31)*BW15))/BW32</f>
        <v>47293236.09351629</v>
      </c>
      <c r="BX11" s="271" t="s">
        <v>304</v>
      </c>
      <c r="BY11" s="266" t="s">
        <v>23</v>
      </c>
      <c r="BZ11" s="109">
        <f>0.693/BZ12</f>
        <v>66.155354824913829</v>
      </c>
      <c r="CA11" s="88"/>
      <c r="CB11" s="249" t="s">
        <v>456</v>
      </c>
      <c r="CC11" s="287">
        <f>B3</f>
        <v>6.8000000000000005E-2</v>
      </c>
      <c r="CE11" s="249" t="s">
        <v>454</v>
      </c>
      <c r="CF11" s="287">
        <f>B6</f>
        <v>3.7100000000000001E-2</v>
      </c>
      <c r="CH11" s="249" t="s">
        <v>460</v>
      </c>
      <c r="CI11" s="287">
        <f>B10</f>
        <v>5.8400000000000001E-2</v>
      </c>
      <c r="CK11" s="266" t="s">
        <v>270</v>
      </c>
      <c r="CL11" s="287">
        <f>B31</f>
        <v>1.04753425E-2</v>
      </c>
      <c r="CM11" s="249" t="s">
        <v>69</v>
      </c>
      <c r="CN11" s="263" t="s">
        <v>189</v>
      </c>
      <c r="CO11" s="306">
        <f>B121</f>
        <v>1</v>
      </c>
      <c r="CP11" s="249" t="s">
        <v>283</v>
      </c>
      <c r="CT11" s="263" t="s">
        <v>16</v>
      </c>
      <c r="CU11" s="288">
        <f>(CU44*CU12)/(1-EXP(-CU12*CU44))</f>
        <v>2646.2141929965533</v>
      </c>
      <c r="CW11" s="262" t="s">
        <v>48</v>
      </c>
      <c r="CX11" s="312">
        <f>((CX15/24)*CX24*CX12*CX16)+((CX14/24)*CX25*CX13*CX17)</f>
        <v>259000</v>
      </c>
      <c r="CY11" s="249" t="s">
        <v>268</v>
      </c>
      <c r="CZ11" s="262" t="s">
        <v>23</v>
      </c>
      <c r="DA11" s="288">
        <f>0.693/DA12</f>
        <v>66.155354824913829</v>
      </c>
      <c r="DC11" s="262" t="s">
        <v>382</v>
      </c>
      <c r="DD11" s="311">
        <f>B141</f>
        <v>41.7</v>
      </c>
      <c r="DE11" s="267" t="s">
        <v>254</v>
      </c>
      <c r="DF11" s="267" t="s">
        <v>55</v>
      </c>
      <c r="DG11" s="288">
        <f>DG19+DG20</f>
        <v>0.18144061256544503</v>
      </c>
      <c r="DL11" s="267"/>
      <c r="DO11" s="267" t="s">
        <v>55</v>
      </c>
      <c r="DP11" s="288">
        <f>DP19+DP20</f>
        <v>0.18144061256544503</v>
      </c>
      <c r="DR11" s="262" t="s">
        <v>388</v>
      </c>
      <c r="DS11" s="298">
        <f>B159</f>
        <v>350</v>
      </c>
      <c r="DT11" s="262" t="s">
        <v>26</v>
      </c>
      <c r="DU11" s="267"/>
      <c r="DX11" s="262" t="s">
        <v>407</v>
      </c>
      <c r="DY11" s="289">
        <f>B194</f>
        <v>0.4</v>
      </c>
      <c r="EA11" s="262" t="s">
        <v>407</v>
      </c>
      <c r="EB11" s="289">
        <f>B194</f>
        <v>0.4</v>
      </c>
      <c r="EC11" s="263"/>
      <c r="ED11" s="262" t="s">
        <v>407</v>
      </c>
      <c r="EE11" s="289">
        <f>B194</f>
        <v>0.4</v>
      </c>
      <c r="EF11" s="263"/>
      <c r="EG11" s="262" t="s">
        <v>388</v>
      </c>
      <c r="EH11" s="298">
        <f>B159</f>
        <v>350</v>
      </c>
      <c r="EI11" s="262" t="s">
        <v>26</v>
      </c>
      <c r="EJ11" s="267"/>
      <c r="EM11" s="262" t="s">
        <v>411</v>
      </c>
      <c r="EN11" s="289">
        <f>B199</f>
        <v>0.5</v>
      </c>
      <c r="EP11" s="262" t="s">
        <v>411</v>
      </c>
      <c r="EQ11" s="289">
        <f>B199</f>
        <v>0.5</v>
      </c>
      <c r="ER11" s="263"/>
      <c r="ES11" s="262" t="s">
        <v>411</v>
      </c>
      <c r="ET11" s="289">
        <f>B199</f>
        <v>0.5</v>
      </c>
      <c r="EU11" s="263"/>
      <c r="EV11" s="262" t="s">
        <v>388</v>
      </c>
      <c r="EW11" s="298">
        <f>B159</f>
        <v>350</v>
      </c>
      <c r="EX11" s="262" t="s">
        <v>26</v>
      </c>
      <c r="EY11" s="263"/>
      <c r="EZ11" s="293"/>
      <c r="FA11" s="262"/>
      <c r="FB11" s="262" t="s">
        <v>176</v>
      </c>
      <c r="FC11" s="293">
        <f>B204</f>
        <v>2.1999999999999999E-2</v>
      </c>
      <c r="FD11" s="262"/>
      <c r="FE11" s="262" t="s">
        <v>176</v>
      </c>
      <c r="FF11" s="293">
        <f>B204</f>
        <v>2.1999999999999999E-2</v>
      </c>
      <c r="FG11" s="263"/>
      <c r="FH11" s="263" t="s">
        <v>176</v>
      </c>
      <c r="FI11" s="293">
        <f>B204</f>
        <v>2.1999999999999999E-2</v>
      </c>
      <c r="FJ11" s="263"/>
      <c r="FK11" s="262" t="s">
        <v>388</v>
      </c>
      <c r="FL11" s="298">
        <f>B159</f>
        <v>350</v>
      </c>
      <c r="FM11" s="262" t="s">
        <v>26</v>
      </c>
      <c r="FN11" s="263"/>
      <c r="FO11" s="307"/>
      <c r="FP11" s="263"/>
      <c r="FS11" s="263"/>
      <c r="FT11" s="263"/>
      <c r="FU11" s="308"/>
      <c r="FV11" s="263"/>
      <c r="FW11" s="262"/>
      <c r="FX11" s="308"/>
      <c r="FY11" s="262"/>
      <c r="FZ11" s="262" t="s">
        <v>388</v>
      </c>
      <c r="GA11" s="298">
        <f>B159</f>
        <v>350</v>
      </c>
      <c r="GB11" s="262" t="s">
        <v>26</v>
      </c>
      <c r="GC11" s="263"/>
      <c r="GD11" s="293"/>
      <c r="GE11" s="262"/>
      <c r="GF11" s="262" t="s">
        <v>416</v>
      </c>
      <c r="GG11" s="293">
        <f>B209</f>
        <v>2.1999999999999999E-2</v>
      </c>
      <c r="GH11" s="262"/>
      <c r="GI11" s="262" t="s">
        <v>416</v>
      </c>
      <c r="GJ11" s="293">
        <f>B209</f>
        <v>2.1999999999999999E-2</v>
      </c>
      <c r="GK11" s="262"/>
      <c r="GL11" s="262" t="s">
        <v>416</v>
      </c>
      <c r="GM11" s="293">
        <f>B209</f>
        <v>2.1999999999999999E-2</v>
      </c>
      <c r="GN11" s="263"/>
      <c r="GO11" s="262" t="s">
        <v>388</v>
      </c>
      <c r="GP11" s="298">
        <f>B159</f>
        <v>350</v>
      </c>
      <c r="GQ11" s="262" t="s">
        <v>26</v>
      </c>
      <c r="GR11" s="263"/>
      <c r="GS11" s="293"/>
      <c r="GT11" s="262"/>
      <c r="GU11" s="262" t="s">
        <v>420</v>
      </c>
      <c r="GV11" s="293">
        <f>B214</f>
        <v>0.37</v>
      </c>
      <c r="GW11" s="262"/>
      <c r="GX11" s="262" t="s">
        <v>420</v>
      </c>
      <c r="GY11" s="293">
        <f>B214</f>
        <v>0.37</v>
      </c>
      <c r="GZ11" s="262"/>
      <c r="HA11" s="262" t="s">
        <v>420</v>
      </c>
      <c r="HB11" s="293">
        <f>B214</f>
        <v>0.37</v>
      </c>
      <c r="HC11" s="263"/>
      <c r="HD11" s="263" t="s">
        <v>107</v>
      </c>
      <c r="HE11" s="307">
        <f>B66</f>
        <v>26</v>
      </c>
    </row>
    <row r="12" spans="1:214" x14ac:dyDescent="0.2">
      <c r="A12" s="279" t="s">
        <v>462</v>
      </c>
      <c r="B12" s="70">
        <v>2.2499999999999999E-2</v>
      </c>
      <c r="C12" s="241"/>
      <c r="D12" s="266" t="s">
        <v>318</v>
      </c>
      <c r="E12" s="313">
        <f>B51</f>
        <v>10</v>
      </c>
      <c r="F12" s="271" t="s">
        <v>49</v>
      </c>
      <c r="G12" s="266" t="s">
        <v>160</v>
      </c>
      <c r="H12" s="295">
        <f>(H5/(H8*(1/H45)*H21))/H68</f>
        <v>15108422.408642983</v>
      </c>
      <c r="I12" s="271" t="s">
        <v>304</v>
      </c>
      <c r="J12" s="266" t="s">
        <v>23</v>
      </c>
      <c r="K12" s="109">
        <f>0.693/K13</f>
        <v>66.155354824913829</v>
      </c>
      <c r="L12" s="88"/>
      <c r="M12" s="249" t="s">
        <v>56</v>
      </c>
      <c r="N12" s="289">
        <v>1</v>
      </c>
      <c r="P12" s="249" t="s">
        <v>56</v>
      </c>
      <c r="Q12" s="289">
        <v>1</v>
      </c>
      <c r="S12" s="249" t="s">
        <v>56</v>
      </c>
      <c r="T12" s="289">
        <v>1</v>
      </c>
      <c r="W12" s="298">
        <v>24</v>
      </c>
      <c r="X12" s="263" t="s">
        <v>224</v>
      </c>
      <c r="Z12" s="298">
        <v>24</v>
      </c>
      <c r="AA12" s="263" t="s">
        <v>224</v>
      </c>
      <c r="AB12" s="262" t="s">
        <v>252</v>
      </c>
      <c r="AC12" s="297"/>
      <c r="AD12" s="297"/>
      <c r="AE12" s="297"/>
      <c r="AF12" s="297">
        <f>B266</f>
        <v>5</v>
      </c>
      <c r="AG12" s="297">
        <f>B279</f>
        <v>5</v>
      </c>
      <c r="AH12" s="262" t="s">
        <v>129</v>
      </c>
      <c r="AI12" s="249" t="s">
        <v>56</v>
      </c>
      <c r="AJ12" s="289">
        <f>B236</f>
        <v>1</v>
      </c>
      <c r="AL12" s="249" t="s">
        <v>56</v>
      </c>
      <c r="AM12" s="289">
        <f>B236</f>
        <v>1</v>
      </c>
      <c r="AO12" s="249" t="s">
        <v>56</v>
      </c>
      <c r="AP12" s="289">
        <f>B236</f>
        <v>1</v>
      </c>
      <c r="AR12" s="249" t="s">
        <v>56</v>
      </c>
      <c r="AS12" s="289">
        <f>B248</f>
        <v>1</v>
      </c>
      <c r="AU12" s="249" t="s">
        <v>56</v>
      </c>
      <c r="AV12" s="289">
        <f>B248</f>
        <v>1</v>
      </c>
      <c r="AX12" s="249" t="s">
        <v>56</v>
      </c>
      <c r="AY12" s="289">
        <f>B248</f>
        <v>1</v>
      </c>
      <c r="BA12" s="249" t="s">
        <v>56</v>
      </c>
      <c r="BB12" s="289">
        <f>B224</f>
        <v>1</v>
      </c>
      <c r="BD12" s="249" t="s">
        <v>56</v>
      </c>
      <c r="BE12" s="289">
        <f>B224</f>
        <v>1</v>
      </c>
      <c r="BG12" s="249" t="s">
        <v>56</v>
      </c>
      <c r="BH12" s="289">
        <f>B224</f>
        <v>1</v>
      </c>
      <c r="BJ12" s="262" t="s">
        <v>186</v>
      </c>
      <c r="BK12" s="289">
        <f>B271</f>
        <v>1</v>
      </c>
      <c r="BL12" s="249" t="s">
        <v>169</v>
      </c>
      <c r="BM12" s="262" t="s">
        <v>186</v>
      </c>
      <c r="BN12" s="289">
        <f>B271</f>
        <v>1</v>
      </c>
      <c r="BO12" s="249" t="s">
        <v>169</v>
      </c>
      <c r="BP12" s="262" t="s">
        <v>186</v>
      </c>
      <c r="BQ12" s="289">
        <f>B271</f>
        <v>1</v>
      </c>
      <c r="BR12" s="249" t="s">
        <v>169</v>
      </c>
      <c r="BS12" s="262" t="s">
        <v>358</v>
      </c>
      <c r="BT12" s="292">
        <f>B99</f>
        <v>10</v>
      </c>
      <c r="BU12" s="267" t="s">
        <v>49</v>
      </c>
      <c r="BV12" s="266" t="s">
        <v>488</v>
      </c>
      <c r="BW12" s="209">
        <f>((BW17*BW20*BW22*BW25*BW13)+(BW18*BW21*BW23*BW26*BW14))</f>
        <v>97.5</v>
      </c>
      <c r="BX12" s="266" t="s">
        <v>116</v>
      </c>
      <c r="BY12" s="266" t="s">
        <v>270</v>
      </c>
      <c r="BZ12" s="189">
        <f>B31</f>
        <v>1.04753425E-2</v>
      </c>
      <c r="CA12" s="88" t="s">
        <v>69</v>
      </c>
      <c r="CB12" s="249" t="s">
        <v>457</v>
      </c>
      <c r="CC12" s="287">
        <f>B4</f>
        <v>0.75600000000000001</v>
      </c>
      <c r="CE12" s="249" t="s">
        <v>455</v>
      </c>
      <c r="CF12" s="287">
        <f>B7</f>
        <v>0.65</v>
      </c>
      <c r="CH12" s="249" t="s">
        <v>461</v>
      </c>
      <c r="CI12" s="287">
        <f>B11</f>
        <v>0.70099999999999996</v>
      </c>
      <c r="CK12" s="249" t="s">
        <v>23</v>
      </c>
      <c r="CL12" s="288">
        <f>693/CL11</f>
        <v>66155.35482491384</v>
      </c>
      <c r="CN12" s="263" t="s">
        <v>190</v>
      </c>
      <c r="CO12" s="306">
        <f>B122</f>
        <v>1</v>
      </c>
      <c r="CP12" s="249" t="s">
        <v>47</v>
      </c>
      <c r="CT12" s="262" t="s">
        <v>23</v>
      </c>
      <c r="CU12" s="288">
        <f>0.693/CU13</f>
        <v>66.155354824913829</v>
      </c>
      <c r="CW12" s="262" t="s">
        <v>53</v>
      </c>
      <c r="CX12" s="292">
        <f>B51</f>
        <v>10</v>
      </c>
      <c r="CY12" s="267" t="s">
        <v>49</v>
      </c>
      <c r="CZ12" s="266" t="s">
        <v>270</v>
      </c>
      <c r="DA12" s="287">
        <f>B31</f>
        <v>1.04753425E-2</v>
      </c>
      <c r="DB12" s="249" t="s">
        <v>69</v>
      </c>
      <c r="DC12" s="262" t="s">
        <v>383</v>
      </c>
      <c r="DD12" s="311">
        <f>B142</f>
        <v>125.7</v>
      </c>
      <c r="DE12" s="267" t="s">
        <v>254</v>
      </c>
      <c r="DF12" s="267" t="s">
        <v>60</v>
      </c>
      <c r="DG12" s="289">
        <v>10950</v>
      </c>
      <c r="DH12" s="249" t="s">
        <v>61</v>
      </c>
      <c r="DL12" s="267"/>
      <c r="DO12" s="267" t="s">
        <v>60</v>
      </c>
      <c r="DP12" s="289">
        <f>B183</f>
        <v>10950</v>
      </c>
      <c r="DQ12" s="249" t="s">
        <v>61</v>
      </c>
      <c r="DR12" s="262" t="s">
        <v>384</v>
      </c>
      <c r="DS12" s="297">
        <f>B155</f>
        <v>6</v>
      </c>
      <c r="DT12" s="263" t="s">
        <v>69</v>
      </c>
      <c r="DU12" s="267"/>
      <c r="DX12" s="262" t="s">
        <v>408</v>
      </c>
      <c r="DY12" s="289">
        <f>B195</f>
        <v>1</v>
      </c>
      <c r="EA12" s="262" t="s">
        <v>408</v>
      </c>
      <c r="EB12" s="289">
        <f>B195</f>
        <v>1</v>
      </c>
      <c r="EC12" s="263"/>
      <c r="ED12" s="262" t="s">
        <v>408</v>
      </c>
      <c r="EE12" s="289">
        <f>B195</f>
        <v>1</v>
      </c>
      <c r="EF12" s="263"/>
      <c r="EG12" s="262" t="s">
        <v>384</v>
      </c>
      <c r="EH12" s="297">
        <f>B155</f>
        <v>6</v>
      </c>
      <c r="EI12" s="262" t="s">
        <v>69</v>
      </c>
      <c r="EJ12" s="267"/>
      <c r="EM12" s="262" t="s">
        <v>412</v>
      </c>
      <c r="EN12" s="289">
        <f>B200</f>
        <v>1</v>
      </c>
      <c r="EP12" s="262" t="s">
        <v>412</v>
      </c>
      <c r="EQ12" s="289">
        <f>B200</f>
        <v>1</v>
      </c>
      <c r="ER12" s="263"/>
      <c r="ES12" s="262" t="s">
        <v>412</v>
      </c>
      <c r="ET12" s="289">
        <f>B200</f>
        <v>1</v>
      </c>
      <c r="EU12" s="263"/>
      <c r="EV12" s="262" t="s">
        <v>384</v>
      </c>
      <c r="EW12" s="297">
        <f>B155</f>
        <v>6</v>
      </c>
      <c r="EX12" s="263" t="s">
        <v>69</v>
      </c>
      <c r="EY12" s="263"/>
      <c r="EZ12" s="293"/>
      <c r="FA12" s="262"/>
      <c r="FB12" s="262" t="s">
        <v>178</v>
      </c>
      <c r="FC12" s="308">
        <f>B205</f>
        <v>1</v>
      </c>
      <c r="FD12" s="262"/>
      <c r="FE12" s="262" t="s">
        <v>178</v>
      </c>
      <c r="FF12" s="308">
        <f>B205</f>
        <v>1</v>
      </c>
      <c r="FG12" s="263"/>
      <c r="FH12" s="263" t="s">
        <v>178</v>
      </c>
      <c r="FI12" s="308">
        <f>B205</f>
        <v>1</v>
      </c>
      <c r="FJ12" s="263"/>
      <c r="FK12" s="262" t="s">
        <v>384</v>
      </c>
      <c r="FL12" s="297">
        <f>B155</f>
        <v>6</v>
      </c>
      <c r="FM12" s="267" t="s">
        <v>69</v>
      </c>
      <c r="FN12" s="263"/>
      <c r="FO12" s="307"/>
      <c r="FP12" s="263"/>
      <c r="FS12" s="263"/>
      <c r="FT12" s="263"/>
      <c r="FU12" s="308"/>
      <c r="FV12" s="263"/>
      <c r="FW12" s="262"/>
      <c r="FX12" s="308"/>
      <c r="FY12" s="262"/>
      <c r="FZ12" s="262" t="s">
        <v>384</v>
      </c>
      <c r="GA12" s="297">
        <f>B155</f>
        <v>6</v>
      </c>
      <c r="GB12" s="267" t="s">
        <v>69</v>
      </c>
      <c r="GC12" s="263"/>
      <c r="GD12" s="293"/>
      <c r="GE12" s="262"/>
      <c r="GF12" s="262" t="s">
        <v>417</v>
      </c>
      <c r="GG12" s="293">
        <f>B210</f>
        <v>1</v>
      </c>
      <c r="GH12" s="262"/>
      <c r="GI12" s="262" t="s">
        <v>417</v>
      </c>
      <c r="GJ12" s="293">
        <f>B210</f>
        <v>1</v>
      </c>
      <c r="GK12" s="262"/>
      <c r="GL12" s="262" t="s">
        <v>417</v>
      </c>
      <c r="GM12" s="293">
        <f>B210</f>
        <v>1</v>
      </c>
      <c r="GN12" s="263"/>
      <c r="GO12" s="262" t="s">
        <v>384</v>
      </c>
      <c r="GP12" s="297">
        <f>B155</f>
        <v>6</v>
      </c>
      <c r="GQ12" s="267" t="s">
        <v>69</v>
      </c>
      <c r="GR12" s="263"/>
      <c r="GS12" s="293"/>
      <c r="GT12" s="262"/>
      <c r="GU12" s="262" t="s">
        <v>421</v>
      </c>
      <c r="GV12" s="293">
        <f>B215</f>
        <v>1</v>
      </c>
      <c r="GW12" s="262"/>
      <c r="GX12" s="262" t="s">
        <v>421</v>
      </c>
      <c r="GY12" s="293">
        <f>B215</f>
        <v>1</v>
      </c>
      <c r="GZ12" s="262"/>
      <c r="HA12" s="262" t="s">
        <v>421</v>
      </c>
      <c r="HB12" s="293">
        <f>B215</f>
        <v>1</v>
      </c>
      <c r="HC12" s="263"/>
      <c r="HD12" s="263"/>
      <c r="HE12" s="290"/>
    </row>
    <row r="13" spans="1:214" ht="13.5" thickBot="1" x14ac:dyDescent="0.25">
      <c r="A13" s="280" t="s">
        <v>463</v>
      </c>
      <c r="B13" s="82">
        <v>0.46300000000000002</v>
      </c>
      <c r="C13" s="242"/>
      <c r="D13" s="266" t="s">
        <v>319</v>
      </c>
      <c r="E13" s="313">
        <f>B52</f>
        <v>20</v>
      </c>
      <c r="F13" s="271" t="s">
        <v>49</v>
      </c>
      <c r="G13" s="266" t="s">
        <v>249</v>
      </c>
      <c r="H13" s="295" t="e">
        <f>(H14/((1/H42)*(H50+H51+H52)))/H68</f>
        <v>#DIV/0!</v>
      </c>
      <c r="I13" s="271" t="s">
        <v>304</v>
      </c>
      <c r="J13" s="266" t="s">
        <v>270</v>
      </c>
      <c r="K13" s="189">
        <f>B31</f>
        <v>1.04753425E-2</v>
      </c>
      <c r="L13" s="88" t="s">
        <v>69</v>
      </c>
      <c r="M13" s="249" t="s">
        <v>457</v>
      </c>
      <c r="N13" s="289">
        <v>1</v>
      </c>
      <c r="P13" s="249" t="s">
        <v>455</v>
      </c>
      <c r="Q13" s="289">
        <f>N13</f>
        <v>1</v>
      </c>
      <c r="S13" s="249" t="s">
        <v>461</v>
      </c>
      <c r="T13" s="289">
        <f>N13</f>
        <v>1</v>
      </c>
      <c r="V13" s="249" t="s">
        <v>58</v>
      </c>
      <c r="W13" s="297">
        <f>B243</f>
        <v>60</v>
      </c>
      <c r="X13" s="263" t="s">
        <v>49</v>
      </c>
      <c r="Y13" s="249" t="s">
        <v>474</v>
      </c>
      <c r="Z13" s="297">
        <f>B219</f>
        <v>60</v>
      </c>
      <c r="AA13" s="263" t="s">
        <v>49</v>
      </c>
      <c r="AB13" s="262" t="s">
        <v>253</v>
      </c>
      <c r="AC13" s="297"/>
      <c r="AD13" s="297"/>
      <c r="AE13" s="297"/>
      <c r="AF13" s="297">
        <f>B267</f>
        <v>26</v>
      </c>
      <c r="AG13" s="297">
        <f>B280</f>
        <v>26</v>
      </c>
      <c r="AH13" s="262" t="s">
        <v>130</v>
      </c>
      <c r="AI13" s="249" t="s">
        <v>62</v>
      </c>
      <c r="AJ13" s="289">
        <f>B238</f>
        <v>1</v>
      </c>
      <c r="AL13" s="249" t="s">
        <v>62</v>
      </c>
      <c r="AM13" s="289">
        <f>B238</f>
        <v>1</v>
      </c>
      <c r="AO13" s="249" t="s">
        <v>62</v>
      </c>
      <c r="AP13" s="289">
        <f>B238</f>
        <v>1</v>
      </c>
      <c r="AR13" s="249" t="s">
        <v>62</v>
      </c>
      <c r="AS13" s="289">
        <f>B250</f>
        <v>1</v>
      </c>
      <c r="AU13" s="249" t="s">
        <v>62</v>
      </c>
      <c r="AV13" s="289">
        <f>B250</f>
        <v>1</v>
      </c>
      <c r="AX13" s="249" t="s">
        <v>62</v>
      </c>
      <c r="AY13" s="289">
        <f>B250</f>
        <v>1</v>
      </c>
      <c r="BA13" s="249" t="s">
        <v>62</v>
      </c>
      <c r="BB13" s="289">
        <f>B226</f>
        <v>1</v>
      </c>
      <c r="BD13" s="249" t="s">
        <v>62</v>
      </c>
      <c r="BE13" s="289">
        <f>B226</f>
        <v>1</v>
      </c>
      <c r="BG13" s="249" t="s">
        <v>62</v>
      </c>
      <c r="BH13" s="289">
        <f>B226</f>
        <v>1</v>
      </c>
      <c r="BJ13" s="249" t="s">
        <v>456</v>
      </c>
      <c r="BK13" s="287">
        <f>B3</f>
        <v>6.8000000000000005E-2</v>
      </c>
      <c r="BM13" s="249" t="s">
        <v>454</v>
      </c>
      <c r="BN13" s="287">
        <f>B6</f>
        <v>3.7100000000000001E-2</v>
      </c>
      <c r="BP13" s="249" t="s">
        <v>460</v>
      </c>
      <c r="BQ13" s="287">
        <f>B10</f>
        <v>5.8400000000000001E-2</v>
      </c>
      <c r="BS13" s="262" t="s">
        <v>360</v>
      </c>
      <c r="BT13" s="292">
        <f>B100</f>
        <v>20</v>
      </c>
      <c r="BU13" s="267" t="s">
        <v>49</v>
      </c>
      <c r="BV13" s="266" t="s">
        <v>305</v>
      </c>
      <c r="BW13" s="194">
        <f>B101</f>
        <v>0.05</v>
      </c>
      <c r="BX13" s="266" t="s">
        <v>361</v>
      </c>
      <c r="BY13" s="266" t="s">
        <v>80</v>
      </c>
      <c r="BZ13" s="294" t="e">
        <f>((BZ5/(BZ6*BZ16*(1/BZ36)))*BZ10)/BZ37</f>
        <v>#DIV/0!</v>
      </c>
      <c r="CA13" s="271" t="s">
        <v>303</v>
      </c>
      <c r="CB13" s="249" t="s">
        <v>105</v>
      </c>
      <c r="CC13" s="289">
        <f>B113</f>
        <v>1</v>
      </c>
      <c r="CD13" s="249" t="s">
        <v>224</v>
      </c>
      <c r="CE13" s="249" t="s">
        <v>105</v>
      </c>
      <c r="CF13" s="289">
        <f>B113</f>
        <v>1</v>
      </c>
      <c r="CG13" s="249" t="s">
        <v>224</v>
      </c>
      <c r="CH13" s="249" t="s">
        <v>105</v>
      </c>
      <c r="CI13" s="289">
        <f>B113</f>
        <v>1</v>
      </c>
      <c r="CJ13" s="249" t="s">
        <v>224</v>
      </c>
      <c r="CK13" s="249" t="s">
        <v>16</v>
      </c>
      <c r="CL13" s="288">
        <f>(CL14*CL12)/(1-EXP(-CL12*CL14))</f>
        <v>1720039.22544776</v>
      </c>
      <c r="CN13" s="263" t="s">
        <v>191</v>
      </c>
      <c r="CO13" s="306">
        <f>B123</f>
        <v>1</v>
      </c>
      <c r="CP13" s="249" t="s">
        <v>47</v>
      </c>
      <c r="CT13" s="266" t="s">
        <v>270</v>
      </c>
      <c r="CU13" s="189">
        <f>B31</f>
        <v>1.04753425E-2</v>
      </c>
      <c r="CV13" s="88" t="s">
        <v>69</v>
      </c>
      <c r="CW13" s="266" t="s">
        <v>57</v>
      </c>
      <c r="CX13" s="313">
        <f>B52</f>
        <v>20</v>
      </c>
      <c r="CY13" s="271" t="s">
        <v>49</v>
      </c>
      <c r="CZ13" s="266" t="s">
        <v>80</v>
      </c>
      <c r="DA13" s="294" t="e">
        <f>(DA5/(DA6*DA23))/DA50</f>
        <v>#DIV/0!</v>
      </c>
      <c r="DB13" s="266" t="s">
        <v>304</v>
      </c>
      <c r="DC13" s="262" t="s">
        <v>387</v>
      </c>
      <c r="DD13" s="297">
        <f>B158</f>
        <v>350</v>
      </c>
      <c r="DE13" s="262" t="s">
        <v>26</v>
      </c>
      <c r="DF13" s="267" t="s">
        <v>65</v>
      </c>
      <c r="DG13" s="289">
        <v>240</v>
      </c>
      <c r="DH13" s="249" t="s">
        <v>66</v>
      </c>
      <c r="DL13" s="267"/>
      <c r="DO13" s="267" t="s">
        <v>65</v>
      </c>
      <c r="DP13" s="289">
        <f>B184</f>
        <v>240</v>
      </c>
      <c r="DQ13" s="249" t="s">
        <v>66</v>
      </c>
      <c r="DR13" s="262" t="s">
        <v>385</v>
      </c>
      <c r="DS13" s="297">
        <f>B156</f>
        <v>34</v>
      </c>
      <c r="DT13" s="263" t="s">
        <v>69</v>
      </c>
      <c r="DU13" s="267"/>
      <c r="DX13" s="262" t="s">
        <v>409</v>
      </c>
      <c r="DY13" s="289">
        <f>B196</f>
        <v>1</v>
      </c>
      <c r="EA13" s="262" t="s">
        <v>409</v>
      </c>
      <c r="EB13" s="289">
        <f>B196</f>
        <v>1</v>
      </c>
      <c r="EC13" s="263"/>
      <c r="ED13" s="262" t="s">
        <v>409</v>
      </c>
      <c r="EE13" s="289">
        <f>B196</f>
        <v>1</v>
      </c>
      <c r="EF13" s="263"/>
      <c r="EG13" s="262" t="s">
        <v>385</v>
      </c>
      <c r="EH13" s="297">
        <f>B156</f>
        <v>34</v>
      </c>
      <c r="EI13" s="262" t="s">
        <v>69</v>
      </c>
      <c r="EJ13" s="267"/>
      <c r="EM13" s="262" t="s">
        <v>413</v>
      </c>
      <c r="EN13" s="289">
        <f>B201</f>
        <v>1</v>
      </c>
      <c r="EP13" s="262" t="s">
        <v>413</v>
      </c>
      <c r="EQ13" s="289">
        <f>B201</f>
        <v>1</v>
      </c>
      <c r="ER13" s="263"/>
      <c r="ES13" s="262" t="s">
        <v>413</v>
      </c>
      <c r="ET13" s="289">
        <f>B201</f>
        <v>1</v>
      </c>
      <c r="EU13" s="263"/>
      <c r="EV13" s="262" t="s">
        <v>385</v>
      </c>
      <c r="EW13" s="297">
        <f>B156</f>
        <v>34</v>
      </c>
      <c r="EX13" s="263" t="s">
        <v>69</v>
      </c>
      <c r="EY13" s="263"/>
      <c r="EZ13" s="293"/>
      <c r="FA13" s="262"/>
      <c r="FB13" s="262" t="s">
        <v>179</v>
      </c>
      <c r="FC13" s="308">
        <f>B206</f>
        <v>1</v>
      </c>
      <c r="FD13" s="262"/>
      <c r="FE13" s="262" t="s">
        <v>179</v>
      </c>
      <c r="FF13" s="308">
        <f>B206</f>
        <v>1</v>
      </c>
      <c r="FG13" s="263"/>
      <c r="FH13" s="263" t="s">
        <v>179</v>
      </c>
      <c r="FI13" s="308">
        <f>B206</f>
        <v>1</v>
      </c>
      <c r="FJ13" s="263"/>
      <c r="FK13" s="262" t="s">
        <v>385</v>
      </c>
      <c r="FL13" s="297">
        <f>B156</f>
        <v>34</v>
      </c>
      <c r="FM13" s="269" t="s">
        <v>69</v>
      </c>
      <c r="FN13" s="263"/>
      <c r="FO13" s="307"/>
      <c r="FP13" s="263"/>
      <c r="FS13" s="263"/>
      <c r="FT13" s="263"/>
      <c r="FU13" s="308"/>
      <c r="FV13" s="263"/>
      <c r="FW13" s="262"/>
      <c r="FX13" s="308"/>
      <c r="FY13" s="262"/>
      <c r="FZ13" s="262" t="s">
        <v>385</v>
      </c>
      <c r="GA13" s="297">
        <f>B156</f>
        <v>34</v>
      </c>
      <c r="GB13" s="269" t="s">
        <v>69</v>
      </c>
      <c r="GC13" s="263"/>
      <c r="GD13" s="293"/>
      <c r="GE13" s="262"/>
      <c r="GF13" s="262" t="s">
        <v>418</v>
      </c>
      <c r="GG13" s="293">
        <f>B211</f>
        <v>1</v>
      </c>
      <c r="GH13" s="262"/>
      <c r="GI13" s="262" t="s">
        <v>418</v>
      </c>
      <c r="GJ13" s="293">
        <f>B211</f>
        <v>1</v>
      </c>
      <c r="GK13" s="262"/>
      <c r="GL13" s="262" t="s">
        <v>418</v>
      </c>
      <c r="GM13" s="293">
        <f>B211</f>
        <v>1</v>
      </c>
      <c r="GN13" s="263"/>
      <c r="GO13" s="262" t="s">
        <v>385</v>
      </c>
      <c r="GP13" s="297">
        <f>B156</f>
        <v>34</v>
      </c>
      <c r="GQ13" s="269" t="s">
        <v>69</v>
      </c>
      <c r="GR13" s="263"/>
      <c r="GS13" s="293"/>
      <c r="GT13" s="262"/>
      <c r="GU13" s="262" t="s">
        <v>422</v>
      </c>
      <c r="GV13" s="293">
        <f>B216</f>
        <v>1</v>
      </c>
      <c r="GW13" s="262"/>
      <c r="GX13" s="262" t="s">
        <v>422</v>
      </c>
      <c r="GY13" s="293">
        <f>B216</f>
        <v>1</v>
      </c>
      <c r="GZ13" s="262"/>
      <c r="HA13" s="262" t="s">
        <v>422</v>
      </c>
      <c r="HB13" s="293">
        <f>B216</f>
        <v>1</v>
      </c>
      <c r="HC13" s="263"/>
      <c r="HD13" s="263" t="s">
        <v>261</v>
      </c>
      <c r="HE13" s="298">
        <v>1</v>
      </c>
    </row>
    <row r="14" spans="1:214" ht="13.5" customHeight="1" thickTop="1" x14ac:dyDescent="0.2">
      <c r="A14" s="583" t="s">
        <v>272</v>
      </c>
      <c r="B14" s="584"/>
      <c r="C14" s="685"/>
      <c r="D14" s="88" t="s">
        <v>347</v>
      </c>
      <c r="E14" s="192">
        <f>B72</f>
        <v>24</v>
      </c>
      <c r="F14" s="88" t="s">
        <v>224</v>
      </c>
      <c r="G14" s="266" t="s">
        <v>248</v>
      </c>
      <c r="H14" s="296" t="e">
        <f>(H5/(H9*(H22+H25)*H43))/H68</f>
        <v>#DIV/0!</v>
      </c>
      <c r="I14" s="271" t="s">
        <v>303</v>
      </c>
      <c r="J14" s="266" t="s">
        <v>80</v>
      </c>
      <c r="K14" s="294" t="e">
        <f>((K5/(K6*K19*(1/K49)))*K11)/K54</f>
        <v>#DIV/0!</v>
      </c>
      <c r="L14" s="271" t="s">
        <v>303</v>
      </c>
      <c r="M14" s="262" t="s">
        <v>351</v>
      </c>
      <c r="N14" s="289">
        <f>B96</f>
        <v>1.752</v>
      </c>
      <c r="O14" s="249" t="s">
        <v>224</v>
      </c>
      <c r="P14" s="262" t="s">
        <v>351</v>
      </c>
      <c r="Q14" s="289">
        <f>B96</f>
        <v>1.752</v>
      </c>
      <c r="R14" s="249" t="s">
        <v>224</v>
      </c>
      <c r="S14" s="262" t="s">
        <v>351</v>
      </c>
      <c r="T14" s="289">
        <f>B96</f>
        <v>1.752</v>
      </c>
      <c r="U14" s="249" t="s">
        <v>224</v>
      </c>
      <c r="V14" s="262" t="s">
        <v>63</v>
      </c>
      <c r="W14" s="287">
        <f>B28</f>
        <v>1.6230073680000001E-12</v>
      </c>
      <c r="X14" s="262" t="s">
        <v>64</v>
      </c>
      <c r="Y14" s="262" t="s">
        <v>63</v>
      </c>
      <c r="Z14" s="287">
        <f>B28</f>
        <v>1.6230073680000001E-12</v>
      </c>
      <c r="AA14" s="262" t="s">
        <v>64</v>
      </c>
      <c r="AB14" s="262" t="s">
        <v>301</v>
      </c>
      <c r="AC14" s="297">
        <f>B222</f>
        <v>100</v>
      </c>
      <c r="AD14" s="297">
        <f>B234</f>
        <v>50</v>
      </c>
      <c r="AE14" s="297">
        <f>B246</f>
        <v>100</v>
      </c>
      <c r="AF14" s="297">
        <f>B258</f>
        <v>330</v>
      </c>
      <c r="AG14" s="297">
        <f>B272</f>
        <v>330</v>
      </c>
      <c r="AH14" s="263" t="s">
        <v>54</v>
      </c>
      <c r="AI14" s="262" t="s">
        <v>469</v>
      </c>
      <c r="AJ14" s="289">
        <f>B239</f>
        <v>0</v>
      </c>
      <c r="AK14" s="249" t="s">
        <v>224</v>
      </c>
      <c r="AL14" s="262" t="s">
        <v>469</v>
      </c>
      <c r="AM14" s="289">
        <f>B239</f>
        <v>0</v>
      </c>
      <c r="AN14" s="249" t="s">
        <v>224</v>
      </c>
      <c r="AO14" s="262" t="s">
        <v>469</v>
      </c>
      <c r="AP14" s="289">
        <f>B239</f>
        <v>0</v>
      </c>
      <c r="AQ14" s="249" t="s">
        <v>224</v>
      </c>
      <c r="AR14" s="262" t="s">
        <v>466</v>
      </c>
      <c r="AS14" s="289">
        <f>B251</f>
        <v>8</v>
      </c>
      <c r="AT14" s="249" t="s">
        <v>224</v>
      </c>
      <c r="AU14" s="262" t="s">
        <v>466</v>
      </c>
      <c r="AV14" s="289">
        <f>B251</f>
        <v>8</v>
      </c>
      <c r="AW14" s="249" t="s">
        <v>224</v>
      </c>
      <c r="AX14" s="262" t="s">
        <v>466</v>
      </c>
      <c r="AY14" s="289">
        <f>B251</f>
        <v>8</v>
      </c>
      <c r="AZ14" s="249" t="s">
        <v>224</v>
      </c>
      <c r="BA14" s="262" t="s">
        <v>467</v>
      </c>
      <c r="BB14" s="289">
        <f>B227</f>
        <v>4</v>
      </c>
      <c r="BC14" s="249" t="s">
        <v>224</v>
      </c>
      <c r="BD14" s="262" t="s">
        <v>467</v>
      </c>
      <c r="BE14" s="289">
        <f>B227</f>
        <v>4</v>
      </c>
      <c r="BF14" s="249" t="s">
        <v>224</v>
      </c>
      <c r="BG14" s="262" t="s">
        <v>467</v>
      </c>
      <c r="BH14" s="289">
        <f>B227</f>
        <v>4</v>
      </c>
      <c r="BI14" s="249" t="s">
        <v>224</v>
      </c>
      <c r="BJ14" s="249" t="s">
        <v>457</v>
      </c>
      <c r="BK14" s="287">
        <f>B4</f>
        <v>0.75600000000000001</v>
      </c>
      <c r="BM14" s="249" t="s">
        <v>455</v>
      </c>
      <c r="BN14" s="287">
        <f>B7</f>
        <v>0.65</v>
      </c>
      <c r="BP14" s="249" t="s">
        <v>461</v>
      </c>
      <c r="BQ14" s="287">
        <f>B11</f>
        <v>0.70099999999999996</v>
      </c>
      <c r="BS14" s="92" t="s">
        <v>368</v>
      </c>
      <c r="BT14" s="292">
        <f>B114</f>
        <v>1</v>
      </c>
      <c r="BU14" s="249" t="s">
        <v>50</v>
      </c>
      <c r="BV14" s="266" t="s">
        <v>306</v>
      </c>
      <c r="BW14" s="194">
        <f>B102</f>
        <v>0.05</v>
      </c>
      <c r="BX14" s="266" t="s">
        <v>361</v>
      </c>
      <c r="BY14" s="266" t="s">
        <v>74</v>
      </c>
      <c r="BZ14" s="295">
        <f>((BZ5/(BZ7*BZ17*(1/BZ9)*BZ35))*BZ10)/BZ37</f>
        <v>1880666416.779588</v>
      </c>
      <c r="CA14" s="271" t="s">
        <v>303</v>
      </c>
      <c r="CB14" s="249" t="s">
        <v>71</v>
      </c>
      <c r="CC14" s="290">
        <f>B23</f>
        <v>1.6930652399999999E-9</v>
      </c>
      <c r="CD14" s="263" t="s">
        <v>72</v>
      </c>
      <c r="CE14" s="249" t="s">
        <v>71</v>
      </c>
      <c r="CF14" s="290">
        <f>B25</f>
        <v>3.5682809472000002E-10</v>
      </c>
      <c r="CG14" s="263" t="s">
        <v>72</v>
      </c>
      <c r="CH14" s="249" t="s">
        <v>71</v>
      </c>
      <c r="CI14" s="290">
        <f>B27</f>
        <v>1.5412731840000001E-9</v>
      </c>
      <c r="CJ14" s="263" t="s">
        <v>72</v>
      </c>
      <c r="CK14" s="249" t="s">
        <v>111</v>
      </c>
      <c r="CL14" s="289">
        <f>B109</f>
        <v>26</v>
      </c>
      <c r="CM14" s="249" t="s">
        <v>69</v>
      </c>
      <c r="CO14" s="308"/>
      <c r="CQ14" s="263"/>
      <c r="CR14" s="307"/>
      <c r="CS14" s="263"/>
      <c r="CT14" s="266" t="s">
        <v>80</v>
      </c>
      <c r="CU14" s="294" t="e">
        <f>((CU5/(CU6*CU24*(1/CU47)))*CU11)/CU48</f>
        <v>#DIV/0!</v>
      </c>
      <c r="CV14" s="271" t="s">
        <v>303</v>
      </c>
      <c r="CW14" s="266" t="s">
        <v>389</v>
      </c>
      <c r="CX14" s="192">
        <f>B160</f>
        <v>24</v>
      </c>
      <c r="CY14" s="88" t="s">
        <v>224</v>
      </c>
      <c r="CZ14" s="266" t="s">
        <v>74</v>
      </c>
      <c r="DA14" s="295">
        <f>(DA5/(DA7*DA24*DA46))/DA50</f>
        <v>8.9285714285714385E-3</v>
      </c>
      <c r="DB14" s="266" t="s">
        <v>304</v>
      </c>
      <c r="DC14" s="262" t="s">
        <v>388</v>
      </c>
      <c r="DD14" s="297">
        <f>B159</f>
        <v>350</v>
      </c>
      <c r="DE14" s="262" t="s">
        <v>26</v>
      </c>
      <c r="DF14" s="267" t="s">
        <v>70</v>
      </c>
      <c r="DG14" s="289">
        <v>0.26</v>
      </c>
      <c r="DL14" s="267"/>
      <c r="DO14" s="249" t="s">
        <v>330</v>
      </c>
      <c r="DP14" s="289">
        <f>B48</f>
        <v>0.26</v>
      </c>
      <c r="DR14" s="262" t="s">
        <v>386</v>
      </c>
      <c r="DS14" s="298">
        <f>B157</f>
        <v>40</v>
      </c>
      <c r="DT14" s="263" t="s">
        <v>69</v>
      </c>
      <c r="DU14" s="267"/>
      <c r="DX14" s="249" t="s">
        <v>287</v>
      </c>
      <c r="DY14" s="297">
        <f>B192</f>
        <v>1.03</v>
      </c>
      <c r="DZ14" s="249" t="s">
        <v>288</v>
      </c>
      <c r="EA14" s="249" t="s">
        <v>287</v>
      </c>
      <c r="EB14" s="297">
        <f>B192</f>
        <v>1.03</v>
      </c>
      <c r="EC14" s="249" t="s">
        <v>288</v>
      </c>
      <c r="ED14" s="249" t="s">
        <v>331</v>
      </c>
      <c r="EE14" s="307">
        <f>B49</f>
        <v>0.25</v>
      </c>
      <c r="EF14" s="263"/>
      <c r="EG14" s="262" t="s">
        <v>386</v>
      </c>
      <c r="EH14" s="298">
        <f>B157</f>
        <v>40</v>
      </c>
      <c r="EI14" s="263" t="s">
        <v>69</v>
      </c>
      <c r="EJ14" s="267"/>
      <c r="EP14" s="263" t="s">
        <v>494</v>
      </c>
      <c r="EQ14" s="307">
        <f>EH14</f>
        <v>40</v>
      </c>
      <c r="ER14" s="263"/>
      <c r="ES14" s="249" t="s">
        <v>331</v>
      </c>
      <c r="ET14" s="307">
        <f>B49</f>
        <v>0.25</v>
      </c>
      <c r="EU14" s="263"/>
      <c r="EV14" s="262" t="s">
        <v>386</v>
      </c>
      <c r="EW14" s="298">
        <f>B157</f>
        <v>40</v>
      </c>
      <c r="EX14" s="263" t="s">
        <v>69</v>
      </c>
      <c r="EY14" s="263"/>
      <c r="EZ14" s="307"/>
      <c r="FA14" s="263"/>
      <c r="FB14" s="263"/>
      <c r="FC14" s="308"/>
      <c r="FD14" s="263"/>
      <c r="FE14" s="263" t="s">
        <v>494</v>
      </c>
      <c r="FF14" s="307">
        <f>EW14</f>
        <v>40</v>
      </c>
      <c r="FG14" s="263" t="s">
        <v>69</v>
      </c>
      <c r="FH14" s="263" t="s">
        <v>70</v>
      </c>
      <c r="FI14" s="293">
        <f>B49</f>
        <v>0.25</v>
      </c>
      <c r="FJ14" s="263"/>
      <c r="FK14" s="262" t="s">
        <v>386</v>
      </c>
      <c r="FL14" s="292">
        <f>B157</f>
        <v>40</v>
      </c>
      <c r="FM14" s="267" t="s">
        <v>69</v>
      </c>
      <c r="FN14" s="263"/>
      <c r="FO14" s="307"/>
      <c r="FP14" s="263"/>
      <c r="FS14" s="263"/>
      <c r="FV14" s="263"/>
      <c r="FW14" s="262"/>
      <c r="FX14" s="293"/>
      <c r="FY14" s="262"/>
      <c r="FZ14" s="262" t="s">
        <v>386</v>
      </c>
      <c r="GA14" s="292">
        <f>B157</f>
        <v>40</v>
      </c>
      <c r="GB14" s="267" t="s">
        <v>69</v>
      </c>
      <c r="GC14" s="263"/>
      <c r="GD14" s="293"/>
      <c r="GE14" s="262"/>
      <c r="GF14" s="262"/>
      <c r="GG14" s="293"/>
      <c r="GH14" s="262"/>
      <c r="GI14" s="263" t="s">
        <v>494</v>
      </c>
      <c r="GJ14" s="307">
        <f>GA14</f>
        <v>40</v>
      </c>
      <c r="GK14" s="263" t="s">
        <v>69</v>
      </c>
      <c r="GL14" s="249" t="s">
        <v>331</v>
      </c>
      <c r="GM14" s="293">
        <f>B49</f>
        <v>0.25</v>
      </c>
      <c r="GN14" s="263"/>
      <c r="GO14" s="262" t="s">
        <v>386</v>
      </c>
      <c r="GP14" s="292">
        <f>B157</f>
        <v>40</v>
      </c>
      <c r="GQ14" s="267" t="s">
        <v>69</v>
      </c>
      <c r="GR14" s="263"/>
      <c r="GS14" s="293"/>
      <c r="GT14" s="262"/>
      <c r="GU14" s="262"/>
      <c r="GV14" s="293"/>
      <c r="GW14" s="262"/>
      <c r="GX14" s="263" t="s">
        <v>494</v>
      </c>
      <c r="GY14" s="307">
        <f>GP14</f>
        <v>40</v>
      </c>
      <c r="GZ14" s="263" t="s">
        <v>69</v>
      </c>
      <c r="HA14" s="249" t="s">
        <v>331</v>
      </c>
      <c r="HB14" s="293">
        <f>B49</f>
        <v>0.25</v>
      </c>
      <c r="HC14" s="263"/>
      <c r="HD14" s="263" t="s">
        <v>579</v>
      </c>
      <c r="HE14" s="293">
        <f>B46</f>
        <v>0</v>
      </c>
      <c r="HF14" s="249" t="s">
        <v>19</v>
      </c>
    </row>
    <row r="15" spans="1:214" x14ac:dyDescent="0.2">
      <c r="A15" s="585"/>
      <c r="B15" s="586"/>
      <c r="C15" s="686"/>
      <c r="D15" s="88" t="s">
        <v>348</v>
      </c>
      <c r="E15" s="192">
        <f>B73</f>
        <v>24</v>
      </c>
      <c r="F15" s="88" t="s">
        <v>224</v>
      </c>
      <c r="G15" s="266" t="s">
        <v>440</v>
      </c>
      <c r="H15" s="193">
        <f>H32*H29*H17+H33*H30*H18</f>
        <v>19138</v>
      </c>
      <c r="I15" s="266" t="s">
        <v>116</v>
      </c>
      <c r="J15" s="266" t="s">
        <v>74</v>
      </c>
      <c r="K15" s="295">
        <f>((K5/(K7*K20*(1/K10)*K48))*K11)/K54</f>
        <v>16791664.435532033</v>
      </c>
      <c r="L15" s="271" t="s">
        <v>303</v>
      </c>
      <c r="M15" s="249" t="s">
        <v>448</v>
      </c>
      <c r="N15" s="290">
        <f>B23</f>
        <v>1.6930652399999999E-9</v>
      </c>
      <c r="O15" s="263" t="s">
        <v>446</v>
      </c>
      <c r="P15" s="249" t="s">
        <v>449</v>
      </c>
      <c r="Q15" s="290">
        <f>B25</f>
        <v>3.5682809472000002E-10</v>
      </c>
      <c r="R15" s="263" t="s">
        <v>446</v>
      </c>
      <c r="S15" s="249" t="s">
        <v>453</v>
      </c>
      <c r="T15" s="290">
        <f>B27</f>
        <v>1.5412731840000001E-9</v>
      </c>
      <c r="U15" s="263" t="s">
        <v>446</v>
      </c>
      <c r="V15" s="262" t="s">
        <v>255</v>
      </c>
      <c r="W15" s="293">
        <v>1</v>
      </c>
      <c r="Y15" s="262" t="s">
        <v>255</v>
      </c>
      <c r="Z15" s="293">
        <v>1</v>
      </c>
      <c r="AB15" s="262"/>
      <c r="AC15" s="297"/>
      <c r="AD15" s="297"/>
      <c r="AE15" s="297"/>
      <c r="AF15" s="297"/>
      <c r="AG15" s="297"/>
      <c r="AI15" s="249" t="s">
        <v>448</v>
      </c>
      <c r="AJ15" s="290">
        <f>B23</f>
        <v>1.6930652399999999E-9</v>
      </c>
      <c r="AK15" s="263" t="s">
        <v>72</v>
      </c>
      <c r="AL15" s="262" t="s">
        <v>449</v>
      </c>
      <c r="AM15" s="290">
        <f>B25</f>
        <v>3.5682809472000002E-10</v>
      </c>
      <c r="AN15" s="263" t="s">
        <v>72</v>
      </c>
      <c r="AO15" s="262" t="s">
        <v>452</v>
      </c>
      <c r="AP15" s="290">
        <f>B27</f>
        <v>1.5412731840000001E-9</v>
      </c>
      <c r="AQ15" s="263" t="s">
        <v>72</v>
      </c>
      <c r="AR15" s="249" t="s">
        <v>448</v>
      </c>
      <c r="AS15" s="290">
        <f>B23</f>
        <v>1.6930652399999999E-9</v>
      </c>
      <c r="AT15" s="263" t="s">
        <v>72</v>
      </c>
      <c r="AU15" s="262" t="s">
        <v>449</v>
      </c>
      <c r="AV15" s="290">
        <f>B25</f>
        <v>3.5682809472000002E-10</v>
      </c>
      <c r="AW15" s="263" t="s">
        <v>72</v>
      </c>
      <c r="AX15" s="262" t="s">
        <v>452</v>
      </c>
      <c r="AY15" s="290">
        <f>B27</f>
        <v>1.5412731840000001E-9</v>
      </c>
      <c r="AZ15" s="263" t="s">
        <v>72</v>
      </c>
      <c r="BA15" s="249" t="s">
        <v>448</v>
      </c>
      <c r="BB15" s="290">
        <f>B23</f>
        <v>1.6930652399999999E-9</v>
      </c>
      <c r="BC15" s="263" t="s">
        <v>72</v>
      </c>
      <c r="BD15" s="262" t="s">
        <v>449</v>
      </c>
      <c r="BE15" s="290">
        <f>B25</f>
        <v>3.5682809472000002E-10</v>
      </c>
      <c r="BF15" s="263" t="s">
        <v>72</v>
      </c>
      <c r="BG15" s="262" t="s">
        <v>452</v>
      </c>
      <c r="BH15" s="290">
        <f>B27</f>
        <v>1.5412731840000001E-9</v>
      </c>
      <c r="BI15" s="263" t="s">
        <v>72</v>
      </c>
      <c r="BJ15" s="262" t="s">
        <v>471</v>
      </c>
      <c r="BK15" s="289">
        <f>B276</f>
        <v>8</v>
      </c>
      <c r="BL15" s="249" t="s">
        <v>224</v>
      </c>
      <c r="BM15" s="262" t="s">
        <v>471</v>
      </c>
      <c r="BN15" s="289">
        <f>B276</f>
        <v>8</v>
      </c>
      <c r="BO15" s="249" t="s">
        <v>224</v>
      </c>
      <c r="BP15" s="262" t="s">
        <v>471</v>
      </c>
      <c r="BQ15" s="289">
        <f>B276</f>
        <v>8</v>
      </c>
      <c r="BR15" s="249" t="s">
        <v>224</v>
      </c>
      <c r="BS15" s="92" t="s">
        <v>369</v>
      </c>
      <c r="BT15" s="292">
        <f>B115</f>
        <v>1</v>
      </c>
      <c r="BU15" s="249" t="s">
        <v>50</v>
      </c>
      <c r="BV15" s="266" t="s">
        <v>489</v>
      </c>
      <c r="BW15" s="190">
        <f>((BW17*BW20*BW22*BW25)+(BW18*BW21*BW23*BW26))</f>
        <v>1950</v>
      </c>
      <c r="BX15" s="266" t="s">
        <v>162</v>
      </c>
      <c r="BY15" s="266" t="s">
        <v>117</v>
      </c>
      <c r="BZ15" s="296">
        <f>(((BZ5)/(BZ8*BZ22*(1/BZ34)*BZ25*BZ28*(1/24)*BZ31*BZ32))*BZ10)/BZ37</f>
        <v>3284771.5336056841</v>
      </c>
      <c r="CA15" s="271" t="s">
        <v>303</v>
      </c>
      <c r="CB15" s="95" t="s">
        <v>299</v>
      </c>
      <c r="CC15" s="289">
        <f>B293</f>
        <v>27.027027027027</v>
      </c>
      <c r="CE15" s="95" t="s">
        <v>299</v>
      </c>
      <c r="CF15" s="289">
        <f>B293</f>
        <v>27.027027027027</v>
      </c>
      <c r="CH15" s="95" t="s">
        <v>299</v>
      </c>
      <c r="CI15" s="289">
        <f>B293</f>
        <v>27.027027027027</v>
      </c>
      <c r="CT15" s="266" t="s">
        <v>74</v>
      </c>
      <c r="CU15" s="295">
        <f>((CU5/(CU7*CU25*(1/CU10)*CU46))*CU11)/CU48</f>
        <v>16058556.424833134</v>
      </c>
      <c r="CV15" s="271" t="s">
        <v>303</v>
      </c>
      <c r="CW15" s="266" t="s">
        <v>390</v>
      </c>
      <c r="CX15" s="192">
        <f>B161</f>
        <v>24</v>
      </c>
      <c r="CY15" s="88" t="s">
        <v>224</v>
      </c>
      <c r="CZ15" s="266" t="s">
        <v>160</v>
      </c>
      <c r="DA15" s="301">
        <f>(DA5/(DA8*DA25*(DA47/DA48)))/DA50</f>
        <v>9623480.1609471738</v>
      </c>
      <c r="DB15" s="266" t="s">
        <v>304</v>
      </c>
      <c r="DC15" s="262" t="s">
        <v>384</v>
      </c>
      <c r="DD15" s="298">
        <f>B155</f>
        <v>6</v>
      </c>
      <c r="DE15" s="262" t="s">
        <v>69</v>
      </c>
      <c r="DF15" s="267" t="s">
        <v>76</v>
      </c>
      <c r="DG15" s="289">
        <v>0.42</v>
      </c>
      <c r="DH15" s="249" t="s">
        <v>47</v>
      </c>
      <c r="DL15" s="267"/>
      <c r="DO15" s="267" t="s">
        <v>76</v>
      </c>
      <c r="DP15" s="289">
        <f>B185</f>
        <v>0.42</v>
      </c>
      <c r="DQ15" s="249" t="s">
        <v>47</v>
      </c>
      <c r="DS15" s="297">
        <v>1000</v>
      </c>
      <c r="DT15" s="267" t="s">
        <v>115</v>
      </c>
      <c r="DU15" s="267"/>
      <c r="EA15" s="263" t="s">
        <v>494</v>
      </c>
      <c r="EB15" s="263">
        <f>DS14</f>
        <v>40</v>
      </c>
      <c r="EC15" s="263" t="s">
        <v>69</v>
      </c>
      <c r="ED15" s="262" t="s">
        <v>29</v>
      </c>
      <c r="EE15" s="293">
        <v>92</v>
      </c>
      <c r="EF15" s="262" t="s">
        <v>30</v>
      </c>
      <c r="EH15" s="297">
        <v>1000</v>
      </c>
      <c r="EI15" s="267" t="s">
        <v>115</v>
      </c>
      <c r="EJ15" s="267"/>
      <c r="EP15" s="267"/>
      <c r="EQ15" s="307"/>
      <c r="ER15" s="263"/>
      <c r="ES15" s="262" t="s">
        <v>31</v>
      </c>
      <c r="ET15" s="293">
        <f>B197</f>
        <v>53</v>
      </c>
      <c r="EU15" s="262" t="s">
        <v>30</v>
      </c>
      <c r="EW15" s="351">
        <v>1000</v>
      </c>
      <c r="EX15" s="267" t="s">
        <v>115</v>
      </c>
      <c r="EY15" s="262"/>
      <c r="EZ15" s="293"/>
      <c r="FA15" s="262"/>
      <c r="FB15" s="262"/>
      <c r="FC15" s="293"/>
      <c r="FD15" s="262"/>
      <c r="FE15" s="262"/>
      <c r="FF15" s="293"/>
      <c r="FG15" s="262"/>
      <c r="FH15" s="262" t="s">
        <v>173</v>
      </c>
      <c r="FI15" s="308">
        <f>B202</f>
        <v>0.4</v>
      </c>
      <c r="FJ15" s="262" t="s">
        <v>30</v>
      </c>
      <c r="FL15" s="297">
        <v>1000</v>
      </c>
      <c r="FM15" s="267" t="s">
        <v>115</v>
      </c>
      <c r="FN15" s="262"/>
      <c r="FO15" s="293"/>
      <c r="FP15" s="262"/>
      <c r="FS15" s="262"/>
      <c r="FV15" s="262"/>
      <c r="FW15" s="262"/>
      <c r="FX15" s="308"/>
      <c r="FY15" s="262"/>
      <c r="GA15" s="297">
        <v>1000</v>
      </c>
      <c r="GB15" s="267" t="s">
        <v>115</v>
      </c>
      <c r="GC15" s="262"/>
      <c r="GD15" s="293"/>
      <c r="GE15" s="262"/>
      <c r="GF15" s="262"/>
      <c r="GG15" s="293"/>
      <c r="GH15" s="262"/>
      <c r="GI15" s="262"/>
      <c r="GJ15" s="293"/>
      <c r="GK15" s="262"/>
      <c r="GL15" s="262" t="s">
        <v>414</v>
      </c>
      <c r="GM15" s="308">
        <f>B207</f>
        <v>0.4</v>
      </c>
      <c r="GN15" s="262" t="s">
        <v>30</v>
      </c>
      <c r="GO15" s="267" t="s">
        <v>405</v>
      </c>
      <c r="GP15" s="297">
        <f>B180</f>
        <v>1</v>
      </c>
      <c r="GR15" s="262"/>
      <c r="GS15" s="293"/>
      <c r="GT15" s="262"/>
      <c r="GU15" s="262"/>
      <c r="GV15" s="293"/>
      <c r="GW15" s="262"/>
      <c r="GX15" s="262"/>
      <c r="GY15" s="293"/>
      <c r="GZ15" s="262"/>
      <c r="HA15" s="262" t="s">
        <v>174</v>
      </c>
      <c r="HB15" s="293">
        <f>B212</f>
        <v>11.4</v>
      </c>
      <c r="HC15" s="262" t="s">
        <v>30</v>
      </c>
      <c r="HD15" s="263"/>
    </row>
    <row r="16" spans="1:214" x14ac:dyDescent="0.2">
      <c r="A16" s="585"/>
      <c r="B16" s="586"/>
      <c r="C16" s="686"/>
      <c r="D16" s="88" t="s">
        <v>343</v>
      </c>
      <c r="E16" s="194">
        <f>B64</f>
        <v>6</v>
      </c>
      <c r="F16" s="88" t="s">
        <v>69</v>
      </c>
      <c r="G16" s="266" t="s">
        <v>441</v>
      </c>
      <c r="H16" s="195">
        <f>H29*H19*H32*H36*(1/24)+H30*H20*H33*H37*(1/24)</f>
        <v>161000</v>
      </c>
      <c r="I16" s="266" t="s">
        <v>268</v>
      </c>
      <c r="J16" s="266" t="s">
        <v>117</v>
      </c>
      <c r="K16" s="295">
        <f>((K5/(K8*K45*((K40*K44*(1/24))+(K41*K43*(1/24)))*K32*(1/K47)*K34))*K11)/K54</f>
        <v>4350.0003863964484</v>
      </c>
      <c r="L16" s="271" t="s">
        <v>303</v>
      </c>
      <c r="M16" s="262" t="s">
        <v>352</v>
      </c>
      <c r="N16" s="289">
        <f>B97</f>
        <v>16.416</v>
      </c>
      <c r="O16" s="249" t="s">
        <v>224</v>
      </c>
      <c r="P16" s="262" t="s">
        <v>352</v>
      </c>
      <c r="Q16" s="289">
        <f>B97</f>
        <v>16.416</v>
      </c>
      <c r="R16" s="249" t="s">
        <v>224</v>
      </c>
      <c r="S16" s="262" t="s">
        <v>352</v>
      </c>
      <c r="T16" s="289">
        <f>B97</f>
        <v>16.416</v>
      </c>
      <c r="U16" s="249" t="s">
        <v>224</v>
      </c>
      <c r="V16" s="88" t="s">
        <v>74</v>
      </c>
      <c r="W16" s="294">
        <f>((W5)/((W11/W12)*W8*W9*W10*W13))/W20</f>
        <v>1.0277777777777788E-2</v>
      </c>
      <c r="X16" s="88" t="s">
        <v>15</v>
      </c>
      <c r="Y16" s="88" t="s">
        <v>74</v>
      </c>
      <c r="Z16" s="294">
        <f>((Z5)/((Z11/Z12)*Z8*Z9*Z10*Z13))/Z20</f>
        <v>9.2500000000000117E-3</v>
      </c>
      <c r="AA16" s="88" t="s">
        <v>15</v>
      </c>
      <c r="AB16" s="262" t="s">
        <v>56</v>
      </c>
      <c r="AC16" s="292">
        <f>B224</f>
        <v>1</v>
      </c>
      <c r="AD16" s="292">
        <f>B236</f>
        <v>1</v>
      </c>
      <c r="AE16" s="292">
        <f>B248</f>
        <v>1</v>
      </c>
      <c r="AF16" s="305">
        <f>B3</f>
        <v>6.8000000000000005E-2</v>
      </c>
      <c r="AG16" s="305">
        <f>B3</f>
        <v>6.8000000000000005E-2</v>
      </c>
      <c r="AH16" s="267"/>
      <c r="AI16" s="262" t="s">
        <v>470</v>
      </c>
      <c r="AJ16" s="289">
        <f>B240</f>
        <v>8</v>
      </c>
      <c r="AK16" s="249" t="s">
        <v>224</v>
      </c>
      <c r="AL16" s="262" t="s">
        <v>470</v>
      </c>
      <c r="AM16" s="289">
        <f>B240</f>
        <v>8</v>
      </c>
      <c r="AN16" s="249" t="s">
        <v>224</v>
      </c>
      <c r="AO16" s="262" t="s">
        <v>470</v>
      </c>
      <c r="AP16" s="289">
        <f>B240</f>
        <v>8</v>
      </c>
      <c r="AQ16" s="249" t="s">
        <v>224</v>
      </c>
      <c r="AR16" s="262" t="s">
        <v>465</v>
      </c>
      <c r="AS16" s="289">
        <f>B252</f>
        <v>0</v>
      </c>
      <c r="AT16" s="249" t="s">
        <v>224</v>
      </c>
      <c r="AU16" s="262" t="s">
        <v>465</v>
      </c>
      <c r="AV16" s="289">
        <f>B252</f>
        <v>0</v>
      </c>
      <c r="AW16" s="249" t="s">
        <v>224</v>
      </c>
      <c r="AX16" s="262" t="s">
        <v>465</v>
      </c>
      <c r="AY16" s="289">
        <f>B252</f>
        <v>0</v>
      </c>
      <c r="AZ16" s="249" t="s">
        <v>224</v>
      </c>
      <c r="BA16" s="262" t="s">
        <v>468</v>
      </c>
      <c r="BB16" s="289">
        <f>B228</f>
        <v>4</v>
      </c>
      <c r="BC16" s="249" t="s">
        <v>224</v>
      </c>
      <c r="BD16" s="262" t="s">
        <v>468</v>
      </c>
      <c r="BE16" s="289">
        <f>B228</f>
        <v>4</v>
      </c>
      <c r="BF16" s="249" t="s">
        <v>224</v>
      </c>
      <c r="BG16" s="262" t="s">
        <v>468</v>
      </c>
      <c r="BH16" s="289">
        <f>B228</f>
        <v>4</v>
      </c>
      <c r="BI16" s="249" t="s">
        <v>224</v>
      </c>
      <c r="BJ16" s="249" t="s">
        <v>448</v>
      </c>
      <c r="BK16" s="290">
        <f>B23</f>
        <v>1.6930652399999999E-9</v>
      </c>
      <c r="BL16" s="263" t="s">
        <v>72</v>
      </c>
      <c r="BM16" s="262" t="s">
        <v>449</v>
      </c>
      <c r="BN16" s="290">
        <f>B25</f>
        <v>3.5682809472000002E-10</v>
      </c>
      <c r="BO16" s="263" t="s">
        <v>72</v>
      </c>
      <c r="BP16" s="262" t="s">
        <v>452</v>
      </c>
      <c r="BQ16" s="290">
        <f>B27</f>
        <v>1.5412731840000001E-9</v>
      </c>
      <c r="BR16" s="263" t="s">
        <v>72</v>
      </c>
      <c r="BS16" s="249" t="s">
        <v>105</v>
      </c>
      <c r="BT16" s="289">
        <f>B113</f>
        <v>1</v>
      </c>
      <c r="BU16" s="249" t="s">
        <v>50</v>
      </c>
      <c r="BV16" s="262" t="s">
        <v>83</v>
      </c>
      <c r="BW16" s="292">
        <f>B131</f>
        <v>0.5</v>
      </c>
      <c r="BX16" s="249" t="s">
        <v>84</v>
      </c>
      <c r="BY16" s="262" t="s">
        <v>490</v>
      </c>
      <c r="BZ16" s="312">
        <f>(BZ18*BZ22*BZ27+BZ19*BZ23*BZ26)</f>
        <v>240000</v>
      </c>
      <c r="CA16" s="262" t="s">
        <v>267</v>
      </c>
      <c r="CB16" s="262"/>
      <c r="CC16" s="293"/>
      <c r="CD16" s="262"/>
      <c r="CE16" s="262"/>
      <c r="CF16" s="293"/>
      <c r="CG16" s="262"/>
      <c r="CK16" s="262"/>
      <c r="CL16" s="293"/>
      <c r="CM16" s="262"/>
      <c r="CN16" s="262"/>
      <c r="CO16" s="293"/>
      <c r="CP16" s="262"/>
      <c r="CQ16" s="262"/>
      <c r="CR16" s="293"/>
      <c r="CS16" s="262"/>
      <c r="CT16" s="266" t="s">
        <v>117</v>
      </c>
      <c r="CU16" s="295">
        <f>((CU5*CU44*CU12)/((1-EXP(-CU12*CU44))*CU8*CU31*(1/365)*CU32*((CU38*(1/24)*CU42)+(CU39*(1/24)*CU41))*CU43))/CU48</f>
        <v>2237.622638653917</v>
      </c>
      <c r="CV16" s="271" t="s">
        <v>303</v>
      </c>
      <c r="CW16" s="88" t="s">
        <v>73</v>
      </c>
      <c r="CX16" s="194">
        <f>B155</f>
        <v>6</v>
      </c>
      <c r="CY16" s="88" t="s">
        <v>69</v>
      </c>
      <c r="CZ16" s="266" t="s">
        <v>170</v>
      </c>
      <c r="DA16" s="301" t="e">
        <f>DG2</f>
        <v>#DIV/0!</v>
      </c>
      <c r="DB16" s="266" t="s">
        <v>304</v>
      </c>
      <c r="DC16" s="262" t="s">
        <v>385</v>
      </c>
      <c r="DD16" s="298">
        <f>B156</f>
        <v>34</v>
      </c>
      <c r="DE16" s="262" t="s">
        <v>69</v>
      </c>
      <c r="DF16" s="267" t="s">
        <v>81</v>
      </c>
      <c r="DG16" s="299">
        <f>DG20+(0.693/DG22)</f>
        <v>0.23091361256544501</v>
      </c>
      <c r="DH16" s="262" t="s">
        <v>82</v>
      </c>
      <c r="DI16" s="262"/>
      <c r="DJ16" s="293"/>
      <c r="DK16" s="262"/>
      <c r="DL16" s="267"/>
      <c r="DM16" s="293"/>
      <c r="DN16" s="262"/>
      <c r="DO16" s="267" t="s">
        <v>81</v>
      </c>
      <c r="DP16" s="299">
        <f>DP20+(0.693/DP22)</f>
        <v>0.23091361256544501</v>
      </c>
      <c r="DQ16" s="262" t="s">
        <v>82</v>
      </c>
      <c r="DR16" s="267" t="s">
        <v>400</v>
      </c>
      <c r="DS16" s="297">
        <f>B175</f>
        <v>1</v>
      </c>
      <c r="DU16" s="267"/>
      <c r="DV16" s="293"/>
      <c r="DW16" s="262"/>
      <c r="DX16" s="262"/>
      <c r="DY16" s="293"/>
      <c r="DZ16" s="262"/>
      <c r="EA16" s="267"/>
      <c r="EB16" s="293"/>
      <c r="EC16" s="262"/>
      <c r="ED16" s="267" t="s">
        <v>81</v>
      </c>
      <c r="EE16" s="299">
        <f>EE20+(0.693/EE22)</f>
        <v>0.23091361256544501</v>
      </c>
      <c r="EF16" s="262" t="s">
        <v>82</v>
      </c>
      <c r="EG16" s="267" t="s">
        <v>401</v>
      </c>
      <c r="EH16" s="297">
        <f>B176</f>
        <v>1</v>
      </c>
      <c r="EJ16" s="267"/>
      <c r="EK16" s="293"/>
      <c r="EL16" s="262"/>
      <c r="EM16" s="262"/>
      <c r="EN16" s="293"/>
      <c r="EO16" s="262"/>
      <c r="EP16" s="267"/>
      <c r="EQ16" s="293"/>
      <c r="ER16" s="262"/>
      <c r="ES16" s="267" t="s">
        <v>81</v>
      </c>
      <c r="ET16" s="299">
        <f>ET20+(0.693/ET22)</f>
        <v>0.23091361256544501</v>
      </c>
      <c r="EU16" s="262" t="s">
        <v>82</v>
      </c>
      <c r="EV16" s="267" t="s">
        <v>402</v>
      </c>
      <c r="EW16" s="297">
        <f>B177</f>
        <v>1</v>
      </c>
      <c r="EY16" s="262"/>
      <c r="EZ16" s="293"/>
      <c r="FA16" s="262"/>
      <c r="FB16" s="262"/>
      <c r="FC16" s="293"/>
      <c r="FD16" s="262"/>
      <c r="FE16" s="262"/>
      <c r="FF16" s="293"/>
      <c r="FG16" s="262"/>
      <c r="FH16" s="262" t="s">
        <v>81</v>
      </c>
      <c r="FI16" s="299">
        <f>FI20+(0.693/FI22)</f>
        <v>0.23091361256544501</v>
      </c>
      <c r="FJ16" s="262" t="s">
        <v>82</v>
      </c>
      <c r="FK16" s="267" t="s">
        <v>403</v>
      </c>
      <c r="FL16" s="297">
        <f>B178</f>
        <v>1</v>
      </c>
      <c r="FN16" s="262"/>
      <c r="FO16" s="293"/>
      <c r="FP16" s="262"/>
      <c r="FQ16" s="262"/>
      <c r="FR16" s="293"/>
      <c r="FS16" s="262"/>
      <c r="FT16" s="262"/>
      <c r="FU16" s="293"/>
      <c r="FV16" s="262"/>
      <c r="FW16" s="262"/>
      <c r="FX16" s="293"/>
      <c r="FY16" s="262"/>
      <c r="FZ16" s="267" t="s">
        <v>404</v>
      </c>
      <c r="GA16" s="297">
        <f>B179</f>
        <v>1</v>
      </c>
      <c r="GC16" s="262"/>
      <c r="GD16" s="293"/>
      <c r="GE16" s="262"/>
      <c r="GF16" s="262"/>
      <c r="GG16" s="293"/>
      <c r="GH16" s="262"/>
      <c r="GI16" s="262"/>
      <c r="GJ16" s="293"/>
      <c r="GK16" s="262"/>
      <c r="GL16" s="262" t="s">
        <v>81</v>
      </c>
      <c r="GM16" s="299">
        <f>GM20+(0.693/GM22)</f>
        <v>0.23091361256544501</v>
      </c>
      <c r="GN16" s="262" t="s">
        <v>82</v>
      </c>
      <c r="GO16" s="262"/>
      <c r="GP16" s="297">
        <v>365</v>
      </c>
      <c r="GQ16" s="249" t="s">
        <v>26</v>
      </c>
      <c r="GR16" s="262"/>
      <c r="GS16" s="293"/>
      <c r="GT16" s="262"/>
      <c r="GU16" s="262"/>
      <c r="GV16" s="293"/>
      <c r="GW16" s="262"/>
      <c r="GX16" s="262"/>
      <c r="GY16" s="293"/>
      <c r="GZ16" s="262"/>
      <c r="HA16" s="262" t="s">
        <v>81</v>
      </c>
      <c r="HB16" s="299">
        <f>HB20+(0.693/HB22)</f>
        <v>0.23091361256544501</v>
      </c>
      <c r="HC16" s="262" t="s">
        <v>82</v>
      </c>
      <c r="HD16" s="262"/>
      <c r="HE16" s="293"/>
      <c r="HF16" s="262"/>
    </row>
    <row r="17" spans="1:214" ht="13.5" thickBot="1" x14ac:dyDescent="0.25">
      <c r="A17" s="587"/>
      <c r="B17" s="588"/>
      <c r="C17" s="687"/>
      <c r="D17" s="88" t="s">
        <v>342</v>
      </c>
      <c r="E17" s="304">
        <f>B65</f>
        <v>20</v>
      </c>
      <c r="F17" s="266" t="s">
        <v>69</v>
      </c>
      <c r="G17" s="266" t="s">
        <v>322</v>
      </c>
      <c r="H17" s="194">
        <f>B55</f>
        <v>0.78</v>
      </c>
      <c r="I17" s="266" t="s">
        <v>30</v>
      </c>
      <c r="J17" s="266" t="s">
        <v>249</v>
      </c>
      <c r="K17" s="301" t="e">
        <f>(K18/(K50+K51))*K11</f>
        <v>#DIV/0!</v>
      </c>
      <c r="L17" s="271" t="s">
        <v>303</v>
      </c>
      <c r="M17" s="95" t="s">
        <v>299</v>
      </c>
      <c r="N17" s="293">
        <f>B293</f>
        <v>27.027027027027</v>
      </c>
      <c r="O17" s="262"/>
      <c r="P17" s="95" t="s">
        <v>299</v>
      </c>
      <c r="Q17" s="293">
        <f>B293</f>
        <v>27.027027027027</v>
      </c>
      <c r="R17" s="262"/>
      <c r="S17" s="95" t="s">
        <v>299</v>
      </c>
      <c r="T17" s="293">
        <f>B293</f>
        <v>27.027027027027</v>
      </c>
      <c r="U17" s="262"/>
      <c r="V17" s="88" t="s">
        <v>78</v>
      </c>
      <c r="W17" s="296">
        <f>((W5)/((W11/W12)*W8*W9*W14*(1/365)))/W20</f>
        <v>4437.8521063292383</v>
      </c>
      <c r="X17" s="88" t="s">
        <v>15</v>
      </c>
      <c r="Y17" s="88" t="s">
        <v>78</v>
      </c>
      <c r="Z17" s="296">
        <f>((Z5)/((Z11/Z12)*Z8*Z9*Z14*(1/365)))/Z20</f>
        <v>3994.066895696315</v>
      </c>
      <c r="AA17" s="88" t="s">
        <v>15</v>
      </c>
      <c r="AB17" s="262" t="s">
        <v>271</v>
      </c>
      <c r="AC17" s="292">
        <f>B219</f>
        <v>60</v>
      </c>
      <c r="AD17" s="292">
        <f>B231</f>
        <v>60</v>
      </c>
      <c r="AE17" s="292">
        <f>B243</f>
        <v>60</v>
      </c>
      <c r="AF17" s="292">
        <f>B255</f>
        <v>60</v>
      </c>
      <c r="AG17" s="292">
        <f>B269</f>
        <v>60</v>
      </c>
      <c r="AH17" s="267" t="s">
        <v>49</v>
      </c>
      <c r="AI17" s="95" t="s">
        <v>299</v>
      </c>
      <c r="AJ17" s="293">
        <f>B293</f>
        <v>27.027027027027</v>
      </c>
      <c r="AK17" s="262"/>
      <c r="AL17" s="95" t="s">
        <v>299</v>
      </c>
      <c r="AM17" s="293">
        <f>B293</f>
        <v>27.027027027027</v>
      </c>
      <c r="AN17" s="262"/>
      <c r="AO17" s="95" t="s">
        <v>299</v>
      </c>
      <c r="AP17" s="293">
        <f>B293</f>
        <v>27.027027027027</v>
      </c>
      <c r="AQ17" s="262"/>
      <c r="AR17" s="95" t="s">
        <v>299</v>
      </c>
      <c r="AS17" s="293">
        <f>B293</f>
        <v>27.027027027027</v>
      </c>
      <c r="AT17" s="262"/>
      <c r="AU17" s="95" t="s">
        <v>299</v>
      </c>
      <c r="AV17" s="293">
        <f>B293</f>
        <v>27.027027027027</v>
      </c>
      <c r="AW17" s="262"/>
      <c r="AX17" s="95" t="s">
        <v>299</v>
      </c>
      <c r="AY17" s="293">
        <f>B293</f>
        <v>27.027027027027</v>
      </c>
      <c r="AZ17" s="262"/>
      <c r="BA17" s="95" t="s">
        <v>299</v>
      </c>
      <c r="BB17" s="293">
        <f>B293</f>
        <v>27.027027027027</v>
      </c>
      <c r="BC17" s="262"/>
      <c r="BD17" s="95" t="s">
        <v>299</v>
      </c>
      <c r="BE17" s="293">
        <f>B293</f>
        <v>27.027027027027</v>
      </c>
      <c r="BF17" s="262"/>
      <c r="BG17" s="95" t="s">
        <v>299</v>
      </c>
      <c r="BH17" s="293">
        <f>B293</f>
        <v>27.027027027027</v>
      </c>
      <c r="BI17" s="262"/>
      <c r="BJ17" s="95" t="s">
        <v>299</v>
      </c>
      <c r="BK17" s="293">
        <f>B293</f>
        <v>27.027027027027</v>
      </c>
      <c r="BL17" s="262"/>
      <c r="BM17" s="95" t="s">
        <v>299</v>
      </c>
      <c r="BN17" s="293">
        <f>B293</f>
        <v>27.027027027027</v>
      </c>
      <c r="BO17" s="262"/>
      <c r="BP17" s="95" t="s">
        <v>299</v>
      </c>
      <c r="BQ17" s="293">
        <f>B293</f>
        <v>27.027027027027</v>
      </c>
      <c r="BR17" s="262"/>
      <c r="BS17" s="94" t="s">
        <v>373</v>
      </c>
      <c r="BT17" s="297">
        <f>B107</f>
        <v>6</v>
      </c>
      <c r="BU17" s="249" t="s">
        <v>33</v>
      </c>
      <c r="BV17" s="94" t="s">
        <v>371</v>
      </c>
      <c r="BW17" s="329">
        <f>B110</f>
        <v>75</v>
      </c>
      <c r="BX17" s="262" t="s">
        <v>26</v>
      </c>
      <c r="BY17" s="262" t="s">
        <v>491</v>
      </c>
      <c r="BZ17" s="312">
        <f>(BZ27*BZ24*BZ20*(BZ29/24))+(BZ26*BZ23*BZ21*(BZ30/24))</f>
        <v>1437.5</v>
      </c>
      <c r="CA17" s="249" t="s">
        <v>268</v>
      </c>
      <c r="CH17" s="262"/>
      <c r="CI17" s="293"/>
      <c r="CJ17" s="262"/>
      <c r="CT17" s="266" t="s">
        <v>249</v>
      </c>
      <c r="CU17" s="301" t="e">
        <f>DJ2</f>
        <v>#DIV/0!</v>
      </c>
      <c r="CV17" s="271" t="s">
        <v>303</v>
      </c>
      <c r="CW17" s="266" t="s">
        <v>77</v>
      </c>
      <c r="CX17" s="304">
        <f>B156</f>
        <v>34</v>
      </c>
      <c r="CY17" s="88" t="s">
        <v>69</v>
      </c>
      <c r="CZ17" s="266" t="s">
        <v>182</v>
      </c>
      <c r="DA17" s="295" t="e">
        <f>EZ2</f>
        <v>#DIV/0!</v>
      </c>
      <c r="DB17" s="88"/>
      <c r="DC17" s="262" t="s">
        <v>386</v>
      </c>
      <c r="DD17" s="297">
        <f>B157</f>
        <v>40</v>
      </c>
      <c r="DE17" s="262" t="s">
        <v>69</v>
      </c>
      <c r="DF17" s="267" t="s">
        <v>85</v>
      </c>
      <c r="DG17" s="293">
        <v>60</v>
      </c>
      <c r="DH17" s="262" t="s">
        <v>61</v>
      </c>
      <c r="DL17" s="267"/>
      <c r="DM17" s="293"/>
      <c r="DN17" s="262"/>
      <c r="DO17" s="267" t="s">
        <v>85</v>
      </c>
      <c r="DP17" s="293">
        <f>B186</f>
        <v>60</v>
      </c>
      <c r="DQ17" s="262" t="s">
        <v>61</v>
      </c>
      <c r="DR17" s="262"/>
      <c r="DS17" s="297">
        <v>365</v>
      </c>
      <c r="DT17" s="249" t="s">
        <v>26</v>
      </c>
      <c r="DU17" s="267"/>
      <c r="DV17" s="293"/>
      <c r="DW17" s="262"/>
      <c r="EA17" s="267"/>
      <c r="EB17" s="293"/>
      <c r="EC17" s="262"/>
      <c r="ED17" s="267" t="s">
        <v>85</v>
      </c>
      <c r="EE17" s="293">
        <f>B186</f>
        <v>60</v>
      </c>
      <c r="EF17" s="262" t="s">
        <v>61</v>
      </c>
      <c r="EH17" s="297">
        <v>365</v>
      </c>
      <c r="EI17" s="249" t="s">
        <v>165</v>
      </c>
      <c r="EJ17" s="267"/>
      <c r="EK17" s="293"/>
      <c r="EL17" s="262"/>
      <c r="EP17" s="267"/>
      <c r="EQ17" s="293"/>
      <c r="ER17" s="262"/>
      <c r="ES17" s="267" t="s">
        <v>85</v>
      </c>
      <c r="ET17" s="293">
        <f>B186</f>
        <v>60</v>
      </c>
      <c r="EU17" s="262" t="s">
        <v>61</v>
      </c>
      <c r="EV17" s="262"/>
      <c r="EW17" s="297">
        <v>365</v>
      </c>
      <c r="EX17" s="249" t="s">
        <v>26</v>
      </c>
      <c r="EY17" s="262"/>
      <c r="EZ17" s="293"/>
      <c r="FA17" s="262"/>
      <c r="FB17" s="262"/>
      <c r="FC17" s="293"/>
      <c r="FD17" s="262"/>
      <c r="FE17" s="262"/>
      <c r="FF17" s="293"/>
      <c r="FG17" s="262"/>
      <c r="FH17" s="262" t="s">
        <v>85</v>
      </c>
      <c r="FI17" s="293">
        <f>B186</f>
        <v>60</v>
      </c>
      <c r="FJ17" s="262" t="s">
        <v>61</v>
      </c>
      <c r="FK17" s="262"/>
      <c r="FL17" s="297">
        <v>365</v>
      </c>
      <c r="FM17" s="249" t="s">
        <v>26</v>
      </c>
      <c r="FN17" s="262"/>
      <c r="FO17" s="293"/>
      <c r="FP17" s="262"/>
      <c r="FQ17" s="262"/>
      <c r="FR17" s="293"/>
      <c r="FS17" s="262"/>
      <c r="FT17" s="262"/>
      <c r="FU17" s="293"/>
      <c r="FV17" s="262"/>
      <c r="FW17" s="262"/>
      <c r="FX17" s="293"/>
      <c r="FY17" s="262"/>
      <c r="FZ17" s="262"/>
      <c r="GA17" s="297">
        <v>365</v>
      </c>
      <c r="GB17" s="249" t="s">
        <v>26</v>
      </c>
      <c r="GC17" s="262"/>
      <c r="GD17" s="293"/>
      <c r="GE17" s="262"/>
      <c r="GI17" s="262"/>
      <c r="GJ17" s="293"/>
      <c r="GK17" s="262"/>
      <c r="GL17" s="262" t="s">
        <v>85</v>
      </c>
      <c r="GM17" s="293">
        <f>B186</f>
        <v>60</v>
      </c>
      <c r="GN17" s="262" t="s">
        <v>61</v>
      </c>
      <c r="GO17" s="249" t="s">
        <v>23</v>
      </c>
      <c r="GP17" s="287">
        <f>0.693/GP18</f>
        <v>66.155354824913829</v>
      </c>
      <c r="GR17" s="262"/>
      <c r="GS17" s="293"/>
      <c r="GT17" s="262"/>
      <c r="GU17" s="262"/>
      <c r="GV17" s="328"/>
      <c r="GW17" s="262"/>
      <c r="GX17" s="262"/>
      <c r="GY17" s="293"/>
      <c r="GZ17" s="262"/>
      <c r="HA17" s="262" t="s">
        <v>85</v>
      </c>
      <c r="HB17" s="293">
        <f>B186</f>
        <v>60</v>
      </c>
      <c r="HC17" s="262" t="s">
        <v>61</v>
      </c>
      <c r="HD17" s="263"/>
      <c r="HE17" s="307"/>
    </row>
    <row r="18" spans="1:214" ht="18.75" thickTop="1" x14ac:dyDescent="0.2">
      <c r="A18" s="249" t="s">
        <v>17</v>
      </c>
      <c r="B18" s="282">
        <v>9.9999999999999995E-7</v>
      </c>
      <c r="D18" s="266" t="s">
        <v>63</v>
      </c>
      <c r="E18" s="189">
        <f>B28</f>
        <v>1.6230073680000001E-12</v>
      </c>
      <c r="F18" s="266" t="s">
        <v>64</v>
      </c>
      <c r="G18" s="266" t="s">
        <v>323</v>
      </c>
      <c r="H18" s="194">
        <f>B56</f>
        <v>2.5</v>
      </c>
      <c r="I18" s="266" t="s">
        <v>30</v>
      </c>
      <c r="J18" s="266" t="s">
        <v>248</v>
      </c>
      <c r="K18" s="302" t="e">
        <f>(K5/(K9*(K25+K28)*K39))/K54</f>
        <v>#DIV/0!</v>
      </c>
      <c r="L18" s="271" t="s">
        <v>303</v>
      </c>
      <c r="V18" s="88" t="s">
        <v>74</v>
      </c>
      <c r="W18" s="294">
        <f>((W5*W6*W9)/((W11/W12)*(1-EXP(-W6*W9))*W10*W13*W8*W9))/W20</f>
        <v>16.998250892512598</v>
      </c>
      <c r="X18" s="88" t="s">
        <v>16</v>
      </c>
      <c r="Y18" s="88" t="s">
        <v>74</v>
      </c>
      <c r="Z18" s="294">
        <f>((Z5*Z6*Z9)/((Z11/Z12)*(1-EXP(-Z6*Z9))*Z10*Z13*Z8*Z9))/Z20</f>
        <v>15.298425803261338</v>
      </c>
      <c r="AA18" s="88" t="s">
        <v>16</v>
      </c>
      <c r="AB18" s="262" t="s">
        <v>52</v>
      </c>
      <c r="AC18" s="292">
        <f>B225</f>
        <v>0.4</v>
      </c>
      <c r="AD18" s="292">
        <f>B237</f>
        <v>0.4</v>
      </c>
      <c r="AE18" s="292">
        <f>B249</f>
        <v>0.4</v>
      </c>
      <c r="AF18" s="292">
        <f>B261</f>
        <v>0.4</v>
      </c>
      <c r="AG18" s="292">
        <f>B274</f>
        <v>0.4</v>
      </c>
      <c r="AH18" s="267"/>
      <c r="BS18" s="94" t="s">
        <v>372</v>
      </c>
      <c r="BT18" s="293">
        <f>B108</f>
        <v>20</v>
      </c>
      <c r="BU18" s="262" t="s">
        <v>33</v>
      </c>
      <c r="BV18" s="94" t="s">
        <v>370</v>
      </c>
      <c r="BW18" s="298">
        <f>B111</f>
        <v>75</v>
      </c>
      <c r="BX18" s="262" t="s">
        <v>26</v>
      </c>
      <c r="BY18" s="262" t="s">
        <v>362</v>
      </c>
      <c r="BZ18" s="297">
        <f>B103</f>
        <v>200</v>
      </c>
      <c r="CA18" s="263" t="s">
        <v>54</v>
      </c>
      <c r="CB18" s="409" t="s">
        <v>556</v>
      </c>
      <c r="CC18" s="407"/>
      <c r="CD18" s="407"/>
      <c r="CE18" s="406" t="s">
        <v>557</v>
      </c>
      <c r="CF18" s="407"/>
      <c r="CG18" s="408"/>
      <c r="CK18" s="409" t="s">
        <v>555</v>
      </c>
      <c r="CL18" s="407"/>
      <c r="CM18" s="414"/>
      <c r="CN18" s="406" t="s">
        <v>555</v>
      </c>
      <c r="CO18" s="407"/>
      <c r="CP18" s="414"/>
      <c r="CQ18" s="406" t="s">
        <v>555</v>
      </c>
      <c r="CR18" s="407"/>
      <c r="CS18" s="408"/>
      <c r="CT18" s="266" t="s">
        <v>182</v>
      </c>
      <c r="CU18" s="295" t="e">
        <f>FC2</f>
        <v>#DIV/0!</v>
      </c>
      <c r="CV18" s="271" t="s">
        <v>303</v>
      </c>
      <c r="CW18" s="266" t="s">
        <v>63</v>
      </c>
      <c r="CX18" s="189">
        <f>B28</f>
        <v>1.6230073680000001E-12</v>
      </c>
      <c r="CY18" s="266" t="s">
        <v>64</v>
      </c>
      <c r="CZ18" s="266" t="s">
        <v>258</v>
      </c>
      <c r="DA18" s="295" t="e">
        <f>GS2</f>
        <v>#DIV/0!</v>
      </c>
      <c r="DB18" s="88"/>
      <c r="DC18" s="268"/>
      <c r="DD18" s="287">
        <v>9.9999999999999995E-7</v>
      </c>
      <c r="DE18" s="264"/>
      <c r="DF18" s="267" t="s">
        <v>87</v>
      </c>
      <c r="DG18" s="293">
        <v>2</v>
      </c>
      <c r="DH18" s="262" t="s">
        <v>66</v>
      </c>
      <c r="DL18" s="267"/>
      <c r="DM18" s="293"/>
      <c r="DN18" s="262"/>
      <c r="DO18" s="267" t="s">
        <v>87</v>
      </c>
      <c r="DP18" s="293">
        <f>B187</f>
        <v>2</v>
      </c>
      <c r="DQ18" s="262" t="s">
        <v>66</v>
      </c>
      <c r="DR18" s="249" t="s">
        <v>23</v>
      </c>
      <c r="DS18" s="287">
        <f>0.693/DS19</f>
        <v>66.155354824913829</v>
      </c>
      <c r="DU18" s="267"/>
      <c r="DV18" s="293"/>
      <c r="DW18" s="262"/>
      <c r="EA18" s="267"/>
      <c r="EB18" s="293"/>
      <c r="EC18" s="262"/>
      <c r="ED18" s="267" t="s">
        <v>87</v>
      </c>
      <c r="EE18" s="293">
        <f>B187</f>
        <v>2</v>
      </c>
      <c r="EF18" s="262" t="s">
        <v>66</v>
      </c>
      <c r="EG18" s="249" t="s">
        <v>23</v>
      </c>
      <c r="EH18" s="287">
        <f>0.693/EH19</f>
        <v>66.155354824913829</v>
      </c>
      <c r="EJ18" s="267"/>
      <c r="EK18" s="293"/>
      <c r="EL18" s="262"/>
      <c r="EP18" s="267"/>
      <c r="EQ18" s="293"/>
      <c r="ER18" s="262"/>
      <c r="ES18" s="267" t="s">
        <v>87</v>
      </c>
      <c r="ET18" s="293">
        <f>B187</f>
        <v>2</v>
      </c>
      <c r="EU18" s="262" t="s">
        <v>66</v>
      </c>
      <c r="EV18" s="249" t="s">
        <v>23</v>
      </c>
      <c r="EW18" s="287">
        <f>0.693/EW19</f>
        <v>66.155354824913829</v>
      </c>
      <c r="EY18" s="262"/>
      <c r="EZ18" s="293"/>
      <c r="FA18" s="262"/>
      <c r="FB18" s="262"/>
      <c r="FC18" s="293"/>
      <c r="FD18" s="262"/>
      <c r="FE18" s="262"/>
      <c r="FF18" s="293"/>
      <c r="FG18" s="262"/>
      <c r="FH18" s="262" t="s">
        <v>87</v>
      </c>
      <c r="FI18" s="293">
        <f>B187</f>
        <v>2</v>
      </c>
      <c r="FJ18" s="262" t="s">
        <v>66</v>
      </c>
      <c r="FK18" s="249" t="s">
        <v>23</v>
      </c>
      <c r="FL18" s="287">
        <f>0.693/FL19</f>
        <v>66.155354824913829</v>
      </c>
      <c r="FN18" s="262"/>
      <c r="FO18" s="293"/>
      <c r="FP18" s="262"/>
      <c r="FQ18" s="262"/>
      <c r="FR18" s="293"/>
      <c r="FS18" s="262"/>
      <c r="FT18" s="262"/>
      <c r="FU18" s="293"/>
      <c r="FV18" s="262"/>
      <c r="FW18" s="262"/>
      <c r="FX18" s="293"/>
      <c r="FY18" s="262"/>
      <c r="FZ18" s="249" t="s">
        <v>23</v>
      </c>
      <c r="GA18" s="287">
        <f>0.693/GA19</f>
        <v>66.155354824913829</v>
      </c>
      <c r="GC18" s="262"/>
      <c r="GD18" s="293"/>
      <c r="GE18" s="262"/>
      <c r="GI18" s="262"/>
      <c r="GJ18" s="293"/>
      <c r="GK18" s="262"/>
      <c r="GL18" s="262" t="s">
        <v>87</v>
      </c>
      <c r="GM18" s="293">
        <f>B187</f>
        <v>2</v>
      </c>
      <c r="GN18" s="262" t="s">
        <v>66</v>
      </c>
      <c r="GO18" s="266" t="s">
        <v>270</v>
      </c>
      <c r="GP18" s="287">
        <f>B31</f>
        <v>1.04753425E-2</v>
      </c>
      <c r="GQ18" s="249" t="s">
        <v>69</v>
      </c>
      <c r="GR18" s="262"/>
      <c r="GS18" s="293"/>
      <c r="GT18" s="262"/>
      <c r="GU18" s="262"/>
      <c r="GV18" s="293"/>
      <c r="GW18" s="262"/>
      <c r="HA18" s="262" t="s">
        <v>87</v>
      </c>
      <c r="HB18" s="293">
        <f>B187</f>
        <v>2</v>
      </c>
      <c r="HC18" s="262" t="s">
        <v>66</v>
      </c>
    </row>
    <row r="19" spans="1:214" ht="13.5" thickBot="1" x14ac:dyDescent="0.25">
      <c r="A19" s="262" t="s">
        <v>43</v>
      </c>
      <c r="B19" s="316">
        <v>3.1999999999999999E-11</v>
      </c>
      <c r="C19" s="263" t="s">
        <v>35</v>
      </c>
      <c r="D19" s="266" t="s">
        <v>255</v>
      </c>
      <c r="E19" s="304">
        <v>1</v>
      </c>
      <c r="F19" s="88"/>
      <c r="G19" s="266" t="s">
        <v>318</v>
      </c>
      <c r="H19" s="194">
        <f>B51</f>
        <v>10</v>
      </c>
      <c r="I19" s="271" t="s">
        <v>49</v>
      </c>
      <c r="J19" s="266" t="s">
        <v>51</v>
      </c>
      <c r="K19" s="196">
        <f>K21*K31*K36+K22*K32*K35</f>
        <v>1120000</v>
      </c>
      <c r="L19" s="266" t="s">
        <v>267</v>
      </c>
      <c r="V19" s="88" t="s">
        <v>78</v>
      </c>
      <c r="W19" s="296">
        <f>((W5*W6*W9)/((W11/W12)*(1-EXP(-W6*W9))*W14*W8*W9*(1/365)))/W20</f>
        <v>7339692.0188675495</v>
      </c>
      <c r="X19" s="88" t="s">
        <v>16</v>
      </c>
      <c r="Y19" s="88" t="s">
        <v>78</v>
      </c>
      <c r="Z19" s="296">
        <f>((Z5*Z6*Z9)/((Z11/Z12)*(1-EXP(-Z6*Z9))*Z14*Z8*Z9*(1/365)))/Z20</f>
        <v>6605722.8169807941</v>
      </c>
      <c r="AA19" s="88" t="s">
        <v>16</v>
      </c>
      <c r="AB19" s="262" t="s">
        <v>62</v>
      </c>
      <c r="AC19" s="292">
        <f>B226</f>
        <v>1</v>
      </c>
      <c r="AD19" s="292">
        <f>B238</f>
        <v>1</v>
      </c>
      <c r="AE19" s="292">
        <f>B250</f>
        <v>1</v>
      </c>
      <c r="AF19" s="305">
        <f>B4</f>
        <v>0.75600000000000001</v>
      </c>
      <c r="AG19" s="305">
        <f>B4</f>
        <v>0.75600000000000001</v>
      </c>
      <c r="AH19" s="267"/>
      <c r="BS19" s="262" t="s">
        <v>63</v>
      </c>
      <c r="BT19" s="287">
        <f>E18</f>
        <v>1.6230073680000001E-12</v>
      </c>
      <c r="BU19" s="262" t="s">
        <v>64</v>
      </c>
      <c r="BV19" s="262" t="s">
        <v>59</v>
      </c>
      <c r="BW19" s="298">
        <f>B109</f>
        <v>26</v>
      </c>
      <c r="BX19" s="263" t="s">
        <v>69</v>
      </c>
      <c r="BY19" s="262" t="s">
        <v>363</v>
      </c>
      <c r="BZ19" s="297">
        <f>B104</f>
        <v>100</v>
      </c>
      <c r="CA19" s="263" t="s">
        <v>54</v>
      </c>
      <c r="CB19" s="410" t="s">
        <v>561</v>
      </c>
      <c r="CC19" s="400">
        <f>((CC22*CC23*CC24)/((1-EXP(-CC24*CC23))*CC27*CC31*(CC26/365)*CC29*(CC30/24)*CC28))/CC32</f>
        <v>78346412.526812747</v>
      </c>
      <c r="CD19" s="404" t="s">
        <v>307</v>
      </c>
      <c r="CE19" s="402" t="s">
        <v>562</v>
      </c>
      <c r="CF19" s="400">
        <f>((CF22*CF23*CF24)/((1-EXP(-CF24*CF23))*CF27*CF31*(CF26/365)*CF29*(CF30/24)*CF28))/CF32</f>
        <v>9196635.1755811926</v>
      </c>
      <c r="CG19" s="398" t="s">
        <v>303</v>
      </c>
      <c r="CK19" s="410" t="s">
        <v>510</v>
      </c>
      <c r="CL19" s="400" t="e">
        <f>(CL22/(CL23*CL24*CL25*CL26))/CL27</f>
        <v>#DIV/0!</v>
      </c>
      <c r="CM19" s="404" t="s">
        <v>303</v>
      </c>
      <c r="CN19" s="402" t="s">
        <v>7</v>
      </c>
      <c r="CO19" s="400" t="e">
        <f>(CL19/(CO22*((CO27*CO29*CO30*(CO23+CO24))+(CO28*CO29))))*CL30</f>
        <v>#DIV/0!</v>
      </c>
      <c r="CP19" s="412" t="s">
        <v>303</v>
      </c>
      <c r="CQ19" s="402" t="s">
        <v>6</v>
      </c>
      <c r="CR19" s="400" t="e">
        <f>CL19/(CR22*CR23*(1/CR24))</f>
        <v>#DIV/0!</v>
      </c>
      <c r="CS19" s="415" t="s">
        <v>304</v>
      </c>
      <c r="CT19" s="266" t="s">
        <v>258</v>
      </c>
      <c r="CU19" s="295" t="e">
        <f>GV2</f>
        <v>#DIV/0!</v>
      </c>
      <c r="CV19" s="271" t="s">
        <v>303</v>
      </c>
      <c r="CW19" s="266" t="s">
        <v>255</v>
      </c>
      <c r="CX19" s="304">
        <f>B173</f>
        <v>1</v>
      </c>
      <c r="CY19" s="88"/>
      <c r="CZ19" s="266" t="s">
        <v>184</v>
      </c>
      <c r="DA19" s="295" t="e">
        <f>EK2</f>
        <v>#DIV/0!</v>
      </c>
      <c r="DB19" s="88"/>
      <c r="DC19" s="264"/>
      <c r="DD19" s="287">
        <v>1000</v>
      </c>
      <c r="DE19" s="267" t="s">
        <v>115</v>
      </c>
      <c r="DF19" s="267" t="s">
        <v>89</v>
      </c>
      <c r="DG19" s="289">
        <v>2.6999999999999999E-5</v>
      </c>
      <c r="DH19" s="249" t="s">
        <v>82</v>
      </c>
      <c r="DL19" s="267"/>
      <c r="DO19" s="267" t="s">
        <v>89</v>
      </c>
      <c r="DP19" s="289">
        <f>B188</f>
        <v>2.6999999999999999E-5</v>
      </c>
      <c r="DQ19" s="249" t="s">
        <v>82</v>
      </c>
      <c r="DR19" s="266" t="s">
        <v>270</v>
      </c>
      <c r="DS19" s="287">
        <f>B31</f>
        <v>1.04753425E-2</v>
      </c>
      <c r="DT19" s="249" t="s">
        <v>69</v>
      </c>
      <c r="DU19" s="267"/>
      <c r="EA19" s="267"/>
      <c r="EB19" s="307"/>
      <c r="EC19" s="263"/>
      <c r="ED19" s="267" t="s">
        <v>89</v>
      </c>
      <c r="EE19" s="307">
        <f>B188</f>
        <v>2.6999999999999999E-5</v>
      </c>
      <c r="EF19" s="263" t="s">
        <v>82</v>
      </c>
      <c r="EG19" s="266" t="s">
        <v>270</v>
      </c>
      <c r="EH19" s="287">
        <f>B31</f>
        <v>1.04753425E-2</v>
      </c>
      <c r="EI19" s="249" t="s">
        <v>69</v>
      </c>
      <c r="EJ19" s="267"/>
      <c r="EP19" s="267"/>
      <c r="EQ19" s="307"/>
      <c r="ER19" s="263"/>
      <c r="ES19" s="267" t="s">
        <v>89</v>
      </c>
      <c r="ET19" s="307">
        <f>B188</f>
        <v>2.6999999999999999E-5</v>
      </c>
      <c r="EU19" s="263" t="s">
        <v>82</v>
      </c>
      <c r="EV19" s="266" t="s">
        <v>270</v>
      </c>
      <c r="EW19" s="287">
        <f>B31</f>
        <v>1.04753425E-2</v>
      </c>
      <c r="EX19" s="249" t="s">
        <v>69</v>
      </c>
      <c r="EY19" s="263"/>
      <c r="EZ19" s="307"/>
      <c r="FA19" s="263"/>
      <c r="FB19" s="263"/>
      <c r="FC19" s="307"/>
      <c r="FD19" s="263"/>
      <c r="FE19" s="263"/>
      <c r="FF19" s="307"/>
      <c r="FG19" s="263"/>
      <c r="FH19" s="263" t="s">
        <v>89</v>
      </c>
      <c r="FI19" s="293">
        <f>B188</f>
        <v>2.6999999999999999E-5</v>
      </c>
      <c r="FJ19" s="263" t="s">
        <v>82</v>
      </c>
      <c r="FK19" s="266" t="s">
        <v>270</v>
      </c>
      <c r="FL19" s="287">
        <f>B31</f>
        <v>1.04753425E-2</v>
      </c>
      <c r="FM19" s="249" t="s">
        <v>69</v>
      </c>
      <c r="FN19" s="263"/>
      <c r="FO19" s="307"/>
      <c r="FP19" s="263"/>
      <c r="FQ19" s="263"/>
      <c r="FR19" s="307"/>
      <c r="FS19" s="263"/>
      <c r="FT19" s="263"/>
      <c r="FU19" s="307"/>
      <c r="FV19" s="263"/>
      <c r="FW19" s="262"/>
      <c r="FX19" s="293"/>
      <c r="FY19" s="262"/>
      <c r="FZ19" s="266" t="s">
        <v>270</v>
      </c>
      <c r="GA19" s="287">
        <f>B31</f>
        <v>1.04753425E-2</v>
      </c>
      <c r="GB19" s="249" t="s">
        <v>69</v>
      </c>
      <c r="GC19" s="263"/>
      <c r="GD19" s="293"/>
      <c r="GE19" s="262"/>
      <c r="GI19" s="262"/>
      <c r="GJ19" s="293"/>
      <c r="GK19" s="262"/>
      <c r="GL19" s="262" t="s">
        <v>89</v>
      </c>
      <c r="GM19" s="293">
        <f>B188</f>
        <v>2.6999999999999999E-5</v>
      </c>
      <c r="GN19" s="263" t="s">
        <v>82</v>
      </c>
      <c r="GO19" s="95" t="s">
        <v>299</v>
      </c>
      <c r="GP19" s="344">
        <f>B293</f>
        <v>27.027027027027</v>
      </c>
      <c r="GQ19" s="267"/>
      <c r="GR19" s="263"/>
      <c r="GS19" s="293"/>
      <c r="GT19" s="262"/>
      <c r="GU19" s="262"/>
      <c r="GV19" s="293"/>
      <c r="GW19" s="262"/>
      <c r="HA19" s="262" t="s">
        <v>89</v>
      </c>
      <c r="HB19" s="293">
        <f>B188</f>
        <v>2.6999999999999999E-5</v>
      </c>
      <c r="HC19" s="263" t="s">
        <v>82</v>
      </c>
    </row>
    <row r="20" spans="1:214" ht="19.5" thickTop="1" thickBot="1" x14ac:dyDescent="0.25">
      <c r="A20" s="262" t="s">
        <v>439</v>
      </c>
      <c r="B20" s="315">
        <v>0</v>
      </c>
      <c r="C20" s="263" t="s">
        <v>35</v>
      </c>
      <c r="D20" s="88" t="s">
        <v>74</v>
      </c>
      <c r="E20" s="294">
        <f>((E5)/(E10*E11))/E26</f>
        <v>7.1816770186335479E-3</v>
      </c>
      <c r="F20" s="88" t="s">
        <v>15</v>
      </c>
      <c r="G20" s="266" t="s">
        <v>319</v>
      </c>
      <c r="H20" s="194">
        <f>B52</f>
        <v>20</v>
      </c>
      <c r="I20" s="271" t="s">
        <v>49</v>
      </c>
      <c r="J20" s="266" t="s">
        <v>48</v>
      </c>
      <c r="K20" s="196">
        <f>(K36*K31*K23*(K37/24))+(K35*K32*K24*(K38/24))</f>
        <v>161000</v>
      </c>
      <c r="L20" s="88" t="s">
        <v>86</v>
      </c>
      <c r="M20" s="612" t="s">
        <v>514</v>
      </c>
      <c r="N20" s="613"/>
      <c r="O20" s="614"/>
      <c r="P20" s="645" t="s">
        <v>515</v>
      </c>
      <c r="Q20" s="613"/>
      <c r="R20" s="646"/>
      <c r="V20" s="95" t="s">
        <v>299</v>
      </c>
      <c r="W20" s="289">
        <f>B293</f>
        <v>27.027027027027</v>
      </c>
      <c r="Y20" s="95" t="s">
        <v>299</v>
      </c>
      <c r="Z20" s="289">
        <f>B293</f>
        <v>27.027027027027</v>
      </c>
      <c r="AB20" s="262" t="s">
        <v>71</v>
      </c>
      <c r="AC20" s="287">
        <f>B23</f>
        <v>1.6930652399999999E-9</v>
      </c>
      <c r="AD20" s="287">
        <f>B23</f>
        <v>1.6930652399999999E-9</v>
      </c>
      <c r="AE20" s="287">
        <f>B23</f>
        <v>1.6930652399999999E-9</v>
      </c>
      <c r="AF20" s="287">
        <f>B23</f>
        <v>1.6930652399999999E-9</v>
      </c>
      <c r="AG20" s="287">
        <f>B23</f>
        <v>1.6930652399999999E-9</v>
      </c>
      <c r="AH20" s="262" t="s">
        <v>95</v>
      </c>
      <c r="AI20" s="393" t="s">
        <v>566</v>
      </c>
      <c r="AJ20" s="394"/>
      <c r="AK20" s="395"/>
      <c r="AL20" s="396" t="s">
        <v>567</v>
      </c>
      <c r="AM20" s="394"/>
      <c r="AN20" s="397"/>
      <c r="AO20" s="247"/>
      <c r="AP20" s="352"/>
      <c r="AQ20" s="247"/>
      <c r="AR20" s="393" t="s">
        <v>568</v>
      </c>
      <c r="AS20" s="394"/>
      <c r="AT20" s="395"/>
      <c r="AU20" s="396" t="s">
        <v>569</v>
      </c>
      <c r="AV20" s="394"/>
      <c r="AW20" s="397"/>
      <c r="AX20" s="247"/>
      <c r="AY20" s="352"/>
      <c r="AZ20" s="247"/>
      <c r="BA20" s="393" t="s">
        <v>570</v>
      </c>
      <c r="BB20" s="394"/>
      <c r="BC20" s="395"/>
      <c r="BD20" s="396" t="s">
        <v>571</v>
      </c>
      <c r="BE20" s="394"/>
      <c r="BF20" s="397"/>
      <c r="BG20" s="247"/>
      <c r="BH20" s="352"/>
      <c r="BI20" s="247"/>
      <c r="BJ20" s="393" t="s">
        <v>572</v>
      </c>
      <c r="BK20" s="394"/>
      <c r="BL20" s="395"/>
      <c r="BM20" s="396" t="s">
        <v>573</v>
      </c>
      <c r="BN20" s="394"/>
      <c r="BO20" s="397"/>
      <c r="BS20" s="262" t="s">
        <v>255</v>
      </c>
      <c r="BT20" s="293">
        <f>B130</f>
        <v>1</v>
      </c>
      <c r="BV20" s="94" t="s">
        <v>373</v>
      </c>
      <c r="BW20" s="297">
        <f>B107</f>
        <v>6</v>
      </c>
      <c r="BY20" s="262" t="s">
        <v>358</v>
      </c>
      <c r="BZ20" s="292">
        <f>B99</f>
        <v>10</v>
      </c>
      <c r="CA20" s="267" t="s">
        <v>49</v>
      </c>
      <c r="CB20" s="410"/>
      <c r="CC20" s="400"/>
      <c r="CD20" s="404"/>
      <c r="CE20" s="402"/>
      <c r="CF20" s="400"/>
      <c r="CG20" s="398"/>
      <c r="CK20" s="410"/>
      <c r="CL20" s="400"/>
      <c r="CM20" s="404"/>
      <c r="CN20" s="402"/>
      <c r="CO20" s="400"/>
      <c r="CP20" s="412"/>
      <c r="CQ20" s="402"/>
      <c r="CR20" s="400"/>
      <c r="CS20" s="415"/>
      <c r="CT20" s="266" t="s">
        <v>184</v>
      </c>
      <c r="CU20" s="295" t="e">
        <f>EN2</f>
        <v>#DIV/0!</v>
      </c>
      <c r="CV20" s="271" t="s">
        <v>303</v>
      </c>
      <c r="CW20" s="88" t="s">
        <v>74</v>
      </c>
      <c r="CX20" s="294">
        <f>((CX5)/((CX14/CX15)*CX10*CX11))/CX26</f>
        <v>4.4642857142857192E-3</v>
      </c>
      <c r="CY20" s="88" t="s">
        <v>15</v>
      </c>
      <c r="CZ20" s="266" t="s">
        <v>493</v>
      </c>
      <c r="DA20" s="295" t="e">
        <f>DV2</f>
        <v>#DIV/0!</v>
      </c>
      <c r="DB20" s="88"/>
      <c r="DC20" s="267" t="s">
        <v>399</v>
      </c>
      <c r="DD20" s="297">
        <f>B174</f>
        <v>1</v>
      </c>
      <c r="DE20" s="268"/>
      <c r="DF20" s="267" t="s">
        <v>90</v>
      </c>
      <c r="DG20" s="288">
        <f>0.693/DG23</f>
        <v>0.18141361256544503</v>
      </c>
      <c r="DH20" s="249" t="s">
        <v>82</v>
      </c>
      <c r="DL20" s="267"/>
      <c r="DO20" s="267" t="s">
        <v>90</v>
      </c>
      <c r="DP20" s="288">
        <f>0.693/B35</f>
        <v>0.18141361256544503</v>
      </c>
      <c r="DQ20" s="249" t="s">
        <v>82</v>
      </c>
      <c r="DR20" s="95" t="s">
        <v>299</v>
      </c>
      <c r="DS20" s="289">
        <f>B293</f>
        <v>27.027027027027</v>
      </c>
      <c r="DU20" s="267"/>
      <c r="EA20" s="267"/>
      <c r="EB20" s="307"/>
      <c r="EC20" s="263"/>
      <c r="ED20" s="267" t="s">
        <v>90</v>
      </c>
      <c r="EE20" s="299">
        <f>0.693/B35</f>
        <v>0.18141361256544503</v>
      </c>
      <c r="EF20" s="263" t="s">
        <v>82</v>
      </c>
      <c r="EG20" s="95" t="s">
        <v>299</v>
      </c>
      <c r="EH20" s="345">
        <f>B293</f>
        <v>27.027027027027</v>
      </c>
      <c r="EJ20" s="267"/>
      <c r="EP20" s="267"/>
      <c r="EQ20" s="307"/>
      <c r="ER20" s="263"/>
      <c r="ES20" s="267" t="s">
        <v>90</v>
      </c>
      <c r="ET20" s="299">
        <f>0.693/B35</f>
        <v>0.18141361256544503</v>
      </c>
      <c r="EU20" s="263" t="s">
        <v>82</v>
      </c>
      <c r="EV20" s="95" t="s">
        <v>299</v>
      </c>
      <c r="EW20" s="345">
        <f>B293</f>
        <v>27.027027027027</v>
      </c>
      <c r="EY20" s="263"/>
      <c r="EZ20" s="307"/>
      <c r="FA20" s="263"/>
      <c r="FB20" s="263"/>
      <c r="FC20" s="307"/>
      <c r="FD20" s="263"/>
      <c r="FE20" s="263"/>
      <c r="FF20" s="307"/>
      <c r="FG20" s="263"/>
      <c r="FH20" s="263" t="s">
        <v>90</v>
      </c>
      <c r="FI20" s="299">
        <f>0.693/B35</f>
        <v>0.18141361256544503</v>
      </c>
      <c r="FJ20" s="263" t="s">
        <v>82</v>
      </c>
      <c r="FK20" s="95" t="s">
        <v>299</v>
      </c>
      <c r="FL20" s="345">
        <f>B293</f>
        <v>27.027027027027</v>
      </c>
      <c r="FM20" s="267"/>
      <c r="FN20" s="263"/>
      <c r="FO20" s="307"/>
      <c r="FP20" s="263"/>
      <c r="FQ20" s="263"/>
      <c r="FR20" s="307"/>
      <c r="FS20" s="263"/>
      <c r="FT20" s="263"/>
      <c r="FU20" s="307"/>
      <c r="FV20" s="263"/>
      <c r="FW20" s="262"/>
      <c r="FX20" s="293"/>
      <c r="FY20" s="262"/>
      <c r="FZ20" s="95" t="s">
        <v>299</v>
      </c>
      <c r="GA20" s="344">
        <f>B293</f>
        <v>27.027027027027</v>
      </c>
      <c r="GB20" s="267"/>
      <c r="GC20" s="263"/>
      <c r="GD20" s="293"/>
      <c r="GE20" s="262"/>
      <c r="GI20" s="262"/>
      <c r="GJ20" s="293"/>
      <c r="GK20" s="262"/>
      <c r="GL20" s="262" t="s">
        <v>90</v>
      </c>
      <c r="GM20" s="299">
        <f>0.693/B35</f>
        <v>0.18141361256544503</v>
      </c>
      <c r="GN20" s="263" t="s">
        <v>82</v>
      </c>
      <c r="GO20" s="267"/>
      <c r="GP20" s="292"/>
      <c r="GQ20" s="267"/>
      <c r="GR20" s="263"/>
      <c r="GS20" s="293"/>
      <c r="GT20" s="262"/>
      <c r="GU20" s="262"/>
      <c r="GV20" s="293"/>
      <c r="GW20" s="262"/>
      <c r="HA20" s="262" t="s">
        <v>90</v>
      </c>
      <c r="HB20" s="299">
        <f>0.693/B35</f>
        <v>0.18141361256544503</v>
      </c>
      <c r="HC20" s="263" t="s">
        <v>82</v>
      </c>
    </row>
    <row r="21" spans="1:214" ht="15" thickTop="1" thickBot="1" x14ac:dyDescent="0.25">
      <c r="A21" s="262" t="s">
        <v>316</v>
      </c>
      <c r="B21" s="315">
        <v>0</v>
      </c>
      <c r="C21" s="262" t="s">
        <v>35</v>
      </c>
      <c r="D21" s="88" t="s">
        <v>78</v>
      </c>
      <c r="E21" s="295">
        <f>((E5)/((E14/E15)*E8*E9*E18*(1/365)*E19))/E26</f>
        <v>914.39260432607932</v>
      </c>
      <c r="F21" s="88" t="s">
        <v>15</v>
      </c>
      <c r="G21" s="266" t="s">
        <v>442</v>
      </c>
      <c r="H21" s="197">
        <f>(H29*H32*H38*H34)+(H30*H33*H39*H35)</f>
        <v>6104</v>
      </c>
      <c r="I21" s="266" t="s">
        <v>218</v>
      </c>
      <c r="J21" s="266" t="s">
        <v>320</v>
      </c>
      <c r="K21" s="194">
        <f>B53</f>
        <v>200</v>
      </c>
      <c r="L21" s="188" t="s">
        <v>54</v>
      </c>
      <c r="M21" s="617" t="s">
        <v>516</v>
      </c>
      <c r="N21" s="647">
        <f>((N24*N25*N26)/((1-EXP(-N26*N25))*N29*N34*(N28/365)*N32*(((N33/24)*N31)+((N35/24)*N30))))/N36</f>
        <v>21025.001867582836</v>
      </c>
      <c r="O21" s="637" t="s">
        <v>307</v>
      </c>
      <c r="P21" s="639" t="s">
        <v>516</v>
      </c>
      <c r="Q21" s="647">
        <f>((Q24*Q25*Q26)/((1-EXP(-Q26*Q25))*Q29*Q34*(Q28/365)*Q32*(((Q33/24)*Q31)+((Q35/24)*Q30))))/Q36</f>
        <v>7313.8921153465317</v>
      </c>
      <c r="R21" s="643" t="s">
        <v>303</v>
      </c>
      <c r="AB21" s="262" t="s">
        <v>43</v>
      </c>
      <c r="AC21" s="290">
        <f>B19</f>
        <v>3.1999999999999999E-11</v>
      </c>
      <c r="AD21" s="290">
        <f>B19</f>
        <v>3.1999999999999999E-11</v>
      </c>
      <c r="AE21" s="290">
        <f>B19</f>
        <v>3.1999999999999999E-11</v>
      </c>
      <c r="AF21" s="290">
        <f>B19</f>
        <v>3.1999999999999999E-11</v>
      </c>
      <c r="AG21" s="290">
        <f>B19</f>
        <v>3.1999999999999999E-11</v>
      </c>
      <c r="AH21" s="263" t="s">
        <v>35</v>
      </c>
      <c r="AI21" s="381" t="s">
        <v>516</v>
      </c>
      <c r="AJ21" s="387">
        <f>((AJ24*AJ25*AJ26)/((1-EXP(-AJ26*AJ25))*AJ34*(AJ28/365)*AJ29*(AJ35/24)*AJ30*AJ32))/AJ36</f>
        <v>76516.289296694216</v>
      </c>
      <c r="AK21" s="629" t="s">
        <v>307</v>
      </c>
      <c r="AL21" s="383" t="s">
        <v>516</v>
      </c>
      <c r="AM21" s="387">
        <f>((AM24*AM25*AM26)/((1-EXP(-AM26*AM25))*AM34*(AM28/365)*AM29*(AM35/24)*AM30*AM32))/AM36</f>
        <v>26617.447575380633</v>
      </c>
      <c r="AN21" s="635" t="s">
        <v>303</v>
      </c>
      <c r="AR21" s="381" t="s">
        <v>516</v>
      </c>
      <c r="AS21" s="387">
        <f>((AS24*AS25*AS26)/((1-EXP(-AS26*AS25))*AS34*(AS28/365)*AS29*(AS33/24)*AS31*AS32))/AS36</f>
        <v>34007.239687419649</v>
      </c>
      <c r="AT21" s="391" t="s">
        <v>307</v>
      </c>
      <c r="AU21" s="383" t="s">
        <v>516</v>
      </c>
      <c r="AV21" s="387">
        <f>((AV24*AV25*AV26)/((1-EXP(-AV26*AV25))*AV34*(AV28/365)*AV29*(AV33/24)*AV31*AV32))/AV36</f>
        <v>11829.976700169173</v>
      </c>
      <c r="AW21" s="385" t="s">
        <v>303</v>
      </c>
      <c r="BA21" s="381" t="s">
        <v>516</v>
      </c>
      <c r="BB21" s="387">
        <f>((BB24*BB25*BB26)/((1-EXP(-BB26*BB25))*BB34*(BB28/365)*BB29*((BB33+BB35)/24)*BB31*BB32))/BB36</f>
        <v>30606.515718677685</v>
      </c>
      <c r="BC21" s="391" t="s">
        <v>307</v>
      </c>
      <c r="BD21" s="383" t="s">
        <v>516</v>
      </c>
      <c r="BE21" s="387">
        <f>((BE24*BE25*BE26)/((1-EXP(-BE26*BE25))*BE34*(BE28/365)*BE29*((BE33+BE35)/24)*BE31*BE32))/BE36</f>
        <v>10646.979030152255</v>
      </c>
      <c r="BF21" s="385" t="s">
        <v>303</v>
      </c>
      <c r="BJ21" s="381" t="s">
        <v>561</v>
      </c>
      <c r="BK21" s="389">
        <f>((BK24*BK25*BK26)/((1-EXP(-BK26*BK25))*BK31*BK35*(BK28/365)*BK33*(BK34/24)*BK32))/BK36</f>
        <v>5649981.672606688</v>
      </c>
      <c r="BL21" s="391" t="s">
        <v>307</v>
      </c>
      <c r="BM21" s="383" t="s">
        <v>562</v>
      </c>
      <c r="BN21" s="389">
        <f>((BN24*BN25*BN26)/((1-EXP(-BN26*BN25))*BN31*BN35*(BN28/365)*BN33*(BN34/24)*BN32))/BN36</f>
        <v>663218.88285441289</v>
      </c>
      <c r="BO21" s="385" t="s">
        <v>303</v>
      </c>
      <c r="BS21" s="88" t="s">
        <v>74</v>
      </c>
      <c r="BT21" s="294">
        <f>((BT5)/(BT10*BT11))/BT29</f>
        <v>0.80434782608695721</v>
      </c>
      <c r="BU21" s="88" t="s">
        <v>15</v>
      </c>
      <c r="BV21" s="94" t="s">
        <v>372</v>
      </c>
      <c r="BW21" s="297">
        <f>B108</f>
        <v>20</v>
      </c>
      <c r="BY21" s="262" t="s">
        <v>360</v>
      </c>
      <c r="BZ21" s="292">
        <f>B100</f>
        <v>20</v>
      </c>
      <c r="CA21" s="267" t="s">
        <v>49</v>
      </c>
      <c r="CB21" s="411"/>
      <c r="CC21" s="401"/>
      <c r="CD21" s="405"/>
      <c r="CE21" s="403"/>
      <c r="CF21" s="401"/>
      <c r="CG21" s="399"/>
      <c r="CK21" s="411"/>
      <c r="CL21" s="401"/>
      <c r="CM21" s="405"/>
      <c r="CN21" s="403"/>
      <c r="CO21" s="401"/>
      <c r="CP21" s="413"/>
      <c r="CQ21" s="403"/>
      <c r="CR21" s="401"/>
      <c r="CS21" s="416"/>
      <c r="CT21" s="266" t="s">
        <v>493</v>
      </c>
      <c r="CU21" s="295" t="e">
        <f>DY2</f>
        <v>#DIV/0!</v>
      </c>
      <c r="CV21" s="271" t="s">
        <v>303</v>
      </c>
      <c r="CW21" s="88" t="s">
        <v>78</v>
      </c>
      <c r="CX21" s="296">
        <f>((CX5)/((CX14/CX15)*CX8*CX9*CX18*(1/365)*CX19))/CX26</f>
        <v>594.35519281195161</v>
      </c>
      <c r="CY21" s="88" t="s">
        <v>15</v>
      </c>
      <c r="CZ21" s="266" t="s">
        <v>492</v>
      </c>
      <c r="DA21" s="295" t="e">
        <f>GD2</f>
        <v>#DIV/0!</v>
      </c>
      <c r="DB21" s="88"/>
      <c r="DC21" s="249" t="s">
        <v>23</v>
      </c>
      <c r="DD21" s="287">
        <f>0.693/DD22</f>
        <v>66.155354824913829</v>
      </c>
      <c r="DF21" s="267" t="s">
        <v>91</v>
      </c>
      <c r="DG21" s="289">
        <v>1</v>
      </c>
      <c r="DH21" s="249" t="s">
        <v>47</v>
      </c>
      <c r="DL21" s="267"/>
      <c r="DO21" s="267" t="s">
        <v>91</v>
      </c>
      <c r="DP21" s="289">
        <f>B189</f>
        <v>1</v>
      </c>
      <c r="DQ21" s="249" t="s">
        <v>47</v>
      </c>
      <c r="DU21" s="267"/>
      <c r="EA21" s="267"/>
      <c r="EB21" s="307"/>
      <c r="EC21" s="263"/>
      <c r="ED21" s="267" t="s">
        <v>91</v>
      </c>
      <c r="EE21" s="307">
        <f>B189</f>
        <v>1</v>
      </c>
      <c r="EF21" s="263" t="s">
        <v>47</v>
      </c>
      <c r="EJ21" s="267"/>
      <c r="EP21" s="267"/>
      <c r="EQ21" s="307"/>
      <c r="ER21" s="263"/>
      <c r="ES21" s="267" t="s">
        <v>91</v>
      </c>
      <c r="ET21" s="307">
        <f>B189</f>
        <v>1</v>
      </c>
      <c r="EU21" s="263" t="s">
        <v>47</v>
      </c>
      <c r="EY21" s="263"/>
      <c r="EZ21" s="307"/>
      <c r="FA21" s="263"/>
      <c r="FB21" s="263"/>
      <c r="FC21" s="307"/>
      <c r="FD21" s="263"/>
      <c r="FE21" s="263"/>
      <c r="FF21" s="307"/>
      <c r="FG21" s="263"/>
      <c r="FH21" s="263" t="s">
        <v>91</v>
      </c>
      <c r="FI21" s="293">
        <f>B189</f>
        <v>1</v>
      </c>
      <c r="FJ21" s="263" t="s">
        <v>47</v>
      </c>
      <c r="FL21" s="292"/>
      <c r="FM21" s="267"/>
      <c r="FN21" s="263"/>
      <c r="FO21" s="307"/>
      <c r="FP21" s="263"/>
      <c r="FQ21" s="263"/>
      <c r="FR21" s="307"/>
      <c r="FS21" s="263"/>
      <c r="FT21" s="263"/>
      <c r="FU21" s="307"/>
      <c r="FV21" s="263"/>
      <c r="FW21" s="262"/>
      <c r="FX21" s="293"/>
      <c r="FY21" s="262"/>
      <c r="GC21" s="263"/>
      <c r="GD21" s="293"/>
      <c r="GE21" s="262"/>
      <c r="GI21" s="262"/>
      <c r="GJ21" s="293"/>
      <c r="GK21" s="262"/>
      <c r="GL21" s="262" t="s">
        <v>91</v>
      </c>
      <c r="GM21" s="293">
        <f>B189</f>
        <v>1</v>
      </c>
      <c r="GN21" s="263" t="s">
        <v>47</v>
      </c>
      <c r="GR21" s="263"/>
      <c r="GS21" s="293"/>
      <c r="GT21" s="262"/>
      <c r="GU21" s="262"/>
      <c r="GV21" s="293"/>
      <c r="GW21" s="262"/>
      <c r="HA21" s="262" t="s">
        <v>91</v>
      </c>
      <c r="HB21" s="293">
        <f>B189</f>
        <v>1</v>
      </c>
      <c r="HC21" s="263" t="s">
        <v>47</v>
      </c>
      <c r="HD21" s="423" t="s">
        <v>552</v>
      </c>
      <c r="HE21" s="424"/>
      <c r="HF21" s="425"/>
    </row>
    <row r="22" spans="1:214" ht="14.25" thickTop="1" thickBot="1" x14ac:dyDescent="0.25">
      <c r="A22" s="262" t="s">
        <v>317</v>
      </c>
      <c r="B22" s="315">
        <v>0</v>
      </c>
      <c r="C22" s="262" t="s">
        <v>35</v>
      </c>
      <c r="D22" s="88" t="s">
        <v>74</v>
      </c>
      <c r="E22" s="295">
        <f>((E5*E9*E6)/((1-EXP(-E6*E9))*E10*E11))/E26</f>
        <v>12.352766176546423</v>
      </c>
      <c r="F22" s="88" t="s">
        <v>16</v>
      </c>
      <c r="G22" s="266" t="s">
        <v>443</v>
      </c>
      <c r="H22" s="190">
        <f>(H29*H32*H23)+(H30*H33*H24)</f>
        <v>1462510</v>
      </c>
      <c r="I22" s="271" t="s">
        <v>149</v>
      </c>
      <c r="J22" s="266" t="s">
        <v>321</v>
      </c>
      <c r="K22" s="194">
        <f>B54</f>
        <v>100</v>
      </c>
      <c r="L22" s="188" t="s">
        <v>54</v>
      </c>
      <c r="M22" s="617"/>
      <c r="N22" s="647"/>
      <c r="O22" s="637"/>
      <c r="P22" s="639"/>
      <c r="Q22" s="647"/>
      <c r="R22" s="643"/>
      <c r="AI22" s="381"/>
      <c r="AJ22" s="387"/>
      <c r="AK22" s="629"/>
      <c r="AL22" s="383"/>
      <c r="AM22" s="387"/>
      <c r="AN22" s="635"/>
      <c r="AR22" s="381"/>
      <c r="AS22" s="387"/>
      <c r="AT22" s="391"/>
      <c r="AU22" s="383"/>
      <c r="AV22" s="387"/>
      <c r="AW22" s="385"/>
      <c r="BA22" s="381"/>
      <c r="BB22" s="387"/>
      <c r="BC22" s="391"/>
      <c r="BD22" s="383"/>
      <c r="BE22" s="387"/>
      <c r="BF22" s="385"/>
      <c r="BJ22" s="381"/>
      <c r="BK22" s="389"/>
      <c r="BL22" s="391"/>
      <c r="BM22" s="383"/>
      <c r="BN22" s="389"/>
      <c r="BO22" s="385"/>
      <c r="BS22" s="88" t="s">
        <v>78</v>
      </c>
      <c r="BT22" s="296">
        <f>((BT5)/((BT14/24)*(BT8/365)*BT9*BT19*BT20))/BT29</f>
        <v>102411.97168452089</v>
      </c>
      <c r="BU22" s="88" t="s">
        <v>15</v>
      </c>
      <c r="BV22" s="92" t="s">
        <v>368</v>
      </c>
      <c r="BW22" s="289">
        <f>B114</f>
        <v>1</v>
      </c>
      <c r="BX22" s="249" t="s">
        <v>104</v>
      </c>
      <c r="BY22" s="262" t="s">
        <v>157</v>
      </c>
      <c r="BZ22" s="298">
        <f>B112</f>
        <v>75</v>
      </c>
      <c r="CA22" s="262" t="s">
        <v>26</v>
      </c>
      <c r="CB22" s="249" t="s">
        <v>17</v>
      </c>
      <c r="CC22" s="287">
        <f>B18</f>
        <v>9.9999999999999995E-7</v>
      </c>
      <c r="CE22" s="249" t="s">
        <v>17</v>
      </c>
      <c r="CF22" s="287">
        <f>B18</f>
        <v>9.9999999999999995E-7</v>
      </c>
      <c r="CK22" s="249" t="s">
        <v>17</v>
      </c>
      <c r="CL22" s="287">
        <f>B18</f>
        <v>9.9999999999999995E-7</v>
      </c>
      <c r="CM22" s="76"/>
      <c r="CN22" s="249" t="s">
        <v>265</v>
      </c>
      <c r="CO22" s="287">
        <f>B42</f>
        <v>0</v>
      </c>
      <c r="CQ22" s="262" t="s">
        <v>265</v>
      </c>
      <c r="CR22" s="287">
        <f>CO22</f>
        <v>0</v>
      </c>
      <c r="CT22" s="266" t="s">
        <v>492</v>
      </c>
      <c r="CU22" s="295" t="e">
        <f>GG2</f>
        <v>#DIV/0!</v>
      </c>
      <c r="CV22" s="271" t="s">
        <v>303</v>
      </c>
      <c r="CW22" s="88" t="s">
        <v>74</v>
      </c>
      <c r="CX22" s="294">
        <f>((CX5*CX9*CX6)/((CX14/CX15)*(1-EXP(-CX6*CX9))*CX10*CX11))/CX26</f>
        <v>11.813456218734625</v>
      </c>
      <c r="CY22" s="88" t="s">
        <v>16</v>
      </c>
      <c r="CZ22" s="266" t="s">
        <v>183</v>
      </c>
      <c r="DA22" s="296" t="e">
        <f>FO2</f>
        <v>#DIV/0!</v>
      </c>
      <c r="DB22" s="88"/>
      <c r="DC22" s="266" t="s">
        <v>270</v>
      </c>
      <c r="DD22" s="287">
        <f>B31</f>
        <v>1.04753425E-2</v>
      </c>
      <c r="DE22" s="249" t="s">
        <v>69</v>
      </c>
      <c r="DF22" s="267" t="s">
        <v>92</v>
      </c>
      <c r="DG22" s="289">
        <v>14</v>
      </c>
      <c r="DH22" s="249" t="s">
        <v>93</v>
      </c>
      <c r="DL22" s="267"/>
      <c r="DO22" s="267" t="s">
        <v>92</v>
      </c>
      <c r="DP22" s="289">
        <f>B190</f>
        <v>14</v>
      </c>
      <c r="DQ22" s="249" t="s">
        <v>93</v>
      </c>
      <c r="DU22" s="267"/>
      <c r="EA22" s="267"/>
      <c r="EB22" s="307"/>
      <c r="EC22" s="263"/>
      <c r="ED22" s="267" t="s">
        <v>92</v>
      </c>
      <c r="EE22" s="307">
        <f>B190</f>
        <v>14</v>
      </c>
      <c r="EF22" s="263" t="s">
        <v>93</v>
      </c>
      <c r="EJ22" s="267"/>
      <c r="EP22" s="267"/>
      <c r="EQ22" s="307"/>
      <c r="ER22" s="263"/>
      <c r="ES22" s="267" t="s">
        <v>92</v>
      </c>
      <c r="ET22" s="307">
        <f>B190</f>
        <v>14</v>
      </c>
      <c r="EU22" s="263" t="s">
        <v>93</v>
      </c>
      <c r="EY22" s="263"/>
      <c r="EZ22" s="307"/>
      <c r="FD22" s="263"/>
      <c r="FE22" s="263"/>
      <c r="FF22" s="307"/>
      <c r="FG22" s="263"/>
      <c r="FH22" s="263" t="s">
        <v>92</v>
      </c>
      <c r="FI22" s="293">
        <f>B190</f>
        <v>14</v>
      </c>
      <c r="FJ22" s="263" t="s">
        <v>93</v>
      </c>
      <c r="FN22" s="263"/>
      <c r="FO22" s="307"/>
      <c r="FP22" s="263"/>
      <c r="FQ22" s="263"/>
      <c r="FR22" s="307"/>
      <c r="FS22" s="263"/>
      <c r="FT22" s="263"/>
      <c r="FU22" s="307"/>
      <c r="FV22" s="263"/>
      <c r="FW22" s="262"/>
      <c r="FX22" s="293"/>
      <c r="FY22" s="262"/>
      <c r="GC22" s="263"/>
      <c r="GD22" s="293"/>
      <c r="GE22" s="262"/>
      <c r="GI22" s="262"/>
      <c r="GJ22" s="293"/>
      <c r="GK22" s="262"/>
      <c r="GL22" s="262" t="s">
        <v>92</v>
      </c>
      <c r="GM22" s="293">
        <f>B190</f>
        <v>14</v>
      </c>
      <c r="GN22" s="263" t="s">
        <v>93</v>
      </c>
      <c r="GR22" s="263"/>
      <c r="GS22" s="293"/>
      <c r="GT22" s="262"/>
      <c r="GU22" s="262"/>
      <c r="GV22" s="293"/>
      <c r="GW22" s="262"/>
      <c r="HA22" s="262" t="s">
        <v>92</v>
      </c>
      <c r="HB22" s="293">
        <f>B190</f>
        <v>14</v>
      </c>
      <c r="HC22" s="263" t="s">
        <v>93</v>
      </c>
      <c r="HD22" s="251"/>
      <c r="HE22" s="350"/>
      <c r="HF22" s="252"/>
    </row>
    <row r="23" spans="1:214" ht="19.5" thickTop="1" thickBot="1" x14ac:dyDescent="0.25">
      <c r="A23" s="262" t="s">
        <v>448</v>
      </c>
      <c r="B23" s="315">
        <v>1.6930652399999999E-9</v>
      </c>
      <c r="C23" s="262" t="s">
        <v>95</v>
      </c>
      <c r="D23" s="88" t="s">
        <v>78</v>
      </c>
      <c r="E23" s="296">
        <f>((E5*E9*E6)/((E14/E15)*E8*E9*(1-EXP(-E6*E9))*E18*(1/365)*E19))/E26</f>
        <v>1572791.1469001889</v>
      </c>
      <c r="F23" s="88" t="s">
        <v>16</v>
      </c>
      <c r="G23" s="266" t="s">
        <v>332</v>
      </c>
      <c r="H23" s="194">
        <f>B60</f>
        <v>68.099999999999994</v>
      </c>
      <c r="I23" s="271" t="s">
        <v>254</v>
      </c>
      <c r="J23" s="266" t="s">
        <v>318</v>
      </c>
      <c r="K23" s="313">
        <f>B51</f>
        <v>10</v>
      </c>
      <c r="L23" s="271" t="s">
        <v>49</v>
      </c>
      <c r="M23" s="618"/>
      <c r="N23" s="648"/>
      <c r="O23" s="638"/>
      <c r="P23" s="640"/>
      <c r="Q23" s="648"/>
      <c r="R23" s="644"/>
      <c r="V23" s="631" t="s">
        <v>519</v>
      </c>
      <c r="W23" s="632"/>
      <c r="X23" s="632"/>
      <c r="Y23" s="633" t="s">
        <v>520</v>
      </c>
      <c r="Z23" s="632"/>
      <c r="AA23" s="634"/>
      <c r="AB23" s="262" t="s">
        <v>67</v>
      </c>
      <c r="AC23" s="290">
        <f>B227</f>
        <v>4</v>
      </c>
      <c r="AD23" s="290">
        <f>B239</f>
        <v>0</v>
      </c>
      <c r="AE23" s="290">
        <f>B251</f>
        <v>8</v>
      </c>
      <c r="AF23" s="290">
        <f>B263</f>
        <v>8</v>
      </c>
      <c r="AG23" s="290">
        <f>B276</f>
        <v>8</v>
      </c>
      <c r="AH23" s="263"/>
      <c r="AI23" s="382"/>
      <c r="AJ23" s="388"/>
      <c r="AK23" s="630"/>
      <c r="AL23" s="384"/>
      <c r="AM23" s="388"/>
      <c r="AN23" s="636"/>
      <c r="AR23" s="382"/>
      <c r="AS23" s="388"/>
      <c r="AT23" s="392"/>
      <c r="AU23" s="384"/>
      <c r="AV23" s="388"/>
      <c r="AW23" s="386"/>
      <c r="BA23" s="382"/>
      <c r="BB23" s="388"/>
      <c r="BC23" s="392"/>
      <c r="BD23" s="384"/>
      <c r="BE23" s="388"/>
      <c r="BF23" s="386"/>
      <c r="BJ23" s="382"/>
      <c r="BK23" s="390"/>
      <c r="BL23" s="392"/>
      <c r="BM23" s="384"/>
      <c r="BN23" s="390"/>
      <c r="BO23" s="386"/>
      <c r="BS23" s="88" t="s">
        <v>74</v>
      </c>
      <c r="BT23" s="294">
        <f>((BT5*BT28*BT6)/((1-EXP(-BT6*BT28))*BT10*BT11))/BT29</f>
        <v>1383.5098117731991</v>
      </c>
      <c r="BU23" s="88" t="s">
        <v>16</v>
      </c>
      <c r="BV23" s="92" t="s">
        <v>369</v>
      </c>
      <c r="BW23" s="289">
        <f>B115</f>
        <v>1</v>
      </c>
      <c r="BX23" s="249" t="s">
        <v>104</v>
      </c>
      <c r="BY23" s="94" t="s">
        <v>370</v>
      </c>
      <c r="BZ23" s="298">
        <f>B111</f>
        <v>75</v>
      </c>
      <c r="CA23" s="262" t="s">
        <v>26</v>
      </c>
      <c r="CB23" s="249" t="s">
        <v>111</v>
      </c>
      <c r="CC23" s="289">
        <f>CC10</f>
        <v>26</v>
      </c>
      <c r="CD23" s="249" t="s">
        <v>69</v>
      </c>
      <c r="CE23" s="249" t="s">
        <v>111</v>
      </c>
      <c r="CF23" s="289">
        <f>CC10</f>
        <v>26</v>
      </c>
      <c r="CG23" s="249" t="s">
        <v>69</v>
      </c>
      <c r="CK23" s="249" t="s">
        <v>256</v>
      </c>
      <c r="CL23" s="287">
        <f>E34</f>
        <v>0</v>
      </c>
      <c r="CM23" s="266" t="s">
        <v>13</v>
      </c>
      <c r="CN23" s="249" t="s">
        <v>21</v>
      </c>
      <c r="CO23" s="290">
        <f>CO25</f>
        <v>0</v>
      </c>
      <c r="CQ23" s="263" t="s">
        <v>200</v>
      </c>
      <c r="CR23" s="306">
        <f>B129</f>
        <v>1</v>
      </c>
      <c r="CS23" s="249" t="s">
        <v>30</v>
      </c>
      <c r="CT23" s="266" t="s">
        <v>183</v>
      </c>
      <c r="CU23" s="296" t="e">
        <f>FR2</f>
        <v>#DIV/0!</v>
      </c>
      <c r="CV23" s="271" t="s">
        <v>303</v>
      </c>
      <c r="CW23" s="88" t="s">
        <v>78</v>
      </c>
      <c r="CX23" s="296">
        <f>((CX5*CX9*CX6)/((CX14/CX15)*CX8*CX9*(1-EXP(-CX6*CX9))*CX18*(1/365)*CX19))/CX26</f>
        <v>1572791.1469001889</v>
      </c>
      <c r="CY23" s="88" t="s">
        <v>16</v>
      </c>
      <c r="CZ23" s="266" t="s">
        <v>495</v>
      </c>
      <c r="DA23" s="190">
        <f>(DA34*DA36*DA26)+(DA35*DA37*DA27)</f>
        <v>31388</v>
      </c>
      <c r="DB23" s="88" t="s">
        <v>116</v>
      </c>
      <c r="DC23" s="95" t="s">
        <v>299</v>
      </c>
      <c r="DD23" s="345">
        <f>B293</f>
        <v>27.027027027027</v>
      </c>
      <c r="DF23" s="262" t="s">
        <v>17</v>
      </c>
      <c r="DG23" s="287">
        <f>B35</f>
        <v>3.82</v>
      </c>
      <c r="DH23" s="249" t="s">
        <v>257</v>
      </c>
      <c r="DO23" s="262" t="s">
        <v>20</v>
      </c>
      <c r="DP23" s="305">
        <f>DP25</f>
        <v>0</v>
      </c>
      <c r="EA23" s="262"/>
      <c r="EB23" s="293"/>
      <c r="EC23" s="263"/>
      <c r="ED23" s="262" t="s">
        <v>20</v>
      </c>
      <c r="EE23" s="305">
        <f>EE25</f>
        <v>0</v>
      </c>
      <c r="EF23" s="263"/>
      <c r="EP23" s="262"/>
      <c r="EQ23" s="293"/>
      <c r="ER23" s="263"/>
      <c r="ES23" s="262" t="s">
        <v>20</v>
      </c>
      <c r="ET23" s="305">
        <f>ET25</f>
        <v>0</v>
      </c>
      <c r="EU23" s="263"/>
      <c r="EY23" s="263"/>
      <c r="EZ23" s="307"/>
      <c r="FD23" s="263"/>
      <c r="FE23" s="263"/>
      <c r="FF23" s="307"/>
      <c r="FG23" s="263"/>
      <c r="FH23" s="263" t="s">
        <v>20</v>
      </c>
      <c r="FI23" s="305">
        <f>FI25</f>
        <v>0</v>
      </c>
      <c r="FJ23" s="263"/>
      <c r="FN23" s="263"/>
      <c r="FO23" s="307"/>
      <c r="FP23" s="263"/>
      <c r="FQ23" s="263"/>
      <c r="FR23" s="307"/>
      <c r="FS23" s="263"/>
      <c r="FT23" s="263"/>
      <c r="FU23" s="307"/>
      <c r="FV23" s="263"/>
      <c r="FW23" s="262"/>
      <c r="FX23" s="293"/>
      <c r="FY23" s="262"/>
      <c r="GC23" s="263"/>
      <c r="GD23" s="293"/>
      <c r="GE23" s="262"/>
      <c r="GI23" s="262"/>
      <c r="GJ23" s="293"/>
      <c r="GK23" s="262"/>
      <c r="GL23" s="262" t="s">
        <v>20</v>
      </c>
      <c r="GM23" s="305">
        <f>GM25</f>
        <v>0</v>
      </c>
      <c r="GN23" s="263"/>
      <c r="GR23" s="263"/>
      <c r="GS23" s="293"/>
      <c r="GT23" s="262"/>
      <c r="GU23" s="262"/>
      <c r="GV23" s="293"/>
      <c r="GW23" s="262"/>
      <c r="HA23" s="262" t="s">
        <v>20</v>
      </c>
      <c r="HB23" s="305">
        <f>HB25</f>
        <v>0</v>
      </c>
      <c r="HC23" s="263"/>
      <c r="HD23" s="219" t="s">
        <v>574</v>
      </c>
      <c r="HE23" s="348">
        <f>(HE25*HE33*HE38*HE32*10^-3*HE31*HE27)/(HE30*HE41*(1-EXP(-HE27*HE31)))</f>
        <v>0</v>
      </c>
      <c r="HF23" s="252" t="s">
        <v>303</v>
      </c>
    </row>
    <row r="24" spans="1:214" ht="14.25" thickTop="1" thickBot="1" x14ac:dyDescent="0.25">
      <c r="A24" s="262" t="s">
        <v>450</v>
      </c>
      <c r="B24" s="315">
        <v>3.5028935999999998E-10</v>
      </c>
      <c r="C24" s="262" t="s">
        <v>282</v>
      </c>
      <c r="D24" s="249" t="s">
        <v>340</v>
      </c>
      <c r="E24" s="289">
        <f>B67</f>
        <v>350</v>
      </c>
      <c r="F24" s="249" t="s">
        <v>26</v>
      </c>
      <c r="G24" s="262" t="s">
        <v>333</v>
      </c>
      <c r="H24" s="297">
        <f>B61</f>
        <v>188.5</v>
      </c>
      <c r="I24" s="267" t="s">
        <v>254</v>
      </c>
      <c r="J24" s="262" t="s">
        <v>319</v>
      </c>
      <c r="K24" s="292">
        <f>B52</f>
        <v>20</v>
      </c>
      <c r="L24" s="267" t="s">
        <v>49</v>
      </c>
      <c r="M24" s="249" t="s">
        <v>17</v>
      </c>
      <c r="N24" s="287">
        <f>B18</f>
        <v>9.9999999999999995E-7</v>
      </c>
      <c r="P24" s="249" t="s">
        <v>17</v>
      </c>
      <c r="Q24" s="287">
        <f>B18</f>
        <v>9.9999999999999995E-7</v>
      </c>
      <c r="V24" s="55"/>
      <c r="W24" s="357"/>
      <c r="X24" s="56"/>
      <c r="Y24" s="57"/>
      <c r="Z24" s="357"/>
      <c r="AA24" s="58"/>
      <c r="AB24" s="262" t="s">
        <v>88</v>
      </c>
      <c r="AC24" s="290">
        <f>B228</f>
        <v>4</v>
      </c>
      <c r="AD24" s="290">
        <f>B240</f>
        <v>8</v>
      </c>
      <c r="AE24" s="290">
        <f>B252</f>
        <v>0</v>
      </c>
      <c r="AF24" s="290">
        <f>B264</f>
        <v>0</v>
      </c>
      <c r="AG24" s="290">
        <f>B277</f>
        <v>0</v>
      </c>
      <c r="AH24" s="263"/>
      <c r="AI24" s="249" t="s">
        <v>17</v>
      </c>
      <c r="AJ24" s="287">
        <f>B18</f>
        <v>9.9999999999999995E-7</v>
      </c>
      <c r="AL24" s="249" t="s">
        <v>17</v>
      </c>
      <c r="AM24" s="287">
        <f>B18</f>
        <v>9.9999999999999995E-7</v>
      </c>
      <c r="AR24" s="249" t="s">
        <v>17</v>
      </c>
      <c r="AS24" s="287">
        <f>B18</f>
        <v>9.9999999999999995E-7</v>
      </c>
      <c r="AU24" s="249" t="s">
        <v>17</v>
      </c>
      <c r="AV24" s="287">
        <f>B18</f>
        <v>9.9999999999999995E-7</v>
      </c>
      <c r="BA24" s="249" t="s">
        <v>17</v>
      </c>
      <c r="BB24" s="287">
        <f>B18</f>
        <v>9.9999999999999995E-7</v>
      </c>
      <c r="BD24" s="249" t="s">
        <v>17</v>
      </c>
      <c r="BE24" s="287">
        <f>B18</f>
        <v>9.9999999999999995E-7</v>
      </c>
      <c r="BJ24" s="249" t="s">
        <v>17</v>
      </c>
      <c r="BK24" s="287">
        <f>B18</f>
        <v>9.9999999999999995E-7</v>
      </c>
      <c r="BM24" s="249" t="s">
        <v>17</v>
      </c>
      <c r="BN24" s="287">
        <f>B18</f>
        <v>9.9999999999999995E-7</v>
      </c>
      <c r="BS24" s="88" t="s">
        <v>78</v>
      </c>
      <c r="BT24" s="296">
        <f>((BT5*BT28*BT6)/((BT14/24)*(BT8/365)*BT9*(1-EXP(-BT6*BT28))*BT19*BT20))/BT29</f>
        <v>176152608.45282117</v>
      </c>
      <c r="BU24" s="88" t="s">
        <v>16</v>
      </c>
      <c r="BV24" s="249" t="s">
        <v>105</v>
      </c>
      <c r="BW24" s="298">
        <f>B113</f>
        <v>1</v>
      </c>
      <c r="BX24" s="249" t="s">
        <v>50</v>
      </c>
      <c r="BY24" s="94" t="s">
        <v>371</v>
      </c>
      <c r="BZ24" s="329">
        <f>B110</f>
        <v>75</v>
      </c>
      <c r="CA24" s="262" t="s">
        <v>26</v>
      </c>
      <c r="CB24" s="262" t="s">
        <v>23</v>
      </c>
      <c r="CC24" s="288">
        <f>0.693/CC25</f>
        <v>66.155354824913829</v>
      </c>
      <c r="CE24" s="262" t="s">
        <v>23</v>
      </c>
      <c r="CF24" s="288">
        <f>0.693/CF25</f>
        <v>66.155354824913829</v>
      </c>
      <c r="CK24" s="249" t="s">
        <v>157</v>
      </c>
      <c r="CL24" s="289">
        <f>B112</f>
        <v>75</v>
      </c>
      <c r="CM24" s="266" t="s">
        <v>165</v>
      </c>
      <c r="CN24" s="249" t="s">
        <v>28</v>
      </c>
      <c r="CO24" s="307">
        <f>CO26</f>
        <v>0.25</v>
      </c>
      <c r="CR24" s="289">
        <v>1000</v>
      </c>
      <c r="CS24" s="249" t="s">
        <v>149</v>
      </c>
      <c r="CT24" s="266" t="s">
        <v>51</v>
      </c>
      <c r="CU24" s="196">
        <f>(CU26*CU30*CU34+CU27*CU31*CU33)</f>
        <v>1610000</v>
      </c>
      <c r="CV24" s="266" t="s">
        <v>267</v>
      </c>
      <c r="CW24" s="266" t="s">
        <v>387</v>
      </c>
      <c r="CX24" s="192">
        <f>B158</f>
        <v>350</v>
      </c>
      <c r="CY24" s="88" t="s">
        <v>26</v>
      </c>
      <c r="CZ24" s="266" t="s">
        <v>496</v>
      </c>
      <c r="DA24" s="190">
        <f>(DA34*DA36*DA28*(DA39/24))+(DA35*DA37*DA29*(DA40/24))</f>
        <v>259000</v>
      </c>
      <c r="DB24" s="266" t="s">
        <v>268</v>
      </c>
      <c r="DG24" s="289">
        <v>1000</v>
      </c>
      <c r="DO24" s="262" t="s">
        <v>28</v>
      </c>
      <c r="DP24" s="293">
        <f>DP26</f>
        <v>0.26</v>
      </c>
      <c r="EA24" s="262"/>
      <c r="EB24" s="293"/>
      <c r="EC24" s="263"/>
      <c r="ED24" s="262" t="s">
        <v>28</v>
      </c>
      <c r="EE24" s="293">
        <f>EE26</f>
        <v>0.25</v>
      </c>
      <c r="EF24" s="263"/>
      <c r="EP24" s="262"/>
      <c r="EQ24" s="293"/>
      <c r="ER24" s="263"/>
      <c r="ES24" s="262" t="s">
        <v>28</v>
      </c>
      <c r="ET24" s="293">
        <f>ET26</f>
        <v>0.25</v>
      </c>
      <c r="EU24" s="263"/>
      <c r="EY24" s="263"/>
      <c r="EZ24" s="307"/>
      <c r="FD24" s="263"/>
      <c r="FE24" s="263"/>
      <c r="FF24" s="307"/>
      <c r="FG24" s="263"/>
      <c r="FH24" s="263" t="s">
        <v>28</v>
      </c>
      <c r="FI24" s="293">
        <f>FI26</f>
        <v>0.25</v>
      </c>
      <c r="FJ24" s="263"/>
      <c r="FN24" s="263"/>
      <c r="FO24" s="307"/>
      <c r="FP24" s="263"/>
      <c r="FQ24" s="263"/>
      <c r="FR24" s="307"/>
      <c r="FS24" s="263"/>
      <c r="FT24" s="263"/>
      <c r="FU24" s="307"/>
      <c r="FV24" s="263"/>
      <c r="FW24" s="262"/>
      <c r="FX24" s="293"/>
      <c r="FY24" s="262"/>
      <c r="GC24" s="263"/>
      <c r="GD24" s="293"/>
      <c r="GE24" s="262"/>
      <c r="GI24" s="262"/>
      <c r="GJ24" s="293"/>
      <c r="GK24" s="262"/>
      <c r="GL24" s="262" t="s">
        <v>28</v>
      </c>
      <c r="GM24" s="293">
        <f>GM26</f>
        <v>0.25</v>
      </c>
      <c r="GN24" s="263"/>
      <c r="GR24" s="263"/>
      <c r="GS24" s="293"/>
      <c r="GT24" s="262"/>
      <c r="GU24" s="262"/>
      <c r="GV24" s="293"/>
      <c r="GW24" s="262"/>
      <c r="HA24" s="262" t="s">
        <v>28</v>
      </c>
      <c r="HB24" s="293">
        <f>HB26</f>
        <v>0.25</v>
      </c>
      <c r="HC24" s="263"/>
      <c r="HD24" s="246" t="s">
        <v>575</v>
      </c>
      <c r="HE24" s="349">
        <f>(HE26*HE33*HE38*HE32*10^-3*HE31*HE27)/(HE30*HE41*(1-EXP(-HE27*HE31)))</f>
        <v>0.51946163355431585</v>
      </c>
      <c r="HF24" s="75" t="s">
        <v>303</v>
      </c>
    </row>
    <row r="25" spans="1:214" ht="13.5" thickTop="1" x14ac:dyDescent="0.2">
      <c r="A25" s="262" t="s">
        <v>449</v>
      </c>
      <c r="B25" s="315">
        <v>3.5682809472000002E-10</v>
      </c>
      <c r="C25" s="262" t="s">
        <v>95</v>
      </c>
      <c r="D25" s="249" t="s">
        <v>339</v>
      </c>
      <c r="E25" s="289">
        <f>B68</f>
        <v>350</v>
      </c>
      <c r="F25" s="249" t="s">
        <v>26</v>
      </c>
      <c r="G25" s="262" t="s">
        <v>444</v>
      </c>
      <c r="H25" s="291">
        <f>(H29*H32*H26)+(H30*H33*H27)</f>
        <v>989870</v>
      </c>
      <c r="I25" s="267" t="s">
        <v>149</v>
      </c>
      <c r="J25" s="262" t="s">
        <v>443</v>
      </c>
      <c r="K25" s="291">
        <f>(K31*K36*K26)+(K32*K35*K27)</f>
        <v>1462510</v>
      </c>
      <c r="L25" s="267" t="s">
        <v>149</v>
      </c>
      <c r="M25" s="269" t="s">
        <v>107</v>
      </c>
      <c r="N25" s="289">
        <v>26</v>
      </c>
      <c r="O25" s="249" t="s">
        <v>69</v>
      </c>
      <c r="P25" s="269" t="s">
        <v>107</v>
      </c>
      <c r="Q25" s="289">
        <v>26</v>
      </c>
      <c r="R25" s="249" t="s">
        <v>69</v>
      </c>
      <c r="V25" s="319" t="s">
        <v>16</v>
      </c>
      <c r="W25" s="358">
        <f>1/((1/W40)+(1/W41))</f>
        <v>15.298390373181009</v>
      </c>
      <c r="X25" s="254" t="s">
        <v>302</v>
      </c>
      <c r="Y25" s="321" t="s">
        <v>16</v>
      </c>
      <c r="Z25" s="358">
        <f>1/((1/Z38)+(1/Z39))</f>
        <v>29.419981486886567</v>
      </c>
      <c r="AA25" s="255" t="s">
        <v>302</v>
      </c>
      <c r="AB25" s="262" t="s">
        <v>103</v>
      </c>
      <c r="AC25" s="298">
        <f>B229</f>
        <v>0.4</v>
      </c>
      <c r="AD25" s="298">
        <f>B241</f>
        <v>0.4</v>
      </c>
      <c r="AE25" s="298">
        <f>B253</f>
        <v>0.4</v>
      </c>
      <c r="AF25" s="298">
        <f>B265</f>
        <v>0.4</v>
      </c>
      <c r="AG25" s="298">
        <f>B278</f>
        <v>0.4</v>
      </c>
      <c r="AI25" s="249" t="s">
        <v>485</v>
      </c>
      <c r="AJ25" s="289">
        <f>AJ29</f>
        <v>25</v>
      </c>
      <c r="AK25" s="249" t="s">
        <v>69</v>
      </c>
      <c r="AL25" s="249" t="s">
        <v>485</v>
      </c>
      <c r="AM25" s="289">
        <f>AM29</f>
        <v>25</v>
      </c>
      <c r="AN25" s="249" t="s">
        <v>69</v>
      </c>
      <c r="AR25" s="249" t="s">
        <v>486</v>
      </c>
      <c r="AS25" s="289">
        <f>AS10</f>
        <v>25</v>
      </c>
      <c r="AT25" s="249" t="s">
        <v>69</v>
      </c>
      <c r="AU25" s="249" t="s">
        <v>486</v>
      </c>
      <c r="AV25" s="289">
        <f>AS10</f>
        <v>25</v>
      </c>
      <c r="AW25" s="249" t="s">
        <v>69</v>
      </c>
      <c r="BA25" s="249" t="s">
        <v>92</v>
      </c>
      <c r="BB25" s="289">
        <f>BB10</f>
        <v>25</v>
      </c>
      <c r="BC25" s="249" t="s">
        <v>69</v>
      </c>
      <c r="BD25" s="249" t="s">
        <v>92</v>
      </c>
      <c r="BE25" s="289">
        <f>BB10</f>
        <v>25</v>
      </c>
      <c r="BF25" s="249" t="s">
        <v>69</v>
      </c>
      <c r="BJ25" s="249" t="s">
        <v>487</v>
      </c>
      <c r="BK25" s="289">
        <f>BK12</f>
        <v>1</v>
      </c>
      <c r="BL25" s="249" t="s">
        <v>69</v>
      </c>
      <c r="BM25" s="249" t="s">
        <v>487</v>
      </c>
      <c r="BN25" s="289">
        <f>BK12</f>
        <v>1</v>
      </c>
      <c r="BO25" s="249" t="s">
        <v>69</v>
      </c>
      <c r="BS25" s="206" t="s">
        <v>371</v>
      </c>
      <c r="BT25" s="218">
        <f>B110</f>
        <v>75</v>
      </c>
      <c r="BU25" s="88" t="s">
        <v>26</v>
      </c>
      <c r="BV25" s="94" t="s">
        <v>364</v>
      </c>
      <c r="BW25" s="289">
        <f>B118</f>
        <v>1</v>
      </c>
      <c r="BX25" s="249" t="s">
        <v>98</v>
      </c>
      <c r="BY25" s="262" t="s">
        <v>59</v>
      </c>
      <c r="BZ25" s="292">
        <f>B109</f>
        <v>26</v>
      </c>
      <c r="CA25" s="267" t="s">
        <v>69</v>
      </c>
      <c r="CB25" s="266" t="s">
        <v>270</v>
      </c>
      <c r="CC25" s="287">
        <f>B31</f>
        <v>1.04753425E-2</v>
      </c>
      <c r="CD25" s="249" t="s">
        <v>69</v>
      </c>
      <c r="CE25" s="266" t="s">
        <v>270</v>
      </c>
      <c r="CF25" s="287">
        <f>B31</f>
        <v>1.04753425E-2</v>
      </c>
      <c r="CG25" s="249" t="s">
        <v>69</v>
      </c>
      <c r="CK25" s="249" t="s">
        <v>59</v>
      </c>
      <c r="CL25" s="289">
        <f>B109</f>
        <v>26</v>
      </c>
      <c r="CM25" s="266" t="s">
        <v>169</v>
      </c>
      <c r="CN25" s="249" t="s">
        <v>38</v>
      </c>
      <c r="CO25" s="287">
        <f>B45</f>
        <v>0</v>
      </c>
      <c r="CT25" s="266" t="s">
        <v>48</v>
      </c>
      <c r="CU25" s="196">
        <f>((CU34*CU30*CU28*CU35/24))+(CU33*CU31*CU29*(CU36/24))</f>
        <v>259000</v>
      </c>
      <c r="CV25" s="88" t="s">
        <v>268</v>
      </c>
      <c r="CW25" s="266" t="s">
        <v>388</v>
      </c>
      <c r="CX25" s="192">
        <f>B159</f>
        <v>350</v>
      </c>
      <c r="CY25" s="88" t="s">
        <v>26</v>
      </c>
      <c r="CZ25" s="266" t="s">
        <v>497</v>
      </c>
      <c r="DA25" s="190">
        <f>(DA34*DA36*DA41*DA43)+(DA35*DA37*DA42*DA44)</f>
        <v>9583</v>
      </c>
      <c r="DB25" s="88" t="s">
        <v>269</v>
      </c>
      <c r="DO25" s="262" t="s">
        <v>37</v>
      </c>
      <c r="DP25" s="287">
        <f>B44</f>
        <v>0</v>
      </c>
      <c r="EA25" s="262"/>
      <c r="EC25" s="263"/>
      <c r="ED25" s="262" t="s">
        <v>38</v>
      </c>
      <c r="EE25" s="287">
        <f>B45</f>
        <v>0</v>
      </c>
      <c r="EF25" s="263"/>
      <c r="EP25" s="262"/>
      <c r="ER25" s="263"/>
      <c r="ES25" s="263" t="s">
        <v>37</v>
      </c>
      <c r="ET25" s="287">
        <f>B45</f>
        <v>0</v>
      </c>
      <c r="EU25" s="263"/>
      <c r="EY25" s="263"/>
      <c r="EZ25" s="307"/>
      <c r="FD25" s="263"/>
      <c r="FE25" s="263"/>
      <c r="FF25" s="307"/>
      <c r="FG25" s="263"/>
      <c r="FH25" s="263" t="s">
        <v>37</v>
      </c>
      <c r="FI25" s="305">
        <f>B44</f>
        <v>0</v>
      </c>
      <c r="FJ25" s="263"/>
      <c r="FN25" s="263"/>
      <c r="FO25" s="307"/>
      <c r="FP25" s="263"/>
      <c r="FQ25" s="263"/>
      <c r="FR25" s="307"/>
      <c r="FS25" s="263"/>
      <c r="FT25" s="263"/>
      <c r="FU25" s="307"/>
      <c r="FV25" s="263"/>
      <c r="FW25" s="262"/>
      <c r="FX25" s="305"/>
      <c r="FY25" s="262"/>
      <c r="GC25" s="263"/>
      <c r="GD25" s="293"/>
      <c r="GE25" s="262"/>
      <c r="GI25" s="262"/>
      <c r="GJ25" s="293"/>
      <c r="GK25" s="262"/>
      <c r="GL25" s="262" t="s">
        <v>37</v>
      </c>
      <c r="GM25" s="305">
        <f>B44</f>
        <v>0</v>
      </c>
      <c r="GN25" s="263"/>
      <c r="GR25" s="263"/>
      <c r="GS25" s="293"/>
      <c r="GT25" s="262"/>
      <c r="GU25" s="262"/>
      <c r="GV25" s="293"/>
      <c r="GW25" s="262"/>
      <c r="HA25" s="262" t="s">
        <v>37</v>
      </c>
      <c r="HB25" s="305">
        <f>B44</f>
        <v>0</v>
      </c>
      <c r="HC25" s="263"/>
      <c r="HD25" s="265" t="s">
        <v>22</v>
      </c>
      <c r="HE25" s="305">
        <f>B47</f>
        <v>0</v>
      </c>
      <c r="HF25" s="262" t="s">
        <v>304</v>
      </c>
    </row>
    <row r="26" spans="1:214" ht="13.5" thickBot="1" x14ac:dyDescent="0.25">
      <c r="A26" s="262" t="s">
        <v>451</v>
      </c>
      <c r="B26" s="315">
        <v>1.00696514688E-9</v>
      </c>
      <c r="C26" s="262" t="s">
        <v>95</v>
      </c>
      <c r="D26" s="95" t="s">
        <v>299</v>
      </c>
      <c r="E26" s="289">
        <f>B293</f>
        <v>27.027027027027</v>
      </c>
      <c r="G26" s="262" t="s">
        <v>334</v>
      </c>
      <c r="H26" s="297">
        <f>B62</f>
        <v>41.7</v>
      </c>
      <c r="I26" s="267" t="s">
        <v>254</v>
      </c>
      <c r="J26" s="262" t="s">
        <v>332</v>
      </c>
      <c r="K26" s="297">
        <f>B60</f>
        <v>68.099999999999994</v>
      </c>
      <c r="L26" s="267" t="s">
        <v>254</v>
      </c>
      <c r="M26" s="262" t="s">
        <v>23</v>
      </c>
      <c r="N26" s="288">
        <f>0.693/N27</f>
        <v>66.155354824913829</v>
      </c>
      <c r="P26" s="262" t="s">
        <v>23</v>
      </c>
      <c r="Q26" s="288">
        <f>0.693/Q27</f>
        <v>66.155354824913829</v>
      </c>
      <c r="V26" s="320" t="s">
        <v>15</v>
      </c>
      <c r="W26" s="359">
        <f>1/((1/W38)+(1/W39))</f>
        <v>9.2499785776492902E-3</v>
      </c>
      <c r="X26" s="258" t="s">
        <v>302</v>
      </c>
      <c r="Y26" s="322" t="s">
        <v>15</v>
      </c>
      <c r="Z26" s="360">
        <f>1/((1/Z40)+(1/Z41))</f>
        <v>0.44471050854083127</v>
      </c>
      <c r="AA26" s="259" t="s">
        <v>302</v>
      </c>
      <c r="AB26" s="269" t="s">
        <v>92</v>
      </c>
      <c r="AC26" s="298">
        <f>AC11</f>
        <v>25</v>
      </c>
      <c r="AD26" s="298">
        <f>AD11</f>
        <v>25</v>
      </c>
      <c r="AE26" s="298">
        <f>AE11</f>
        <v>25</v>
      </c>
      <c r="AF26" s="298">
        <f>AF11</f>
        <v>1</v>
      </c>
      <c r="AG26" s="298">
        <f>AG11</f>
        <v>1</v>
      </c>
      <c r="AH26" s="269" t="s">
        <v>69</v>
      </c>
      <c r="AI26" s="262" t="s">
        <v>23</v>
      </c>
      <c r="AJ26" s="288">
        <f>0.693/AJ27</f>
        <v>66.155354824913829</v>
      </c>
      <c r="AL26" s="262" t="s">
        <v>23</v>
      </c>
      <c r="AM26" s="288">
        <f>0.693/AM27</f>
        <v>66.155354824913829</v>
      </c>
      <c r="AR26" s="262" t="s">
        <v>23</v>
      </c>
      <c r="AS26" s="288">
        <f>0.693/AS27</f>
        <v>66.155354824913829</v>
      </c>
      <c r="AU26" s="262" t="s">
        <v>23</v>
      </c>
      <c r="AV26" s="288">
        <f>0.693/AV27</f>
        <v>66.155354824913829</v>
      </c>
      <c r="BA26" s="262" t="s">
        <v>23</v>
      </c>
      <c r="BB26" s="288">
        <f>0.693/BB27</f>
        <v>66.155354824913829</v>
      </c>
      <c r="BD26" s="262" t="s">
        <v>23</v>
      </c>
      <c r="BE26" s="288">
        <f>0.693/BE27</f>
        <v>66.155354824913829</v>
      </c>
      <c r="BJ26" s="262" t="s">
        <v>23</v>
      </c>
      <c r="BK26" s="288">
        <f>0.693/BK27</f>
        <v>66.155354824913829</v>
      </c>
      <c r="BM26" s="262" t="s">
        <v>23</v>
      </c>
      <c r="BN26" s="288">
        <f>0.693/BN27</f>
        <v>66.155354824913829</v>
      </c>
      <c r="BS26" s="94" t="s">
        <v>370</v>
      </c>
      <c r="BT26" s="289">
        <f>B111</f>
        <v>75</v>
      </c>
      <c r="BU26" s="249" t="s">
        <v>26</v>
      </c>
      <c r="BV26" s="94" t="s">
        <v>365</v>
      </c>
      <c r="BW26" s="289">
        <f>B119</f>
        <v>1</v>
      </c>
      <c r="BX26" s="249" t="s">
        <v>98</v>
      </c>
      <c r="BY26" s="94" t="s">
        <v>372</v>
      </c>
      <c r="BZ26" s="297">
        <f>B108</f>
        <v>20</v>
      </c>
      <c r="CA26" s="263" t="s">
        <v>69</v>
      </c>
      <c r="CB26" s="249" t="s">
        <v>157</v>
      </c>
      <c r="CC26" s="289">
        <f>B112</f>
        <v>75</v>
      </c>
      <c r="CD26" s="249" t="s">
        <v>26</v>
      </c>
      <c r="CE26" s="249" t="s">
        <v>157</v>
      </c>
      <c r="CF26" s="289">
        <f>B112</f>
        <v>75</v>
      </c>
      <c r="CG26" s="249" t="s">
        <v>26</v>
      </c>
      <c r="CK26" s="249" t="s">
        <v>188</v>
      </c>
      <c r="CL26" s="306">
        <f>B106</f>
        <v>1</v>
      </c>
      <c r="CM26" s="249" t="s">
        <v>254</v>
      </c>
      <c r="CN26" s="249" t="s">
        <v>195</v>
      </c>
      <c r="CO26" s="306">
        <f>B49</f>
        <v>0.25</v>
      </c>
      <c r="CT26" s="266" t="s">
        <v>374</v>
      </c>
      <c r="CU26" s="194">
        <f>B133</f>
        <v>200</v>
      </c>
      <c r="CV26" s="188" t="s">
        <v>54</v>
      </c>
      <c r="CW26" s="95" t="s">
        <v>299</v>
      </c>
      <c r="CX26" s="346">
        <f>B293</f>
        <v>27.027027027027</v>
      </c>
      <c r="CY26" s="88"/>
      <c r="CZ26" s="271" t="s">
        <v>378</v>
      </c>
      <c r="DA26" s="304">
        <f>B137</f>
        <v>0.78</v>
      </c>
      <c r="DB26" s="266" t="s">
        <v>30</v>
      </c>
      <c r="DF26" s="249" t="s">
        <v>38</v>
      </c>
      <c r="DG26" s="287">
        <f>B45</f>
        <v>0</v>
      </c>
      <c r="DO26" s="249" t="s">
        <v>330</v>
      </c>
      <c r="DP26" s="289">
        <f>B48</f>
        <v>0.26</v>
      </c>
      <c r="EA26" s="262"/>
      <c r="EB26" s="307"/>
      <c r="EC26" s="263"/>
      <c r="ED26" s="249" t="s">
        <v>331</v>
      </c>
      <c r="EE26" s="307">
        <f>B49</f>
        <v>0.25</v>
      </c>
      <c r="EF26" s="263"/>
      <c r="EP26" s="262"/>
      <c r="EQ26" s="307"/>
      <c r="ER26" s="263"/>
      <c r="ES26" s="249" t="s">
        <v>331</v>
      </c>
      <c r="ET26" s="307">
        <f>B49</f>
        <v>0.25</v>
      </c>
      <c r="EU26" s="263"/>
      <c r="EY26" s="263"/>
      <c r="EZ26" s="307"/>
      <c r="FD26" s="263"/>
      <c r="FE26" s="263"/>
      <c r="FF26" s="307"/>
      <c r="FG26" s="263"/>
      <c r="FH26" s="263" t="s">
        <v>175</v>
      </c>
      <c r="FI26" s="293">
        <f>B49</f>
        <v>0.25</v>
      </c>
      <c r="FJ26" s="263"/>
      <c r="FN26" s="263"/>
      <c r="FO26" s="307"/>
      <c r="FP26" s="263"/>
      <c r="FQ26" s="263"/>
      <c r="FR26" s="307"/>
      <c r="FS26" s="263"/>
      <c r="FT26" s="263"/>
      <c r="FU26" s="307"/>
      <c r="FV26" s="263"/>
      <c r="FW26" s="262"/>
      <c r="FX26" s="293"/>
      <c r="FY26" s="262"/>
      <c r="GC26" s="263"/>
      <c r="GD26" s="293"/>
      <c r="GE26" s="262"/>
      <c r="GI26" s="262"/>
      <c r="GJ26" s="293"/>
      <c r="GK26" s="262"/>
      <c r="GL26" s="249" t="s">
        <v>331</v>
      </c>
      <c r="GM26" s="293">
        <f>B49</f>
        <v>0.25</v>
      </c>
      <c r="GN26" s="263"/>
      <c r="GR26" s="263"/>
      <c r="GS26" s="293"/>
      <c r="GT26" s="262"/>
      <c r="GU26" s="262"/>
      <c r="GV26" s="293"/>
      <c r="GW26" s="262"/>
      <c r="HA26" s="249" t="s">
        <v>331</v>
      </c>
      <c r="HB26" s="293">
        <f>B49</f>
        <v>0.25</v>
      </c>
      <c r="HC26" s="263"/>
      <c r="HD26" s="263" t="s">
        <v>9</v>
      </c>
      <c r="HE26" s="305">
        <f>H2</f>
        <v>1.4363354023612067E-2</v>
      </c>
      <c r="HF26" s="262" t="s">
        <v>304</v>
      </c>
    </row>
    <row r="27" spans="1:214" ht="15" thickTop="1" x14ac:dyDescent="0.2">
      <c r="A27" s="262" t="s">
        <v>452</v>
      </c>
      <c r="B27" s="315">
        <v>1.5412731840000001E-9</v>
      </c>
      <c r="C27" s="262" t="s">
        <v>95</v>
      </c>
      <c r="G27" s="262" t="s">
        <v>335</v>
      </c>
      <c r="H27" s="297">
        <f>B63</f>
        <v>128.9</v>
      </c>
      <c r="I27" s="267" t="s">
        <v>254</v>
      </c>
      <c r="J27" s="262" t="s">
        <v>333</v>
      </c>
      <c r="K27" s="297">
        <f>B61</f>
        <v>188.5</v>
      </c>
      <c r="L27" s="267" t="s">
        <v>254</v>
      </c>
      <c r="M27" s="266" t="s">
        <v>270</v>
      </c>
      <c r="N27" s="287">
        <f>B31</f>
        <v>1.04753425E-2</v>
      </c>
      <c r="O27" s="249" t="s">
        <v>69</v>
      </c>
      <c r="P27" s="266" t="s">
        <v>270</v>
      </c>
      <c r="Q27" s="287">
        <f>B31</f>
        <v>1.04753425E-2</v>
      </c>
      <c r="R27" s="249" t="s">
        <v>69</v>
      </c>
      <c r="V27" s="249" t="s">
        <v>17</v>
      </c>
      <c r="W27" s="287">
        <f>B18</f>
        <v>9.9999999999999995E-7</v>
      </c>
      <c r="Y27" s="249" t="s">
        <v>17</v>
      </c>
      <c r="Z27" s="287">
        <f>B18</f>
        <v>9.9999999999999995E-7</v>
      </c>
      <c r="AB27" s="269" t="s">
        <v>23</v>
      </c>
      <c r="AC27" s="288">
        <f>0.693/AC28</f>
        <v>66.155354824913829</v>
      </c>
      <c r="AD27" s="288">
        <f>0.693/AD28</f>
        <v>66.155354824913829</v>
      </c>
      <c r="AE27" s="288">
        <f>0.693/AE28</f>
        <v>66.155354824913829</v>
      </c>
      <c r="AF27" s="288">
        <f>0.693/AF28</f>
        <v>66.155354824913829</v>
      </c>
      <c r="AG27" s="288">
        <f>0.693/AG28</f>
        <v>66.155354824913829</v>
      </c>
      <c r="AI27" s="266" t="s">
        <v>270</v>
      </c>
      <c r="AJ27" s="287">
        <f>B31</f>
        <v>1.04753425E-2</v>
      </c>
      <c r="AK27" s="249" t="s">
        <v>69</v>
      </c>
      <c r="AL27" s="266" t="s">
        <v>270</v>
      </c>
      <c r="AM27" s="287">
        <f>B31</f>
        <v>1.04753425E-2</v>
      </c>
      <c r="AN27" s="249" t="s">
        <v>69</v>
      </c>
      <c r="AR27" s="266" t="s">
        <v>270</v>
      </c>
      <c r="AS27" s="287">
        <f>B31</f>
        <v>1.04753425E-2</v>
      </c>
      <c r="AT27" s="249" t="s">
        <v>69</v>
      </c>
      <c r="AU27" s="266" t="s">
        <v>270</v>
      </c>
      <c r="AV27" s="287">
        <f>B31</f>
        <v>1.04753425E-2</v>
      </c>
      <c r="AW27" s="249" t="s">
        <v>69</v>
      </c>
      <c r="BA27" s="266" t="s">
        <v>270</v>
      </c>
      <c r="BB27" s="287">
        <f>B31</f>
        <v>1.04753425E-2</v>
      </c>
      <c r="BC27" s="249" t="s">
        <v>69</v>
      </c>
      <c r="BD27" s="266" t="s">
        <v>270</v>
      </c>
      <c r="BE27" s="287">
        <f>B31</f>
        <v>1.04753425E-2</v>
      </c>
      <c r="BF27" s="249" t="s">
        <v>69</v>
      </c>
      <c r="BJ27" s="266" t="s">
        <v>270</v>
      </c>
      <c r="BK27" s="287">
        <f>B31</f>
        <v>1.04753425E-2</v>
      </c>
      <c r="BL27" s="249" t="s">
        <v>69</v>
      </c>
      <c r="BM27" s="266" t="s">
        <v>270</v>
      </c>
      <c r="BN27" s="287">
        <f>B31</f>
        <v>1.04753425E-2</v>
      </c>
      <c r="BO27" s="249" t="s">
        <v>69</v>
      </c>
      <c r="BS27" s="94" t="s">
        <v>157</v>
      </c>
      <c r="BT27" s="289">
        <f>B112</f>
        <v>75</v>
      </c>
      <c r="BU27" s="249" t="s">
        <v>26</v>
      </c>
      <c r="BW27" s="289">
        <f>1/1000</f>
        <v>1E-3</v>
      </c>
      <c r="BX27" s="249" t="s">
        <v>99</v>
      </c>
      <c r="BY27" s="94" t="s">
        <v>373</v>
      </c>
      <c r="BZ27" s="297">
        <f>B107</f>
        <v>6</v>
      </c>
      <c r="CA27" s="262" t="s">
        <v>69</v>
      </c>
      <c r="CB27" s="249" t="s">
        <v>59</v>
      </c>
      <c r="CC27" s="289">
        <f>B109</f>
        <v>26</v>
      </c>
      <c r="CD27" s="249" t="s">
        <v>69</v>
      </c>
      <c r="CE27" s="249" t="s">
        <v>59</v>
      </c>
      <c r="CF27" s="289">
        <f>B109</f>
        <v>26</v>
      </c>
      <c r="CG27" s="249" t="s">
        <v>69</v>
      </c>
      <c r="CK27" s="95" t="s">
        <v>299</v>
      </c>
      <c r="CL27" s="289">
        <f>B293</f>
        <v>27.027027027027</v>
      </c>
      <c r="CN27" s="249" t="s">
        <v>193</v>
      </c>
      <c r="CO27" s="306">
        <f>B125</f>
        <v>1</v>
      </c>
      <c r="CP27" s="249" t="s">
        <v>283</v>
      </c>
      <c r="CT27" s="266" t="s">
        <v>375</v>
      </c>
      <c r="CU27" s="194">
        <f>B134</f>
        <v>100</v>
      </c>
      <c r="CV27" s="188" t="s">
        <v>54</v>
      </c>
      <c r="CW27" s="266"/>
      <c r="CX27" s="304"/>
      <c r="CY27" s="266"/>
      <c r="CZ27" s="271" t="s">
        <v>379</v>
      </c>
      <c r="DA27" s="304">
        <f>B138</f>
        <v>2.5</v>
      </c>
      <c r="DB27" s="266" t="s">
        <v>30</v>
      </c>
      <c r="DW27" s="264"/>
      <c r="DX27" s="264"/>
      <c r="DY27" s="328"/>
      <c r="DZ27" s="264"/>
      <c r="EA27" s="262"/>
      <c r="EB27" s="287"/>
      <c r="ED27" s="262" t="s">
        <v>278</v>
      </c>
      <c r="EE27" s="287">
        <f>B37</f>
        <v>0</v>
      </c>
      <c r="EP27" s="262"/>
      <c r="EQ27" s="310"/>
      <c r="ES27" s="262" t="s">
        <v>275</v>
      </c>
      <c r="ET27" s="310">
        <f>B38</f>
        <v>0</v>
      </c>
      <c r="FH27" s="262" t="s">
        <v>201</v>
      </c>
      <c r="FI27" s="310">
        <f>B40</f>
        <v>0</v>
      </c>
      <c r="FW27" s="262"/>
      <c r="FX27" s="308"/>
      <c r="FY27" s="264"/>
      <c r="GD27" s="328"/>
      <c r="GE27" s="264"/>
      <c r="GI27" s="264"/>
      <c r="GJ27" s="328"/>
      <c r="GK27" s="264"/>
      <c r="GL27" s="262" t="s">
        <v>276</v>
      </c>
      <c r="GM27" s="310">
        <f>B39</f>
        <v>0</v>
      </c>
      <c r="GS27" s="328"/>
      <c r="GT27" s="264"/>
      <c r="GU27" s="264"/>
      <c r="GV27" s="328"/>
      <c r="GW27" s="264"/>
      <c r="HA27" s="262" t="s">
        <v>277</v>
      </c>
      <c r="HB27" s="310">
        <f>B41</f>
        <v>0</v>
      </c>
      <c r="HD27" s="262" t="s">
        <v>23</v>
      </c>
      <c r="HE27" s="288">
        <f>0.693/HE28</f>
        <v>66.155354824913829</v>
      </c>
    </row>
    <row r="28" spans="1:214" ht="15.75" thickBot="1" x14ac:dyDescent="0.25">
      <c r="A28" s="262" t="s">
        <v>63</v>
      </c>
      <c r="B28" s="315">
        <v>1.6230073680000001E-12</v>
      </c>
      <c r="C28" s="262" t="s">
        <v>95</v>
      </c>
      <c r="G28" s="262" t="s">
        <v>83</v>
      </c>
      <c r="H28" s="292">
        <f>B83</f>
        <v>0.5</v>
      </c>
      <c r="I28" s="249" t="s">
        <v>84</v>
      </c>
      <c r="J28" s="262" t="s">
        <v>444</v>
      </c>
      <c r="K28" s="291">
        <f>(K31*K36*K29)+(K32*K35*K30)</f>
        <v>989870</v>
      </c>
      <c r="L28" s="267" t="s">
        <v>149</v>
      </c>
      <c r="M28" s="262" t="s">
        <v>338</v>
      </c>
      <c r="N28" s="289">
        <f>B68</f>
        <v>350</v>
      </c>
      <c r="O28" s="249" t="s">
        <v>26</v>
      </c>
      <c r="P28" s="262" t="s">
        <v>338</v>
      </c>
      <c r="Q28" s="289">
        <f>B68</f>
        <v>350</v>
      </c>
      <c r="R28" s="249" t="s">
        <v>26</v>
      </c>
      <c r="V28" s="262" t="s">
        <v>23</v>
      </c>
      <c r="W28" s="288">
        <f>0.693/W29</f>
        <v>66.155354824913829</v>
      </c>
      <c r="Y28" s="262" t="s">
        <v>23</v>
      </c>
      <c r="Z28" s="288">
        <f>0.693/Z29</f>
        <v>66.155354824913829</v>
      </c>
      <c r="AB28" s="266" t="s">
        <v>270</v>
      </c>
      <c r="AC28" s="287">
        <f>B31</f>
        <v>1.04753425E-2</v>
      </c>
      <c r="AD28" s="287">
        <f>B31</f>
        <v>1.04753425E-2</v>
      </c>
      <c r="AE28" s="287">
        <f>B31</f>
        <v>1.04753425E-2</v>
      </c>
      <c r="AF28" s="287">
        <f>B31</f>
        <v>1.04753425E-2</v>
      </c>
      <c r="AG28" s="287">
        <f>B31</f>
        <v>1.04753425E-2</v>
      </c>
      <c r="AH28" s="249" t="s">
        <v>69</v>
      </c>
      <c r="AI28" s="262" t="s">
        <v>40</v>
      </c>
      <c r="AJ28" s="289">
        <f>B232</f>
        <v>250</v>
      </c>
      <c r="AK28" s="249" t="s">
        <v>26</v>
      </c>
      <c r="AL28" s="262" t="s">
        <v>40</v>
      </c>
      <c r="AM28" s="289">
        <f>B232</f>
        <v>250</v>
      </c>
      <c r="AN28" s="249" t="s">
        <v>26</v>
      </c>
      <c r="AR28" s="262" t="s">
        <v>431</v>
      </c>
      <c r="AS28" s="289">
        <f>B244</f>
        <v>225</v>
      </c>
      <c r="AT28" s="249" t="s">
        <v>26</v>
      </c>
      <c r="AU28" s="262" t="s">
        <v>431</v>
      </c>
      <c r="AV28" s="289">
        <f>B244</f>
        <v>225</v>
      </c>
      <c r="AW28" s="249" t="s">
        <v>26</v>
      </c>
      <c r="BA28" s="262" t="s">
        <v>425</v>
      </c>
      <c r="BB28" s="289">
        <f>B220</f>
        <v>250</v>
      </c>
      <c r="BC28" s="249" t="s">
        <v>26</v>
      </c>
      <c r="BD28" s="262" t="s">
        <v>425</v>
      </c>
      <c r="BE28" s="289">
        <f>B220</f>
        <v>250</v>
      </c>
      <c r="BF28" s="249" t="s">
        <v>26</v>
      </c>
      <c r="BJ28" s="262" t="s">
        <v>221</v>
      </c>
      <c r="BK28" s="289">
        <f>B256</f>
        <v>130</v>
      </c>
      <c r="BL28" s="249" t="s">
        <v>26</v>
      </c>
      <c r="BM28" s="262" t="s">
        <v>221</v>
      </c>
      <c r="BN28" s="289">
        <f>B256</f>
        <v>130</v>
      </c>
      <c r="BO28" s="249" t="s">
        <v>26</v>
      </c>
      <c r="BS28" s="266" t="s">
        <v>111</v>
      </c>
      <c r="BT28" s="304">
        <f>BT9</f>
        <v>26</v>
      </c>
      <c r="BU28" s="266" t="s">
        <v>69</v>
      </c>
      <c r="BW28" s="289">
        <v>1000</v>
      </c>
      <c r="BX28" s="249" t="s">
        <v>101</v>
      </c>
      <c r="BY28" s="94" t="s">
        <v>105</v>
      </c>
      <c r="BZ28" s="298">
        <f>B113</f>
        <v>1</v>
      </c>
      <c r="CA28" s="92" t="s">
        <v>224</v>
      </c>
      <c r="CB28" s="249" t="s">
        <v>462</v>
      </c>
      <c r="CC28" s="287">
        <f>B12</f>
        <v>2.2499999999999999E-2</v>
      </c>
      <c r="CE28" s="249" t="s">
        <v>458</v>
      </c>
      <c r="CF28" s="287">
        <f>B8</f>
        <v>4.2700000000000002E-2</v>
      </c>
      <c r="CK28" s="266" t="s">
        <v>270</v>
      </c>
      <c r="CL28" s="287">
        <f>B31</f>
        <v>1.04753425E-2</v>
      </c>
      <c r="CM28" s="249" t="s">
        <v>69</v>
      </c>
      <c r="CN28" s="249" t="s">
        <v>196</v>
      </c>
      <c r="CO28" s="306">
        <f>B126</f>
        <v>1</v>
      </c>
      <c r="CP28" s="249" t="s">
        <v>283</v>
      </c>
      <c r="CT28" s="262" t="s">
        <v>376</v>
      </c>
      <c r="CU28" s="292">
        <f>B135</f>
        <v>10</v>
      </c>
      <c r="CV28" s="267" t="s">
        <v>49</v>
      </c>
      <c r="CZ28" s="262" t="s">
        <v>376</v>
      </c>
      <c r="DA28" s="293">
        <f>B135</f>
        <v>10</v>
      </c>
      <c r="DB28" s="262" t="s">
        <v>164</v>
      </c>
      <c r="DW28" s="264"/>
      <c r="DX28" s="264"/>
      <c r="DY28" s="328"/>
      <c r="DZ28" s="264"/>
      <c r="FW28" s="262"/>
      <c r="FX28" s="305"/>
      <c r="FY28" s="264"/>
      <c r="GD28" s="328"/>
      <c r="GE28" s="264"/>
      <c r="GI28" s="264"/>
      <c r="GJ28" s="328"/>
      <c r="GK28" s="264"/>
      <c r="GL28" s="264"/>
      <c r="GM28" s="328"/>
      <c r="GS28" s="328"/>
      <c r="GT28" s="264"/>
      <c r="GU28" s="264"/>
      <c r="GV28" s="328"/>
      <c r="GW28" s="264"/>
      <c r="HA28" s="264"/>
      <c r="HB28" s="328"/>
      <c r="HD28" s="266" t="s">
        <v>270</v>
      </c>
      <c r="HE28" s="310">
        <f>B31</f>
        <v>1.04753425E-2</v>
      </c>
      <c r="HF28" s="249" t="s">
        <v>69</v>
      </c>
    </row>
    <row r="29" spans="1:214" ht="18.75" thickTop="1" x14ac:dyDescent="0.2">
      <c r="A29" s="266" t="s">
        <v>161</v>
      </c>
      <c r="B29" s="315">
        <v>3.5145699120000001E-15</v>
      </c>
      <c r="C29" s="263" t="s">
        <v>35</v>
      </c>
      <c r="D29" s="665" t="s">
        <v>508</v>
      </c>
      <c r="E29" s="607"/>
      <c r="F29" s="608"/>
      <c r="G29" s="262" t="s">
        <v>340</v>
      </c>
      <c r="H29" s="298">
        <f>B67</f>
        <v>350</v>
      </c>
      <c r="I29" s="262" t="s">
        <v>26</v>
      </c>
      <c r="J29" s="262" t="s">
        <v>334</v>
      </c>
      <c r="K29" s="297">
        <f>B62</f>
        <v>41.7</v>
      </c>
      <c r="L29" s="267" t="s">
        <v>254</v>
      </c>
      <c r="M29" s="262" t="s">
        <v>341</v>
      </c>
      <c r="N29" s="289">
        <f>B66</f>
        <v>26</v>
      </c>
      <c r="O29" s="249" t="s">
        <v>69</v>
      </c>
      <c r="P29" s="262" t="s">
        <v>341</v>
      </c>
      <c r="Q29" s="289">
        <f>B66</f>
        <v>26</v>
      </c>
      <c r="R29" s="249" t="s">
        <v>69</v>
      </c>
      <c r="V29" s="266" t="s">
        <v>270</v>
      </c>
      <c r="W29" s="287">
        <f>B31</f>
        <v>1.04753425E-2</v>
      </c>
      <c r="X29" s="249" t="s">
        <v>69</v>
      </c>
      <c r="Y29" s="266" t="s">
        <v>270</v>
      </c>
      <c r="Z29" s="287">
        <f>B31</f>
        <v>1.04753425E-2</v>
      </c>
      <c r="AA29" s="249" t="s">
        <v>69</v>
      </c>
      <c r="AC29" s="298">
        <v>365</v>
      </c>
      <c r="AD29" s="298">
        <v>365</v>
      </c>
      <c r="AE29" s="298">
        <v>365</v>
      </c>
      <c r="AF29" s="298">
        <v>365</v>
      </c>
      <c r="AG29" s="298">
        <v>365</v>
      </c>
      <c r="AH29" s="249" t="s">
        <v>26</v>
      </c>
      <c r="AI29" s="262" t="s">
        <v>429</v>
      </c>
      <c r="AJ29" s="289">
        <f>B233</f>
        <v>25</v>
      </c>
      <c r="AK29" s="249" t="s">
        <v>69</v>
      </c>
      <c r="AL29" s="262" t="s">
        <v>429</v>
      </c>
      <c r="AM29" s="289">
        <f>B233</f>
        <v>25</v>
      </c>
      <c r="AN29" s="249" t="s">
        <v>69</v>
      </c>
      <c r="AR29" s="262" t="s">
        <v>432</v>
      </c>
      <c r="AS29" s="289">
        <f>B245</f>
        <v>25</v>
      </c>
      <c r="AT29" s="249" t="s">
        <v>69</v>
      </c>
      <c r="AU29" s="262" t="s">
        <v>432</v>
      </c>
      <c r="AV29" s="289">
        <f>B245</f>
        <v>25</v>
      </c>
      <c r="AW29" s="249" t="s">
        <v>69</v>
      </c>
      <c r="BA29" s="262" t="s">
        <v>75</v>
      </c>
      <c r="BB29" s="289">
        <f>B221</f>
        <v>25</v>
      </c>
      <c r="BC29" s="249" t="s">
        <v>69</v>
      </c>
      <c r="BD29" s="262" t="s">
        <v>75</v>
      </c>
      <c r="BE29" s="289">
        <f>B221</f>
        <v>25</v>
      </c>
      <c r="BF29" s="249" t="s">
        <v>69</v>
      </c>
      <c r="BJ29" s="262" t="s">
        <v>219</v>
      </c>
      <c r="BK29" s="289">
        <f>B280</f>
        <v>26</v>
      </c>
      <c r="BL29" s="249" t="s">
        <v>130</v>
      </c>
      <c r="BM29" s="262" t="s">
        <v>219</v>
      </c>
      <c r="BN29" s="289">
        <f>B280</f>
        <v>26</v>
      </c>
      <c r="BO29" s="249" t="s">
        <v>130</v>
      </c>
      <c r="BS29" s="95" t="s">
        <v>299</v>
      </c>
      <c r="BT29" s="313">
        <f>B293</f>
        <v>27.027027027027</v>
      </c>
      <c r="BU29" s="272"/>
      <c r="BW29" s="289">
        <v>1000</v>
      </c>
      <c r="BX29" s="249" t="s">
        <v>250</v>
      </c>
      <c r="BY29" s="92" t="s">
        <v>368</v>
      </c>
      <c r="BZ29" s="298">
        <f>B114</f>
        <v>1</v>
      </c>
      <c r="CA29" s="92" t="s">
        <v>224</v>
      </c>
      <c r="CB29" s="249" t="s">
        <v>463</v>
      </c>
      <c r="CC29" s="287">
        <f>B13</f>
        <v>0.46300000000000002</v>
      </c>
      <c r="CE29" s="249" t="s">
        <v>459</v>
      </c>
      <c r="CF29" s="287">
        <f>B9</f>
        <v>0.72299999999999998</v>
      </c>
      <c r="CK29" s="249" t="s">
        <v>23</v>
      </c>
      <c r="CL29" s="288">
        <f>693/CL28</f>
        <v>66155.35482491384</v>
      </c>
      <c r="CN29" s="268" t="s">
        <v>197</v>
      </c>
      <c r="CO29" s="306">
        <f>B127</f>
        <v>1</v>
      </c>
      <c r="CP29" s="249" t="s">
        <v>47</v>
      </c>
      <c r="CQ29" s="264"/>
      <c r="CR29" s="293"/>
      <c r="CS29" s="262"/>
      <c r="CT29" s="262" t="s">
        <v>377</v>
      </c>
      <c r="CU29" s="292">
        <f>B136</f>
        <v>20</v>
      </c>
      <c r="CV29" s="267" t="s">
        <v>49</v>
      </c>
      <c r="CZ29" s="262" t="s">
        <v>377</v>
      </c>
      <c r="DA29" s="293">
        <f>B136</f>
        <v>20</v>
      </c>
      <c r="DB29" s="262" t="s">
        <v>164</v>
      </c>
      <c r="DW29" s="264"/>
      <c r="DX29" s="264"/>
      <c r="DY29" s="328"/>
      <c r="DZ29" s="264"/>
      <c r="HD29" s="263" t="s">
        <v>100</v>
      </c>
      <c r="HE29" s="292">
        <f>B283</f>
        <v>0.3</v>
      </c>
    </row>
    <row r="30" spans="1:214" x14ac:dyDescent="0.2">
      <c r="A30" s="262" t="s">
        <v>438</v>
      </c>
      <c r="B30" s="315">
        <v>0</v>
      </c>
      <c r="C30" s="267" t="s">
        <v>35</v>
      </c>
      <c r="D30" s="203" t="s">
        <v>510</v>
      </c>
      <c r="E30" s="204" t="e">
        <f>E37</f>
        <v>#DIV/0!</v>
      </c>
      <c r="F30" s="184" t="s">
        <v>303</v>
      </c>
      <c r="G30" s="262" t="s">
        <v>339</v>
      </c>
      <c r="H30" s="298">
        <f>B68</f>
        <v>350</v>
      </c>
      <c r="I30" s="262" t="s">
        <v>26</v>
      </c>
      <c r="J30" s="262" t="s">
        <v>335</v>
      </c>
      <c r="K30" s="297">
        <f>B63</f>
        <v>128.9</v>
      </c>
      <c r="L30" s="267" t="s">
        <v>254</v>
      </c>
      <c r="M30" s="249" t="s">
        <v>52</v>
      </c>
      <c r="N30" s="289">
        <v>0.4</v>
      </c>
      <c r="P30" s="249" t="s">
        <v>52</v>
      </c>
      <c r="Q30" s="289">
        <v>0.4</v>
      </c>
      <c r="V30" s="249" t="s">
        <v>40</v>
      </c>
      <c r="W30" s="289">
        <f>B232</f>
        <v>250</v>
      </c>
      <c r="X30" s="249" t="s">
        <v>165</v>
      </c>
      <c r="Y30" s="249" t="s">
        <v>221</v>
      </c>
      <c r="Z30" s="289">
        <f>B256</f>
        <v>130</v>
      </c>
      <c r="AA30" s="249" t="s">
        <v>165</v>
      </c>
      <c r="AB30" s="263" t="s">
        <v>16</v>
      </c>
      <c r="AC30" s="354">
        <f>(AC26*AC27)/(1-EXP(-AC27*AC26))</f>
        <v>1653.8838706228457</v>
      </c>
      <c r="AD30" s="354">
        <f>(AD26*AD27)/(1-EXP(-AD27*AD26))</f>
        <v>1653.8838706228457</v>
      </c>
      <c r="AE30" s="354">
        <f>(AE26*AE27)/(1-EXP(-AE27*AE26))</f>
        <v>1653.8838706228457</v>
      </c>
      <c r="AF30" s="354">
        <f>(AF26*AF27)/(1-EXP(-AF27*AF26))</f>
        <v>66.155354824913829</v>
      </c>
      <c r="AG30" s="354">
        <f>(AG26*AG27)/(1-EXP(-AG27*AG26))</f>
        <v>66.155354824913829</v>
      </c>
      <c r="AI30" s="249" t="s">
        <v>52</v>
      </c>
      <c r="AJ30" s="289">
        <f>B237</f>
        <v>0.4</v>
      </c>
      <c r="AL30" s="249" t="s">
        <v>52</v>
      </c>
      <c r="AM30" s="289">
        <f>B237</f>
        <v>0.4</v>
      </c>
      <c r="AR30" s="249" t="s">
        <v>52</v>
      </c>
      <c r="AS30" s="289">
        <f>B249</f>
        <v>0.4</v>
      </c>
      <c r="AU30" s="249" t="s">
        <v>52</v>
      </c>
      <c r="AV30" s="289">
        <f>B249</f>
        <v>0.4</v>
      </c>
      <c r="BA30" s="249" t="s">
        <v>52</v>
      </c>
      <c r="BB30" s="289">
        <f>B225</f>
        <v>0.4</v>
      </c>
      <c r="BD30" s="249" t="s">
        <v>52</v>
      </c>
      <c r="BE30" s="289">
        <f>B225</f>
        <v>0.4</v>
      </c>
      <c r="BJ30" s="262" t="s">
        <v>220</v>
      </c>
      <c r="BK30" s="289">
        <f>B279</f>
        <v>5</v>
      </c>
      <c r="BL30" s="249" t="s">
        <v>129</v>
      </c>
      <c r="BM30" s="262" t="s">
        <v>220</v>
      </c>
      <c r="BN30" s="289">
        <f>B279</f>
        <v>5</v>
      </c>
      <c r="BO30" s="249" t="s">
        <v>129</v>
      </c>
      <c r="BS30" s="266"/>
      <c r="BT30" s="137"/>
      <c r="BU30" s="273"/>
      <c r="BV30" s="262"/>
      <c r="BW30" s="297">
        <v>365</v>
      </c>
      <c r="BX30" s="263" t="s">
        <v>26</v>
      </c>
      <c r="BY30" s="92" t="s">
        <v>369</v>
      </c>
      <c r="BZ30" s="298">
        <f>B115</f>
        <v>1</v>
      </c>
      <c r="CA30" s="92" t="s">
        <v>224</v>
      </c>
      <c r="CB30" s="249" t="s">
        <v>105</v>
      </c>
      <c r="CC30" s="289">
        <f>B113</f>
        <v>1</v>
      </c>
      <c r="CD30" s="249" t="s">
        <v>224</v>
      </c>
      <c r="CE30" s="249" t="s">
        <v>105</v>
      </c>
      <c r="CF30" s="289">
        <f>B113</f>
        <v>1</v>
      </c>
      <c r="CG30" s="249" t="s">
        <v>224</v>
      </c>
      <c r="CK30" s="249" t="s">
        <v>16</v>
      </c>
      <c r="CL30" s="288">
        <f>(CL31*CL29)/(1-EXP(-CL29*CL31))</f>
        <v>1720039.22544776</v>
      </c>
      <c r="CN30" s="262" t="s">
        <v>198</v>
      </c>
      <c r="CO30" s="306">
        <f>B128</f>
        <v>1</v>
      </c>
      <c r="CP30" s="249" t="s">
        <v>47</v>
      </c>
      <c r="CQ30" s="262"/>
      <c r="CR30" s="293"/>
      <c r="CS30" s="262"/>
      <c r="CT30" s="262" t="s">
        <v>387</v>
      </c>
      <c r="CU30" s="298">
        <f>B158</f>
        <v>350</v>
      </c>
      <c r="CV30" s="262" t="s">
        <v>26</v>
      </c>
      <c r="CW30" s="267"/>
      <c r="CX30" s="292"/>
      <c r="CY30" s="267"/>
      <c r="CZ30" s="262" t="s">
        <v>380</v>
      </c>
      <c r="DA30" s="297">
        <f>B139</f>
        <v>68.099999999999994</v>
      </c>
      <c r="DB30" s="262" t="s">
        <v>254</v>
      </c>
      <c r="DW30" s="264"/>
      <c r="DX30" s="264"/>
      <c r="DY30" s="328"/>
      <c r="DZ30" s="264"/>
      <c r="HD30" s="263" t="s">
        <v>102</v>
      </c>
      <c r="HE30" s="292">
        <f>B282</f>
        <v>1.5</v>
      </c>
    </row>
    <row r="31" spans="1:214" ht="13.5" thickBot="1" x14ac:dyDescent="0.25">
      <c r="A31" s="266" t="s">
        <v>270</v>
      </c>
      <c r="B31" s="315">
        <v>1.04753425E-2</v>
      </c>
      <c r="C31" s="249" t="s">
        <v>274</v>
      </c>
      <c r="D31" s="183"/>
      <c r="E31" s="182"/>
      <c r="F31" s="181"/>
      <c r="G31" s="262" t="s">
        <v>341</v>
      </c>
      <c r="H31" s="298">
        <f>B66</f>
        <v>26</v>
      </c>
      <c r="I31" s="263" t="s">
        <v>69</v>
      </c>
      <c r="J31" s="262" t="s">
        <v>340</v>
      </c>
      <c r="K31" s="298">
        <f>B67</f>
        <v>350</v>
      </c>
      <c r="L31" s="262" t="s">
        <v>26</v>
      </c>
      <c r="M31" s="249" t="s">
        <v>56</v>
      </c>
      <c r="N31" s="289">
        <v>1</v>
      </c>
      <c r="P31" s="249" t="s">
        <v>56</v>
      </c>
      <c r="Q31" s="289">
        <v>1</v>
      </c>
      <c r="V31" s="249" t="s">
        <v>429</v>
      </c>
      <c r="W31" s="289">
        <f>B233</f>
        <v>25</v>
      </c>
      <c r="X31" s="249" t="s">
        <v>169</v>
      </c>
      <c r="Y31" s="249" t="s">
        <v>186</v>
      </c>
      <c r="Z31" s="289">
        <f>B257</f>
        <v>1</v>
      </c>
      <c r="AA31" s="249" t="s">
        <v>169</v>
      </c>
      <c r="AB31" s="88"/>
      <c r="AC31" s="192">
        <v>1000</v>
      </c>
      <c r="AD31" s="192">
        <v>1000</v>
      </c>
      <c r="AE31" s="192">
        <v>1000</v>
      </c>
      <c r="AF31" s="192">
        <v>1000</v>
      </c>
      <c r="AG31" s="192">
        <v>1000</v>
      </c>
      <c r="AH31" s="88" t="s">
        <v>115</v>
      </c>
      <c r="AI31" s="249" t="s">
        <v>56</v>
      </c>
      <c r="AJ31" s="289">
        <f>B236</f>
        <v>1</v>
      </c>
      <c r="AL31" s="249" t="s">
        <v>56</v>
      </c>
      <c r="AM31" s="289">
        <f>B236</f>
        <v>1</v>
      </c>
      <c r="AR31" s="249" t="s">
        <v>56</v>
      </c>
      <c r="AS31" s="289">
        <f>B248</f>
        <v>1</v>
      </c>
      <c r="AU31" s="249" t="s">
        <v>56</v>
      </c>
      <c r="AV31" s="289">
        <f>B248</f>
        <v>1</v>
      </c>
      <c r="BA31" s="249" t="s">
        <v>56</v>
      </c>
      <c r="BB31" s="289">
        <f>B224</f>
        <v>1</v>
      </c>
      <c r="BD31" s="249" t="s">
        <v>56</v>
      </c>
      <c r="BE31" s="289">
        <f>B224</f>
        <v>1</v>
      </c>
      <c r="BJ31" s="262" t="s">
        <v>186</v>
      </c>
      <c r="BK31" s="289">
        <f>B271</f>
        <v>1</v>
      </c>
      <c r="BL31" s="249" t="s">
        <v>169</v>
      </c>
      <c r="BM31" s="262" t="s">
        <v>186</v>
      </c>
      <c r="BN31" s="289">
        <f>B271</f>
        <v>1</v>
      </c>
      <c r="BO31" s="249" t="s">
        <v>169</v>
      </c>
      <c r="BW31" s="297">
        <v>8760</v>
      </c>
      <c r="BX31" s="263" t="s">
        <v>162</v>
      </c>
      <c r="BY31" s="262" t="s">
        <v>159</v>
      </c>
      <c r="BZ31" s="305">
        <f>B3</f>
        <v>6.8000000000000005E-2</v>
      </c>
      <c r="CB31" s="249" t="s">
        <v>71</v>
      </c>
      <c r="CC31" s="290">
        <f>B24</f>
        <v>3.5028935999999998E-10</v>
      </c>
      <c r="CD31" s="262" t="s">
        <v>282</v>
      </c>
      <c r="CE31" s="249" t="s">
        <v>71</v>
      </c>
      <c r="CF31" s="290">
        <f>B26</f>
        <v>1.00696514688E-9</v>
      </c>
      <c r="CG31" s="263" t="s">
        <v>72</v>
      </c>
      <c r="CK31" s="249" t="s">
        <v>111</v>
      </c>
      <c r="CL31" s="289">
        <f>B109</f>
        <v>26</v>
      </c>
      <c r="CM31" s="249" t="s">
        <v>69</v>
      </c>
      <c r="CT31" s="262" t="s">
        <v>388</v>
      </c>
      <c r="CU31" s="298">
        <f>B159</f>
        <v>350</v>
      </c>
      <c r="CV31" s="262" t="s">
        <v>26</v>
      </c>
      <c r="CZ31" s="262" t="s">
        <v>381</v>
      </c>
      <c r="DA31" s="297">
        <f>B140</f>
        <v>176.8</v>
      </c>
      <c r="DB31" s="262" t="s">
        <v>254</v>
      </c>
      <c r="DW31" s="264"/>
      <c r="DX31" s="264"/>
      <c r="DY31" s="328"/>
      <c r="DZ31" s="264"/>
      <c r="HD31" s="263" t="s">
        <v>32</v>
      </c>
      <c r="HE31" s="292">
        <f>B284</f>
        <v>26</v>
      </c>
    </row>
    <row r="32" spans="1:214" ht="13.5" thickTop="1" x14ac:dyDescent="0.2">
      <c r="A32" s="266" t="s">
        <v>96</v>
      </c>
      <c r="B32" s="315">
        <f>PEF!D3</f>
        <v>1359344473.5814338</v>
      </c>
      <c r="D32" s="262" t="s">
        <v>17</v>
      </c>
      <c r="E32" s="287">
        <f>B18</f>
        <v>9.9999999999999995E-7</v>
      </c>
      <c r="G32" s="262" t="s">
        <v>343</v>
      </c>
      <c r="H32" s="297">
        <f>B64</f>
        <v>6</v>
      </c>
      <c r="I32" s="263" t="s">
        <v>69</v>
      </c>
      <c r="J32" s="262" t="s">
        <v>339</v>
      </c>
      <c r="K32" s="298">
        <f>B68</f>
        <v>350</v>
      </c>
      <c r="L32" s="262" t="s">
        <v>26</v>
      </c>
      <c r="M32" s="249" t="s">
        <v>463</v>
      </c>
      <c r="N32" s="289">
        <v>1</v>
      </c>
      <c r="P32" s="249" t="s">
        <v>459</v>
      </c>
      <c r="Q32" s="289">
        <v>1</v>
      </c>
      <c r="V32" s="249" t="s">
        <v>43</v>
      </c>
      <c r="W32" s="290">
        <f>B19</f>
        <v>3.1999999999999999E-11</v>
      </c>
      <c r="X32" s="263" t="s">
        <v>44</v>
      </c>
      <c r="Y32" s="249" t="s">
        <v>43</v>
      </c>
      <c r="Z32" s="290">
        <f>B19</f>
        <v>3.1999999999999999E-11</v>
      </c>
      <c r="AA32" s="263" t="s">
        <v>44</v>
      </c>
      <c r="AB32" s="266" t="s">
        <v>80</v>
      </c>
      <c r="AC32" s="294" t="e">
        <f>((AC5/(AC9*AC14*AC8*AC11*(1/AC6)))*AC30)/AC38</f>
        <v>#DIV/0!</v>
      </c>
      <c r="AD32" s="294" t="e">
        <f>((AD5/(AD9*AD14*AD8*AD11*(1/AD6)))*AD30)/AD38</f>
        <v>#DIV/0!</v>
      </c>
      <c r="AE32" s="294" t="e">
        <f>((AE5/(AE9*AE14*AE8*AE11*(1/AE6)))*AE30)/AE38</f>
        <v>#DIV/0!</v>
      </c>
      <c r="AF32" s="294" t="e">
        <f>((AF5/(AF9*AF14*AF8*AF11*(1/AF6)))*AF30)/AF38</f>
        <v>#DIV/0!</v>
      </c>
      <c r="AG32" s="294" t="e">
        <f>((AG5/(AG9*AG14*AG8*AG11*(1/AG6)))*AG30)/AG38</f>
        <v>#DIV/0!</v>
      </c>
      <c r="AH32" s="266" t="s">
        <v>303</v>
      </c>
      <c r="AI32" s="249" t="s">
        <v>62</v>
      </c>
      <c r="AJ32" s="289">
        <f>B238</f>
        <v>1</v>
      </c>
      <c r="AL32" s="249" t="s">
        <v>62</v>
      </c>
      <c r="AM32" s="289">
        <f>B238</f>
        <v>1</v>
      </c>
      <c r="AR32" s="249" t="s">
        <v>62</v>
      </c>
      <c r="AS32" s="289">
        <f>B250</f>
        <v>1</v>
      </c>
      <c r="AU32" s="249" t="s">
        <v>62</v>
      </c>
      <c r="AV32" s="289">
        <f>B250</f>
        <v>1</v>
      </c>
      <c r="BA32" s="249" t="s">
        <v>62</v>
      </c>
      <c r="BB32" s="289">
        <f>B226</f>
        <v>1</v>
      </c>
      <c r="BD32" s="249" t="s">
        <v>62</v>
      </c>
      <c r="BE32" s="289">
        <f>B226</f>
        <v>1</v>
      </c>
      <c r="BJ32" s="249" t="s">
        <v>462</v>
      </c>
      <c r="BK32" s="287">
        <f>B12</f>
        <v>2.2499999999999999E-2</v>
      </c>
      <c r="BM32" s="249" t="s">
        <v>458</v>
      </c>
      <c r="BN32" s="287">
        <f>B8</f>
        <v>4.2700000000000002E-2</v>
      </c>
      <c r="BV32" s="95" t="s">
        <v>299</v>
      </c>
      <c r="BW32" s="289">
        <f>B293</f>
        <v>27.027027027027</v>
      </c>
      <c r="BY32" s="262" t="s">
        <v>62</v>
      </c>
      <c r="BZ32" s="305">
        <f>B4</f>
        <v>0.75600000000000001</v>
      </c>
      <c r="CB32" s="95" t="s">
        <v>299</v>
      </c>
      <c r="CC32" s="289">
        <f>B293</f>
        <v>27.027027027027</v>
      </c>
      <c r="CE32" s="95" t="s">
        <v>299</v>
      </c>
      <c r="CF32" s="289">
        <f>B293</f>
        <v>27.027027027027</v>
      </c>
      <c r="CT32" s="262" t="s">
        <v>386</v>
      </c>
      <c r="CU32" s="292">
        <f>B157</f>
        <v>40</v>
      </c>
      <c r="CV32" s="267" t="s">
        <v>69</v>
      </c>
      <c r="CZ32" s="262" t="s">
        <v>382</v>
      </c>
      <c r="DA32" s="297">
        <f>B141</f>
        <v>41.7</v>
      </c>
      <c r="DB32" s="262" t="s">
        <v>254</v>
      </c>
      <c r="DW32" s="264"/>
      <c r="DX32" s="262"/>
      <c r="DY32" s="116"/>
      <c r="DZ32" s="267"/>
      <c r="HD32" s="263" t="s">
        <v>39</v>
      </c>
      <c r="HE32" s="292">
        <f>B285</f>
        <v>70</v>
      </c>
      <c r="HF32" s="249" t="s">
        <v>69</v>
      </c>
    </row>
    <row r="33" spans="1:214" x14ac:dyDescent="0.2">
      <c r="A33" s="266" t="s">
        <v>120</v>
      </c>
      <c r="B33" s="315">
        <f>PEF!G3</f>
        <v>773681.6396651821</v>
      </c>
      <c r="D33" s="262" t="s">
        <v>338</v>
      </c>
      <c r="E33" s="298">
        <f>B69</f>
        <v>350</v>
      </c>
      <c r="F33" s="262" t="s">
        <v>26</v>
      </c>
      <c r="G33" s="262" t="s">
        <v>342</v>
      </c>
      <c r="H33" s="297">
        <f>B65</f>
        <v>20</v>
      </c>
      <c r="I33" s="263" t="s">
        <v>69</v>
      </c>
      <c r="J33" s="262" t="s">
        <v>338</v>
      </c>
      <c r="K33" s="297">
        <f>B69</f>
        <v>350</v>
      </c>
      <c r="L33" s="262" t="s">
        <v>26</v>
      </c>
      <c r="M33" s="262" t="s">
        <v>351</v>
      </c>
      <c r="N33" s="289">
        <f>B96</f>
        <v>1.752</v>
      </c>
      <c r="O33" s="249" t="s">
        <v>224</v>
      </c>
      <c r="P33" s="262" t="s">
        <v>351</v>
      </c>
      <c r="Q33" s="289">
        <f>B96</f>
        <v>1.752</v>
      </c>
      <c r="R33" s="249" t="s">
        <v>224</v>
      </c>
      <c r="V33" s="249" t="s">
        <v>475</v>
      </c>
      <c r="W33" s="298">
        <f>B240</f>
        <v>8</v>
      </c>
      <c r="X33" s="263" t="s">
        <v>224</v>
      </c>
      <c r="Y33" s="249" t="s">
        <v>222</v>
      </c>
      <c r="Z33" s="298">
        <f>B263</f>
        <v>8</v>
      </c>
      <c r="AA33" s="263" t="s">
        <v>224</v>
      </c>
      <c r="AB33" s="266" t="s">
        <v>74</v>
      </c>
      <c r="AC33" s="295">
        <f>((AC5/(AC21*AC17*AC8*AC11*(1/AC35)*((8/1)/(24/1))*AC31))*AC30)/AC38</f>
        <v>20795830.570158906</v>
      </c>
      <c r="AD33" s="295">
        <f>((AD5/(AD21*AD17*AD8*((8/1)/(24/1))*AD11*(1/AD35)*AD31))*AD30)/AD38</f>
        <v>20795830.570158906</v>
      </c>
      <c r="AE33" s="295">
        <f>((AE5/(AE21*AE17*AE8*((8/1)/(24/1))*AE11*(1/AE35)*AE31))*AE30)/AE38</f>
        <v>23106478.411287673</v>
      </c>
      <c r="AF33" s="295">
        <f>((AF5/(AF21*AF17*AF8*AF11*(1/AF36)*(AF23/24)*AF31))*AF30)/AF38</f>
        <v>22761.752230314156</v>
      </c>
      <c r="AG33" s="295">
        <f>((AG5/(AG21*AG17*AG8*AG11*(1/AG37)*(AG23/24)*AG31))*AG30)/AG38</f>
        <v>1060765.2185668005</v>
      </c>
      <c r="AH33" s="88" t="s">
        <v>303</v>
      </c>
      <c r="AI33" s="262" t="s">
        <v>469</v>
      </c>
      <c r="AJ33" s="289">
        <f>B239</f>
        <v>0</v>
      </c>
      <c r="AK33" s="249" t="s">
        <v>224</v>
      </c>
      <c r="AL33" s="262" t="s">
        <v>469</v>
      </c>
      <c r="AM33" s="289">
        <f>B239</f>
        <v>0</v>
      </c>
      <c r="AN33" s="249" t="s">
        <v>224</v>
      </c>
      <c r="AR33" s="262" t="s">
        <v>466</v>
      </c>
      <c r="AS33" s="289">
        <f>B251</f>
        <v>8</v>
      </c>
      <c r="AT33" s="249" t="s">
        <v>224</v>
      </c>
      <c r="AU33" s="262" t="s">
        <v>466</v>
      </c>
      <c r="AV33" s="289">
        <f>B251</f>
        <v>8</v>
      </c>
      <c r="AW33" s="249" t="s">
        <v>224</v>
      </c>
      <c r="BA33" s="262" t="s">
        <v>467</v>
      </c>
      <c r="BB33" s="289">
        <f>B227</f>
        <v>4</v>
      </c>
      <c r="BC33" s="249" t="s">
        <v>224</v>
      </c>
      <c r="BD33" s="262" t="s">
        <v>467</v>
      </c>
      <c r="BE33" s="289">
        <f>B227</f>
        <v>4</v>
      </c>
      <c r="BF33" s="249" t="s">
        <v>224</v>
      </c>
      <c r="BJ33" s="249" t="s">
        <v>463</v>
      </c>
      <c r="BK33" s="287">
        <f>B13</f>
        <v>0.46300000000000002</v>
      </c>
      <c r="BM33" s="249" t="s">
        <v>459</v>
      </c>
      <c r="BN33" s="287">
        <f>B9</f>
        <v>0.72299999999999998</v>
      </c>
      <c r="BY33" s="269" t="s">
        <v>111</v>
      </c>
      <c r="BZ33" s="298">
        <f>BZ25</f>
        <v>26</v>
      </c>
      <c r="CA33" s="249" t="s">
        <v>69</v>
      </c>
      <c r="CT33" s="262" t="s">
        <v>385</v>
      </c>
      <c r="CU33" s="297">
        <f>B156</f>
        <v>34</v>
      </c>
      <c r="CV33" s="263" t="s">
        <v>69</v>
      </c>
      <c r="CZ33" s="262" t="s">
        <v>383</v>
      </c>
      <c r="DA33" s="297">
        <f>B142</f>
        <v>125.7</v>
      </c>
      <c r="DB33" s="262" t="s">
        <v>254</v>
      </c>
      <c r="DS33" s="298"/>
      <c r="DW33" s="264"/>
      <c r="DX33" s="262"/>
      <c r="DY33" s="116"/>
      <c r="DZ33" s="267"/>
      <c r="HD33" s="263" t="s">
        <v>261</v>
      </c>
      <c r="HE33" s="299">
        <f>1+((HE35*HE36*HE37)/(HE38*HE39))</f>
        <v>2.5031102279517308</v>
      </c>
    </row>
    <row r="34" spans="1:214" ht="12.75" customHeight="1" x14ac:dyDescent="0.2">
      <c r="A34" s="266" t="s">
        <v>121</v>
      </c>
      <c r="B34" s="315">
        <f>PEF!J3</f>
        <v>36055860.959050171</v>
      </c>
      <c r="D34" s="262" t="s">
        <v>256</v>
      </c>
      <c r="E34" s="287">
        <f>B30</f>
        <v>0</v>
      </c>
      <c r="F34" s="262" t="s">
        <v>289</v>
      </c>
      <c r="G34" s="249" t="s">
        <v>344</v>
      </c>
      <c r="H34" s="297">
        <f>B70</f>
        <v>0.54</v>
      </c>
      <c r="I34" s="249" t="s">
        <v>104</v>
      </c>
      <c r="J34" s="262" t="s">
        <v>341</v>
      </c>
      <c r="K34" s="292">
        <f>B66</f>
        <v>26</v>
      </c>
      <c r="L34" s="267" t="s">
        <v>69</v>
      </c>
      <c r="M34" s="249" t="s">
        <v>450</v>
      </c>
      <c r="N34" s="290">
        <f>B24</f>
        <v>3.5028935999999998E-10</v>
      </c>
      <c r="O34" s="263" t="s">
        <v>447</v>
      </c>
      <c r="P34" s="249" t="s">
        <v>451</v>
      </c>
      <c r="Q34" s="290">
        <f>B26</f>
        <v>1.00696514688E-9</v>
      </c>
      <c r="R34" s="263" t="s">
        <v>446</v>
      </c>
      <c r="W34" s="298">
        <v>24</v>
      </c>
      <c r="X34" s="263" t="s">
        <v>224</v>
      </c>
      <c r="Z34" s="298">
        <v>24</v>
      </c>
      <c r="AA34" s="263" t="s">
        <v>224</v>
      </c>
      <c r="AB34" s="266" t="s">
        <v>117</v>
      </c>
      <c r="AC34" s="296">
        <f>((AC5/(AC20*(AC8/365)*AC11*((AC23+AC24)/24)*AC16*AC19))*AC30)/AC38</f>
        <v>6332.3825624850397</v>
      </c>
      <c r="AD34" s="296">
        <f>((AD5/(AD20*(AD8/365)*AD11*(AD24/24)*AD18*AD19))*AD30)/AD38</f>
        <v>15830.956406212599</v>
      </c>
      <c r="AE34" s="296">
        <f>((AE5/(AE20*(AE8/365)*AE11*(AE23/24)*AE16*AE19))*AE30)/AE38</f>
        <v>7035.9806249833764</v>
      </c>
      <c r="AF34" s="296">
        <f>((AF5/(AF20*(AF8/365)*AF11*(AF23/24)*AF16*AF19))*AF30)/AF38</f>
        <v>236882.56251964072</v>
      </c>
      <c r="AG34" s="296">
        <f>((AG5/(AG20*(AG8/365)*AG11*(AG23/24)*AG16*AG19))*AG30)/AG38</f>
        <v>236882.56251964072</v>
      </c>
      <c r="AH34" s="266" t="s">
        <v>303</v>
      </c>
      <c r="AI34" s="262" t="s">
        <v>450</v>
      </c>
      <c r="AJ34" s="290">
        <f>B24</f>
        <v>3.5028935999999998E-10</v>
      </c>
      <c r="AK34" s="262" t="s">
        <v>282</v>
      </c>
      <c r="AL34" s="262" t="s">
        <v>451</v>
      </c>
      <c r="AM34" s="290">
        <f>B26</f>
        <v>1.00696514688E-9</v>
      </c>
      <c r="AN34" s="263" t="s">
        <v>72</v>
      </c>
      <c r="AR34" s="262" t="s">
        <v>450</v>
      </c>
      <c r="AS34" s="290">
        <f>B24</f>
        <v>3.5028935999999998E-10</v>
      </c>
      <c r="AT34" s="262" t="s">
        <v>282</v>
      </c>
      <c r="AU34" s="262" t="s">
        <v>451</v>
      </c>
      <c r="AV34" s="290">
        <f>B26</f>
        <v>1.00696514688E-9</v>
      </c>
      <c r="AW34" s="263" t="s">
        <v>72</v>
      </c>
      <c r="BA34" s="262" t="s">
        <v>450</v>
      </c>
      <c r="BB34" s="290">
        <f>B24</f>
        <v>3.5028935999999998E-10</v>
      </c>
      <c r="BC34" s="262" t="s">
        <v>282</v>
      </c>
      <c r="BD34" s="262" t="s">
        <v>451</v>
      </c>
      <c r="BE34" s="290">
        <f>B26</f>
        <v>1.00696514688E-9</v>
      </c>
      <c r="BF34" s="263" t="s">
        <v>72</v>
      </c>
      <c r="BJ34" s="262" t="s">
        <v>471</v>
      </c>
      <c r="BK34" s="289">
        <f>B276</f>
        <v>8</v>
      </c>
      <c r="BL34" s="249" t="s">
        <v>224</v>
      </c>
      <c r="BM34" s="262" t="s">
        <v>471</v>
      </c>
      <c r="BN34" s="289">
        <f>B276</f>
        <v>8</v>
      </c>
      <c r="BO34" s="249" t="s">
        <v>224</v>
      </c>
      <c r="BZ34" s="298">
        <v>365</v>
      </c>
      <c r="CA34" s="249" t="s">
        <v>26</v>
      </c>
      <c r="CT34" s="262" t="s">
        <v>384</v>
      </c>
      <c r="CU34" s="297">
        <f>B155</f>
        <v>6</v>
      </c>
      <c r="CV34" s="262" t="s">
        <v>69</v>
      </c>
      <c r="CZ34" s="262" t="s">
        <v>387</v>
      </c>
      <c r="DA34" s="293">
        <f>B158</f>
        <v>350</v>
      </c>
      <c r="DB34" s="262" t="s">
        <v>165</v>
      </c>
      <c r="DR34" s="262"/>
      <c r="DS34" s="287"/>
      <c r="DT34" s="263"/>
      <c r="DW34" s="264"/>
      <c r="DX34" s="262"/>
      <c r="DY34" s="116"/>
      <c r="DZ34" s="267"/>
      <c r="HD34" s="263" t="s">
        <v>106</v>
      </c>
      <c r="HE34" s="292">
        <f>B46</f>
        <v>0</v>
      </c>
      <c r="HF34" s="249" t="s">
        <v>19</v>
      </c>
    </row>
    <row r="35" spans="1:214" ht="12.75" customHeight="1" x14ac:dyDescent="0.2">
      <c r="A35" s="266" t="s">
        <v>270</v>
      </c>
      <c r="B35" s="315">
        <v>3.82</v>
      </c>
      <c r="C35" s="249" t="s">
        <v>257</v>
      </c>
      <c r="D35" s="262" t="s">
        <v>341</v>
      </c>
      <c r="E35" s="297">
        <f>B66</f>
        <v>26</v>
      </c>
      <c r="F35" s="249" t="s">
        <v>69</v>
      </c>
      <c r="G35" s="249" t="s">
        <v>345</v>
      </c>
      <c r="H35" s="297">
        <f>B71</f>
        <v>0.71</v>
      </c>
      <c r="I35" s="249" t="s">
        <v>104</v>
      </c>
      <c r="J35" s="262" t="s">
        <v>342</v>
      </c>
      <c r="K35" s="297">
        <f>B65</f>
        <v>20</v>
      </c>
      <c r="L35" s="263" t="s">
        <v>69</v>
      </c>
      <c r="M35" s="262" t="s">
        <v>352</v>
      </c>
      <c r="N35" s="289">
        <f>B97</f>
        <v>16.416</v>
      </c>
      <c r="O35" s="249" t="s">
        <v>224</v>
      </c>
      <c r="P35" s="262" t="s">
        <v>352</v>
      </c>
      <c r="Q35" s="289">
        <f>B97</f>
        <v>16.416</v>
      </c>
      <c r="R35" s="249" t="s">
        <v>224</v>
      </c>
      <c r="V35" s="249" t="s">
        <v>428</v>
      </c>
      <c r="W35" s="297">
        <f>B231</f>
        <v>60</v>
      </c>
      <c r="X35" s="263" t="s">
        <v>49</v>
      </c>
      <c r="Y35" s="249" t="s">
        <v>435</v>
      </c>
      <c r="Z35" s="297">
        <f>B255</f>
        <v>60</v>
      </c>
      <c r="AA35" s="263" t="s">
        <v>49</v>
      </c>
      <c r="AB35" s="262" t="s">
        <v>96</v>
      </c>
      <c r="AC35" s="287">
        <f>B32</f>
        <v>1359344473.5814338</v>
      </c>
      <c r="AD35" s="287">
        <f>B32</f>
        <v>1359344473.5814338</v>
      </c>
      <c r="AE35" s="287">
        <f>B32</f>
        <v>1359344473.5814338</v>
      </c>
      <c r="AF35" s="287"/>
      <c r="AG35" s="287"/>
      <c r="AH35" s="262"/>
      <c r="AI35" s="262" t="s">
        <v>470</v>
      </c>
      <c r="AJ35" s="289">
        <f>B240</f>
        <v>8</v>
      </c>
      <c r="AK35" s="249" t="s">
        <v>224</v>
      </c>
      <c r="AL35" s="262" t="s">
        <v>470</v>
      </c>
      <c r="AM35" s="289">
        <f>B240</f>
        <v>8</v>
      </c>
      <c r="AN35" s="249" t="s">
        <v>224</v>
      </c>
      <c r="AR35" s="262" t="s">
        <v>465</v>
      </c>
      <c r="AS35" s="289">
        <f>B252</f>
        <v>0</v>
      </c>
      <c r="AT35" s="249" t="s">
        <v>224</v>
      </c>
      <c r="AU35" s="262" t="s">
        <v>465</v>
      </c>
      <c r="AV35" s="289">
        <f>B252</f>
        <v>0</v>
      </c>
      <c r="AW35" s="249" t="s">
        <v>224</v>
      </c>
      <c r="BA35" s="262" t="s">
        <v>468</v>
      </c>
      <c r="BB35" s="289">
        <f>B228</f>
        <v>4</v>
      </c>
      <c r="BC35" s="249" t="s">
        <v>224</v>
      </c>
      <c r="BD35" s="262" t="s">
        <v>468</v>
      </c>
      <c r="BE35" s="289">
        <f>B228</f>
        <v>4</v>
      </c>
      <c r="BF35" s="249" t="s">
        <v>224</v>
      </c>
      <c r="BJ35" s="262" t="s">
        <v>450</v>
      </c>
      <c r="BK35" s="290">
        <f>B24</f>
        <v>3.5028935999999998E-10</v>
      </c>
      <c r="BL35" s="262" t="s">
        <v>282</v>
      </c>
      <c r="BM35" s="262" t="s">
        <v>451</v>
      </c>
      <c r="BN35" s="290">
        <f>B26</f>
        <v>1.00696514688E-9</v>
      </c>
      <c r="BO35" s="263" t="s">
        <v>72</v>
      </c>
      <c r="BZ35" s="289">
        <v>1000</v>
      </c>
      <c r="CA35" s="249" t="s">
        <v>115</v>
      </c>
      <c r="CC35" s="592" t="s">
        <v>263</v>
      </c>
      <c r="CD35" s="592"/>
      <c r="CE35" s="592"/>
      <c r="CF35" s="592"/>
      <c r="CG35" s="592"/>
      <c r="CT35" s="262" t="s">
        <v>389</v>
      </c>
      <c r="CU35" s="298">
        <f>B160</f>
        <v>24</v>
      </c>
      <c r="CV35" s="249" t="s">
        <v>224</v>
      </c>
      <c r="CZ35" s="262" t="s">
        <v>388</v>
      </c>
      <c r="DA35" s="293">
        <f>B159</f>
        <v>350</v>
      </c>
      <c r="DB35" s="262" t="s">
        <v>165</v>
      </c>
      <c r="DR35" s="262"/>
      <c r="DS35" s="287"/>
      <c r="DT35" s="263"/>
      <c r="DW35" s="264"/>
      <c r="DX35" s="262"/>
      <c r="DY35" s="116"/>
      <c r="DZ35" s="267"/>
      <c r="HD35" s="263" t="s">
        <v>83</v>
      </c>
      <c r="HE35" s="298">
        <f>B286</f>
        <v>1</v>
      </c>
      <c r="HF35" s="249" t="s">
        <v>108</v>
      </c>
    </row>
    <row r="36" spans="1:214" x14ac:dyDescent="0.2">
      <c r="A36" s="262" t="s">
        <v>122</v>
      </c>
      <c r="B36" s="314">
        <v>0</v>
      </c>
      <c r="C36" s="263" t="s">
        <v>298</v>
      </c>
      <c r="D36" s="262" t="s">
        <v>337</v>
      </c>
      <c r="E36" s="297">
        <f>B57</f>
        <v>54</v>
      </c>
      <c r="F36" s="249" t="s">
        <v>54</v>
      </c>
      <c r="G36" s="262" t="s">
        <v>347</v>
      </c>
      <c r="H36" s="298">
        <f>B72</f>
        <v>24</v>
      </c>
      <c r="I36" s="269" t="s">
        <v>224</v>
      </c>
      <c r="J36" s="262" t="s">
        <v>343</v>
      </c>
      <c r="K36" s="297">
        <f>B64</f>
        <v>6</v>
      </c>
      <c r="L36" s="262" t="s">
        <v>69</v>
      </c>
      <c r="M36" s="95" t="s">
        <v>299</v>
      </c>
      <c r="N36" s="361">
        <f>B293</f>
        <v>27.027027027027</v>
      </c>
      <c r="O36" s="281"/>
      <c r="P36" s="95" t="s">
        <v>299</v>
      </c>
      <c r="Q36" s="361">
        <f>B293</f>
        <v>27.027027027027</v>
      </c>
      <c r="R36" s="281"/>
      <c r="V36" s="262" t="s">
        <v>63</v>
      </c>
      <c r="W36" s="287">
        <f>B28</f>
        <v>1.6230073680000001E-12</v>
      </c>
      <c r="X36" s="262" t="s">
        <v>64</v>
      </c>
      <c r="Y36" s="262" t="s">
        <v>63</v>
      </c>
      <c r="Z36" s="287">
        <f>B28</f>
        <v>1.6230073680000001E-12</v>
      </c>
      <c r="AA36" s="262" t="s">
        <v>64</v>
      </c>
      <c r="AB36" s="274" t="s">
        <v>120</v>
      </c>
      <c r="AE36" s="287"/>
      <c r="AF36" s="355">
        <f>B33</f>
        <v>773681.6396651821</v>
      </c>
      <c r="AG36" s="287"/>
      <c r="AH36" s="274" t="s">
        <v>97</v>
      </c>
      <c r="AI36" s="95" t="s">
        <v>299</v>
      </c>
      <c r="AJ36" s="289">
        <f>B293</f>
        <v>27.027027027027</v>
      </c>
      <c r="AL36" s="95" t="s">
        <v>299</v>
      </c>
      <c r="AM36" s="289">
        <f>B293</f>
        <v>27.027027027027</v>
      </c>
      <c r="AR36" s="95" t="s">
        <v>299</v>
      </c>
      <c r="AS36" s="289">
        <f>B293</f>
        <v>27.027027027027</v>
      </c>
      <c r="AU36" s="95" t="s">
        <v>299</v>
      </c>
      <c r="AV36" s="289">
        <f>B293</f>
        <v>27.027027027027</v>
      </c>
      <c r="BA36" s="95" t="s">
        <v>299</v>
      </c>
      <c r="BB36" s="289">
        <f>B293</f>
        <v>27.027027027027</v>
      </c>
      <c r="BD36" s="95" t="s">
        <v>299</v>
      </c>
      <c r="BE36" s="289">
        <f>B293</f>
        <v>27.027027027027</v>
      </c>
      <c r="BJ36" s="95" t="s">
        <v>299</v>
      </c>
      <c r="BK36" s="289">
        <f>B293</f>
        <v>27.027027027027</v>
      </c>
      <c r="BM36" s="95" t="s">
        <v>299</v>
      </c>
      <c r="BN36" s="289">
        <f>B293</f>
        <v>27.027027027027</v>
      </c>
      <c r="BZ36" s="297">
        <v>1000</v>
      </c>
      <c r="CA36" s="249" t="s">
        <v>24</v>
      </c>
      <c r="CC36" s="592"/>
      <c r="CD36" s="592"/>
      <c r="CE36" s="592"/>
      <c r="CF36" s="592"/>
      <c r="CG36" s="592"/>
      <c r="CT36" s="262" t="s">
        <v>390</v>
      </c>
      <c r="CU36" s="298">
        <f>B161</f>
        <v>24</v>
      </c>
      <c r="CV36" s="249" t="s">
        <v>224</v>
      </c>
      <c r="CZ36" s="262" t="s">
        <v>384</v>
      </c>
      <c r="DA36" s="292">
        <f>B155</f>
        <v>6</v>
      </c>
      <c r="DB36" s="267" t="s">
        <v>69</v>
      </c>
      <c r="DR36" s="262"/>
      <c r="DS36" s="287"/>
      <c r="DT36" s="263"/>
      <c r="DW36" s="264"/>
      <c r="DX36" s="262"/>
      <c r="DY36" s="150"/>
      <c r="DZ36" s="267"/>
      <c r="HD36" s="249" t="s">
        <v>109</v>
      </c>
      <c r="HE36" s="298">
        <f>B287</f>
        <v>1</v>
      </c>
      <c r="HF36" s="249" t="s">
        <v>110</v>
      </c>
    </row>
    <row r="37" spans="1:214" ht="12.75" customHeight="1" x14ac:dyDescent="0.2">
      <c r="A37" s="262" t="s">
        <v>278</v>
      </c>
      <c r="B37" s="315">
        <v>0</v>
      </c>
      <c r="C37" s="263" t="s">
        <v>298</v>
      </c>
      <c r="D37" s="262" t="s">
        <v>80</v>
      </c>
      <c r="E37" s="300" t="e">
        <f>(E32/(E34*E33*E35*E36))/E38</f>
        <v>#DIV/0!</v>
      </c>
      <c r="F37" s="263" t="s">
        <v>303</v>
      </c>
      <c r="G37" s="262" t="s">
        <v>348</v>
      </c>
      <c r="H37" s="298">
        <f>B73</f>
        <v>24</v>
      </c>
      <c r="I37" s="249" t="s">
        <v>224</v>
      </c>
      <c r="J37" s="262" t="s">
        <v>347</v>
      </c>
      <c r="K37" s="298">
        <f>B72</f>
        <v>24</v>
      </c>
      <c r="L37" s="269" t="s">
        <v>224</v>
      </c>
      <c r="V37" s="262" t="s">
        <v>255</v>
      </c>
      <c r="W37" s="293">
        <v>1</v>
      </c>
      <c r="Y37" s="262" t="s">
        <v>255</v>
      </c>
      <c r="Z37" s="293">
        <v>1</v>
      </c>
      <c r="AB37" s="274" t="s">
        <v>121</v>
      </c>
      <c r="AE37" s="287"/>
      <c r="AF37" s="355"/>
      <c r="AG37" s="355">
        <f>B34</f>
        <v>36055860.959050171</v>
      </c>
      <c r="AH37" s="274"/>
      <c r="BY37" s="95" t="s">
        <v>299</v>
      </c>
      <c r="BZ37" s="345">
        <f>B293</f>
        <v>27.027027027027</v>
      </c>
      <c r="CC37" s="592"/>
      <c r="CD37" s="592"/>
      <c r="CE37" s="592"/>
      <c r="CF37" s="592"/>
      <c r="CG37" s="592"/>
      <c r="CT37" s="267" t="s">
        <v>399</v>
      </c>
      <c r="CU37" s="292">
        <f>B174</f>
        <v>1</v>
      </c>
      <c r="CZ37" s="262" t="s">
        <v>385</v>
      </c>
      <c r="DA37" s="292">
        <f>B156</f>
        <v>34</v>
      </c>
      <c r="DB37" s="267" t="s">
        <v>69</v>
      </c>
      <c r="DC37" s="262"/>
      <c r="DD37" s="293"/>
      <c r="DR37" s="262"/>
      <c r="DS37" s="310"/>
      <c r="DT37" s="263"/>
      <c r="DW37" s="264"/>
      <c r="DX37" s="262"/>
      <c r="DY37" s="116"/>
      <c r="DZ37" s="267"/>
      <c r="HD37" s="249" t="s">
        <v>112</v>
      </c>
      <c r="HE37" s="299">
        <f>(0.0112*HE39*HE39)^0.5+HE40*(1-EXP((-HE38*HE39)/(HE35*HE36*HE40)))</f>
        <v>0.27055984103131159</v>
      </c>
      <c r="HF37" s="249" t="s">
        <v>113</v>
      </c>
    </row>
    <row r="38" spans="1:214" x14ac:dyDescent="0.2">
      <c r="A38" s="262" t="s">
        <v>275</v>
      </c>
      <c r="B38" s="315">
        <v>0</v>
      </c>
      <c r="C38" s="263" t="s">
        <v>298</v>
      </c>
      <c r="D38" s="95" t="s">
        <v>299</v>
      </c>
      <c r="E38" s="289">
        <f>B293</f>
        <v>27.027027027027</v>
      </c>
      <c r="G38" s="249" t="s">
        <v>349</v>
      </c>
      <c r="H38" s="297">
        <f>B75</f>
        <v>1</v>
      </c>
      <c r="I38" s="249" t="s">
        <v>98</v>
      </c>
      <c r="J38" s="262" t="s">
        <v>348</v>
      </c>
      <c r="K38" s="298">
        <f>B73</f>
        <v>24</v>
      </c>
      <c r="L38" s="249" t="s">
        <v>224</v>
      </c>
      <c r="V38" s="88" t="s">
        <v>74</v>
      </c>
      <c r="W38" s="294">
        <f>((W27)/((W33/W34)*W30*W31*W32*W35))/W42</f>
        <v>9.2500000000000117E-3</v>
      </c>
      <c r="X38" s="88" t="s">
        <v>15</v>
      </c>
      <c r="Y38" s="88" t="s">
        <v>74</v>
      </c>
      <c r="Z38" s="294">
        <f>((Z27*Z31*Z28)/((1-EXP(-Z28))*Z31*Z32*Z30*Z44*(Z33/Z34)*Z35))/Z46</f>
        <v>29.420049621656425</v>
      </c>
      <c r="AA38" s="88" t="s">
        <v>16</v>
      </c>
      <c r="AB38" s="95" t="s">
        <v>299</v>
      </c>
      <c r="AC38" s="345">
        <f>B293</f>
        <v>27.027027027027</v>
      </c>
      <c r="AD38" s="345">
        <f>B293</f>
        <v>27.027027027027</v>
      </c>
      <c r="AE38" s="345">
        <f>B293</f>
        <v>27.027027027027</v>
      </c>
      <c r="AF38" s="345">
        <f>B293</f>
        <v>27.027027027027</v>
      </c>
      <c r="AG38" s="345">
        <f>B293</f>
        <v>27.027027027027</v>
      </c>
      <c r="AL38" s="262"/>
      <c r="AM38" s="293"/>
      <c r="AN38" s="262"/>
      <c r="BD38" s="262"/>
      <c r="BE38" s="293"/>
      <c r="BF38" s="262"/>
      <c r="CC38" s="592"/>
      <c r="CD38" s="592"/>
      <c r="CE38" s="592"/>
      <c r="CF38" s="592"/>
      <c r="CG38" s="592"/>
      <c r="CT38" s="262" t="s">
        <v>391</v>
      </c>
      <c r="CU38" s="298">
        <f>B165</f>
        <v>12.167999999999999</v>
      </c>
      <c r="CV38" s="249" t="s">
        <v>224</v>
      </c>
      <c r="CZ38" s="262" t="s">
        <v>386</v>
      </c>
      <c r="DA38" s="292">
        <f>B157</f>
        <v>40</v>
      </c>
      <c r="DB38" s="267" t="s">
        <v>69</v>
      </c>
      <c r="DC38" s="262"/>
      <c r="DD38" s="293"/>
      <c r="DW38" s="264"/>
      <c r="DX38" s="262"/>
      <c r="DY38" s="116"/>
      <c r="DZ38" s="267"/>
      <c r="HD38" s="249" t="s">
        <v>114</v>
      </c>
      <c r="HE38" s="298">
        <f>B288</f>
        <v>0.18</v>
      </c>
      <c r="HF38" s="249" t="s">
        <v>108</v>
      </c>
    </row>
    <row r="39" spans="1:214" x14ac:dyDescent="0.2">
      <c r="A39" s="262" t="s">
        <v>276</v>
      </c>
      <c r="B39" s="315">
        <v>0</v>
      </c>
      <c r="C39" s="263" t="s">
        <v>298</v>
      </c>
      <c r="F39" s="263"/>
      <c r="G39" s="249" t="s">
        <v>350</v>
      </c>
      <c r="H39" s="289">
        <f>B76</f>
        <v>1</v>
      </c>
      <c r="I39" s="249" t="s">
        <v>98</v>
      </c>
      <c r="J39" s="249" t="s">
        <v>355</v>
      </c>
      <c r="K39" s="292">
        <v>0.25</v>
      </c>
      <c r="M39" s="114"/>
      <c r="V39" s="88" t="s">
        <v>78</v>
      </c>
      <c r="W39" s="296">
        <f>((W27)/((W33/W34)*W30*W31*W36*(1/365)))/W42</f>
        <v>3994.066895696315</v>
      </c>
      <c r="X39" s="88" t="s">
        <v>15</v>
      </c>
      <c r="Y39" s="88" t="s">
        <v>78</v>
      </c>
      <c r="Z39" s="296">
        <f>((Z27*Z31*Z28)/((1-EXP(-Z28*Z31))*Z36*Z30*Z44*(Z33/Z34)*Z37*(Z44/Z45)))/Z46</f>
        <v>12703313.109578453</v>
      </c>
      <c r="AA39" s="88" t="s">
        <v>16</v>
      </c>
      <c r="CT39" s="262" t="s">
        <v>392</v>
      </c>
      <c r="CU39" s="298">
        <f>B166</f>
        <v>10.007999999999999</v>
      </c>
      <c r="CV39" s="249" t="s">
        <v>224</v>
      </c>
      <c r="CZ39" s="262" t="s">
        <v>389</v>
      </c>
      <c r="DA39" s="292">
        <f>B160</f>
        <v>24</v>
      </c>
      <c r="DB39" s="267" t="s">
        <v>50</v>
      </c>
      <c r="DC39" s="262"/>
      <c r="DW39" s="264"/>
      <c r="DX39" s="262"/>
      <c r="DY39" s="116"/>
      <c r="DZ39" s="267"/>
      <c r="HD39" s="249" t="s">
        <v>116</v>
      </c>
      <c r="HE39" s="298">
        <f>B289</f>
        <v>1</v>
      </c>
      <c r="HF39" s="249" t="s">
        <v>113</v>
      </c>
    </row>
    <row r="40" spans="1:214" ht="15" customHeight="1" thickBot="1" x14ac:dyDescent="0.25">
      <c r="A40" s="262" t="s">
        <v>201</v>
      </c>
      <c r="B40" s="315">
        <v>0</v>
      </c>
      <c r="C40" s="263" t="s">
        <v>298</v>
      </c>
      <c r="H40" s="289">
        <f>1/1000</f>
        <v>1E-3</v>
      </c>
      <c r="I40" s="249" t="s">
        <v>99</v>
      </c>
      <c r="J40" s="262" t="s">
        <v>351</v>
      </c>
      <c r="K40" s="298">
        <f>B96</f>
        <v>1.752</v>
      </c>
      <c r="L40" s="263" t="s">
        <v>300</v>
      </c>
      <c r="V40" s="88" t="s">
        <v>74</v>
      </c>
      <c r="W40" s="294">
        <f>((W27*W28*W31)/((W33/W34)*(1-EXP(-W28*W31))*W32*W35*W30*W31))/W42</f>
        <v>15.298425803261338</v>
      </c>
      <c r="X40" s="88" t="s">
        <v>16</v>
      </c>
      <c r="Y40" s="88" t="s">
        <v>74</v>
      </c>
      <c r="Z40" s="294">
        <f>(Z27/((Z32*Z30*Z44*(Z33/Z34)*Z35)))/Z46</f>
        <v>0.44471153846153894</v>
      </c>
      <c r="AA40" s="88" t="s">
        <v>15</v>
      </c>
      <c r="BK40" s="592" t="s">
        <v>266</v>
      </c>
      <c r="BL40" s="592"/>
      <c r="BM40" s="592"/>
      <c r="BN40" s="592"/>
      <c r="BO40" s="592"/>
      <c r="CT40" s="262" t="s">
        <v>103</v>
      </c>
      <c r="CU40" s="298">
        <f>B169</f>
        <v>0.4</v>
      </c>
      <c r="CZ40" s="262" t="s">
        <v>390</v>
      </c>
      <c r="DA40" s="292">
        <f>B161</f>
        <v>24</v>
      </c>
      <c r="DB40" s="267" t="s">
        <v>50</v>
      </c>
      <c r="DC40" s="262"/>
      <c r="DW40" s="264"/>
      <c r="DX40" s="262"/>
      <c r="DY40" s="116"/>
      <c r="DZ40" s="267"/>
      <c r="HD40" s="249" t="s">
        <v>118</v>
      </c>
      <c r="HE40" s="298">
        <f>B290</f>
        <v>1</v>
      </c>
      <c r="HF40" s="249" t="s">
        <v>113</v>
      </c>
    </row>
    <row r="41" spans="1:214" ht="18.75" thickTop="1" x14ac:dyDescent="0.2">
      <c r="A41" s="262" t="s">
        <v>277</v>
      </c>
      <c r="B41" s="315">
        <v>0</v>
      </c>
      <c r="C41" s="263" t="s">
        <v>298</v>
      </c>
      <c r="D41" s="665" t="s">
        <v>509</v>
      </c>
      <c r="E41" s="607"/>
      <c r="F41" s="608"/>
      <c r="H41" s="289">
        <v>1000</v>
      </c>
      <c r="I41" s="249" t="s">
        <v>101</v>
      </c>
      <c r="J41" s="262" t="s">
        <v>352</v>
      </c>
      <c r="K41" s="298">
        <f>B97</f>
        <v>16.416</v>
      </c>
      <c r="L41" s="263" t="s">
        <v>300</v>
      </c>
      <c r="V41" s="88" t="s">
        <v>78</v>
      </c>
      <c r="W41" s="296">
        <f>((W27*W28*W31)/((W33/W34)*(1-EXP(-W28*W31))*W36*W30*W31*(1/365)))/W42</f>
        <v>6605722.8169807941</v>
      </c>
      <c r="X41" s="88" t="s">
        <v>16</v>
      </c>
      <c r="Y41" s="88" t="s">
        <v>78</v>
      </c>
      <c r="Z41" s="296">
        <f>(Z27/(Z36*Z30*(1/Z45)*Z44*(Z33/Z34)*Z37))/Z46</f>
        <v>192022.44690847665</v>
      </c>
      <c r="AA41" s="88" t="s">
        <v>15</v>
      </c>
      <c r="BK41" s="592"/>
      <c r="BL41" s="592"/>
      <c r="BM41" s="592"/>
      <c r="BN41" s="592"/>
      <c r="BO41" s="592"/>
      <c r="CT41" s="262" t="s">
        <v>158</v>
      </c>
      <c r="CU41" s="292">
        <f>B170</f>
        <v>0.4</v>
      </c>
      <c r="CZ41" s="262" t="s">
        <v>397</v>
      </c>
      <c r="DA41" s="292">
        <f>B167</f>
        <v>1</v>
      </c>
      <c r="DB41" s="267" t="s">
        <v>166</v>
      </c>
      <c r="DW41" s="264"/>
      <c r="DX41" s="262"/>
      <c r="DY41" s="116"/>
      <c r="DZ41" s="267"/>
      <c r="HD41" s="249" t="s">
        <v>119</v>
      </c>
      <c r="HE41" s="298">
        <f>B291</f>
        <v>1</v>
      </c>
      <c r="HF41" s="249" t="s">
        <v>113</v>
      </c>
    </row>
    <row r="42" spans="1:214" ht="12.75" customHeight="1" x14ac:dyDescent="0.2">
      <c r="A42" s="249" t="s">
        <v>265</v>
      </c>
      <c r="B42" s="315">
        <f>B38</f>
        <v>0</v>
      </c>
      <c r="C42" s="263" t="s">
        <v>298</v>
      </c>
      <c r="D42" s="203" t="s">
        <v>510</v>
      </c>
      <c r="E42" s="204" t="e">
        <f>E52</f>
        <v>#DIV/0!</v>
      </c>
      <c r="F42" s="184" t="s">
        <v>304</v>
      </c>
      <c r="H42" s="289">
        <v>1000</v>
      </c>
      <c r="I42" s="249" t="s">
        <v>250</v>
      </c>
      <c r="J42" s="262" t="s">
        <v>103</v>
      </c>
      <c r="K42" s="298">
        <f>B77</f>
        <v>0.4</v>
      </c>
      <c r="V42" s="95" t="s">
        <v>299</v>
      </c>
      <c r="W42" s="289">
        <f>B293</f>
        <v>27.027027027027</v>
      </c>
      <c r="Y42" s="249" t="s">
        <v>219</v>
      </c>
      <c r="Z42" s="289">
        <f>B267</f>
        <v>26</v>
      </c>
      <c r="AA42" s="249" t="s">
        <v>130</v>
      </c>
      <c r="AD42" s="287"/>
      <c r="AF42" s="592" t="s">
        <v>262</v>
      </c>
      <c r="AG42" s="592"/>
      <c r="AH42" s="592"/>
      <c r="BK42" s="592"/>
      <c r="BL42" s="592"/>
      <c r="BM42" s="592"/>
      <c r="BN42" s="592"/>
      <c r="BO42" s="592"/>
      <c r="CT42" s="262" t="s">
        <v>159</v>
      </c>
      <c r="CU42" s="292">
        <f>B171</f>
        <v>1</v>
      </c>
      <c r="CZ42" s="262" t="s">
        <v>398</v>
      </c>
      <c r="DA42" s="292">
        <f>B168</f>
        <v>1</v>
      </c>
      <c r="DB42" s="267" t="s">
        <v>166</v>
      </c>
      <c r="DW42" s="264"/>
      <c r="DX42" s="264"/>
      <c r="DY42" s="328"/>
      <c r="DZ42" s="264"/>
      <c r="HE42" s="297"/>
    </row>
    <row r="43" spans="1:214" ht="13.5" thickBot="1" x14ac:dyDescent="0.25">
      <c r="A43" s="262" t="s">
        <v>264</v>
      </c>
      <c r="B43" s="315">
        <f>B39</f>
        <v>0</v>
      </c>
      <c r="C43" s="263" t="s">
        <v>298</v>
      </c>
      <c r="D43" s="183"/>
      <c r="E43" s="182"/>
      <c r="F43" s="181"/>
      <c r="G43" s="249" t="s">
        <v>355</v>
      </c>
      <c r="H43" s="292">
        <f>B84</f>
        <v>0.25</v>
      </c>
      <c r="I43" s="263"/>
      <c r="J43" s="262" t="s">
        <v>158</v>
      </c>
      <c r="K43" s="292">
        <f>B79</f>
        <v>0.4</v>
      </c>
      <c r="Y43" s="249" t="s">
        <v>220</v>
      </c>
      <c r="Z43" s="289">
        <f>B266</f>
        <v>5</v>
      </c>
      <c r="AA43" s="249" t="s">
        <v>185</v>
      </c>
      <c r="AF43" s="592"/>
      <c r="AG43" s="592"/>
      <c r="AH43" s="592"/>
      <c r="BK43" s="592"/>
      <c r="BL43" s="592"/>
      <c r="BM43" s="592"/>
      <c r="BN43" s="592"/>
      <c r="BO43" s="592"/>
      <c r="CT43" s="262" t="s">
        <v>62</v>
      </c>
      <c r="CU43" s="292">
        <f>B172</f>
        <v>1</v>
      </c>
      <c r="CZ43" s="249" t="s">
        <v>393</v>
      </c>
      <c r="DA43" s="292">
        <f>B163</f>
        <v>0.54</v>
      </c>
      <c r="DB43" s="267" t="s">
        <v>167</v>
      </c>
      <c r="DW43" s="264"/>
      <c r="DX43" s="264"/>
      <c r="DY43" s="328"/>
      <c r="DZ43" s="264"/>
      <c r="HE43" s="297"/>
    </row>
    <row r="44" spans="1:214" ht="13.5" thickTop="1" x14ac:dyDescent="0.2">
      <c r="A44" s="263" t="s">
        <v>37</v>
      </c>
      <c r="B44" s="315">
        <v>0</v>
      </c>
      <c r="C44" s="249" t="s">
        <v>19</v>
      </c>
      <c r="D44" s="262" t="s">
        <v>17</v>
      </c>
      <c r="E44" s="287">
        <f>B18</f>
        <v>9.9999999999999995E-7</v>
      </c>
      <c r="G44" s="262"/>
      <c r="H44" s="297">
        <v>365</v>
      </c>
      <c r="I44" s="263" t="s">
        <v>26</v>
      </c>
      <c r="J44" s="262" t="s">
        <v>159</v>
      </c>
      <c r="K44" s="292">
        <f>B80</f>
        <v>1</v>
      </c>
      <c r="Y44" s="249" t="s">
        <v>186</v>
      </c>
      <c r="Z44" s="289">
        <f>B257</f>
        <v>1</v>
      </c>
      <c r="AA44" s="249" t="s">
        <v>169</v>
      </c>
      <c r="AF44" s="592"/>
      <c r="AG44" s="592"/>
      <c r="AH44" s="592"/>
      <c r="CT44" s="269" t="s">
        <v>494</v>
      </c>
      <c r="CU44" s="298">
        <f>CU32</f>
        <v>40</v>
      </c>
      <c r="CV44" s="269" t="s">
        <v>69</v>
      </c>
      <c r="CZ44" s="249" t="s">
        <v>394</v>
      </c>
      <c r="DA44" s="292">
        <f>B164</f>
        <v>0.71</v>
      </c>
      <c r="DB44" s="267" t="s">
        <v>167</v>
      </c>
      <c r="DW44" s="264"/>
      <c r="DX44" s="264"/>
      <c r="DY44" s="328"/>
      <c r="DZ44" s="264"/>
    </row>
    <row r="45" spans="1:214" x14ac:dyDescent="0.2">
      <c r="A45" s="249" t="s">
        <v>38</v>
      </c>
      <c r="B45" s="315">
        <v>0</v>
      </c>
      <c r="C45" s="249" t="s">
        <v>19</v>
      </c>
      <c r="D45" s="262" t="s">
        <v>338</v>
      </c>
      <c r="E45" s="298">
        <f>B69</f>
        <v>350</v>
      </c>
      <c r="F45" s="262" t="s">
        <v>26</v>
      </c>
      <c r="H45" s="297">
        <v>8760</v>
      </c>
      <c r="I45" s="263" t="s">
        <v>162</v>
      </c>
      <c r="J45" s="262" t="s">
        <v>62</v>
      </c>
      <c r="K45" s="292">
        <f>B81</f>
        <v>1</v>
      </c>
      <c r="Z45" s="289">
        <v>365</v>
      </c>
      <c r="AA45" s="249" t="s">
        <v>93</v>
      </c>
      <c r="AB45" s="274"/>
      <c r="AC45" s="356"/>
      <c r="CU45" s="298">
        <v>365</v>
      </c>
      <c r="CV45" s="249" t="s">
        <v>26</v>
      </c>
      <c r="DA45" s="292">
        <v>365</v>
      </c>
      <c r="DB45" s="267" t="s">
        <v>165</v>
      </c>
      <c r="DW45" s="264"/>
      <c r="DX45" s="264"/>
      <c r="DY45" s="328"/>
      <c r="DZ45" s="264"/>
    </row>
    <row r="46" spans="1:214" ht="15" customHeight="1" x14ac:dyDescent="0.2">
      <c r="A46" s="249" t="s">
        <v>284</v>
      </c>
      <c r="B46" s="315">
        <v>0</v>
      </c>
      <c r="C46" s="249" t="s">
        <v>19</v>
      </c>
      <c r="D46" s="262" t="s">
        <v>438</v>
      </c>
      <c r="E46" s="287">
        <f>B30</f>
        <v>0</v>
      </c>
      <c r="F46" s="262" t="s">
        <v>289</v>
      </c>
      <c r="G46" s="249" t="s">
        <v>20</v>
      </c>
      <c r="H46" s="287">
        <f>H48</f>
        <v>0</v>
      </c>
      <c r="I46" s="263"/>
      <c r="J46" s="269" t="s">
        <v>107</v>
      </c>
      <c r="K46" s="292">
        <f>K34</f>
        <v>26</v>
      </c>
      <c r="L46" s="269" t="s">
        <v>69</v>
      </c>
      <c r="Y46" s="95" t="s">
        <v>299</v>
      </c>
      <c r="Z46" s="289">
        <f>B293</f>
        <v>27.027027027027</v>
      </c>
      <c r="CU46" s="289">
        <v>1000</v>
      </c>
      <c r="CV46" s="249" t="s">
        <v>115</v>
      </c>
      <c r="CZ46" s="263" t="s">
        <v>83</v>
      </c>
      <c r="DA46" s="292">
        <f>B217</f>
        <v>0.5</v>
      </c>
      <c r="DB46" s="267" t="s">
        <v>168</v>
      </c>
      <c r="DW46" s="264"/>
      <c r="DX46" s="264"/>
      <c r="DY46" s="328"/>
      <c r="DZ46" s="264"/>
    </row>
    <row r="47" spans="1:214" x14ac:dyDescent="0.2">
      <c r="A47" s="262" t="s">
        <v>22</v>
      </c>
      <c r="B47" s="96">
        <v>0</v>
      </c>
      <c r="C47" s="262" t="s">
        <v>581</v>
      </c>
      <c r="D47" s="262" t="s">
        <v>341</v>
      </c>
      <c r="E47" s="297">
        <f>B66</f>
        <v>26</v>
      </c>
      <c r="F47" s="249" t="s">
        <v>69</v>
      </c>
      <c r="G47" s="262" t="s">
        <v>28</v>
      </c>
      <c r="H47" s="293">
        <f>H49</f>
        <v>0.26</v>
      </c>
      <c r="I47" s="263"/>
      <c r="K47" s="298">
        <v>365</v>
      </c>
      <c r="L47" s="249" t="s">
        <v>26</v>
      </c>
      <c r="CU47" s="297">
        <v>1000</v>
      </c>
      <c r="CV47" s="249" t="s">
        <v>24</v>
      </c>
      <c r="CZ47" s="263"/>
      <c r="DA47" s="292">
        <v>1</v>
      </c>
      <c r="DB47" s="267" t="s">
        <v>169</v>
      </c>
      <c r="DW47" s="264"/>
      <c r="DX47" s="264"/>
      <c r="DY47" s="328"/>
      <c r="DZ47" s="264"/>
    </row>
    <row r="48" spans="1:214" x14ac:dyDescent="0.2">
      <c r="A48" s="249" t="s">
        <v>330</v>
      </c>
      <c r="B48" s="284">
        <v>0.26</v>
      </c>
      <c r="D48" s="262" t="s">
        <v>337</v>
      </c>
      <c r="E48" s="297">
        <f>B57</f>
        <v>54</v>
      </c>
      <c r="F48" s="249" t="s">
        <v>54</v>
      </c>
      <c r="G48" s="263" t="s">
        <v>37</v>
      </c>
      <c r="H48" s="290">
        <f>B44</f>
        <v>0</v>
      </c>
      <c r="K48" s="289">
        <v>1000</v>
      </c>
      <c r="L48" s="249" t="s">
        <v>115</v>
      </c>
      <c r="CT48" s="95" t="s">
        <v>299</v>
      </c>
      <c r="CU48" s="289">
        <f>B293</f>
        <v>27.027027027027</v>
      </c>
      <c r="CZ48" s="263"/>
      <c r="DA48" s="292">
        <v>8760</v>
      </c>
      <c r="DB48" s="267" t="s">
        <v>162</v>
      </c>
      <c r="DW48" s="264"/>
      <c r="DX48" s="264"/>
      <c r="DY48" s="328"/>
      <c r="DZ48" s="264"/>
    </row>
    <row r="49" spans="1:130" s="53" customFormat="1" x14ac:dyDescent="0.2">
      <c r="A49" s="249" t="s">
        <v>331</v>
      </c>
      <c r="B49" s="284">
        <v>0.25</v>
      </c>
      <c r="C49" s="249"/>
      <c r="D49" s="262"/>
      <c r="E49" s="298">
        <v>1000</v>
      </c>
      <c r="F49" s="263" t="s">
        <v>115</v>
      </c>
      <c r="G49" s="249" t="s">
        <v>330</v>
      </c>
      <c r="H49" s="293">
        <f>B48</f>
        <v>0.26</v>
      </c>
      <c r="I49" s="249"/>
      <c r="J49" s="249"/>
      <c r="K49" s="297">
        <v>1000</v>
      </c>
      <c r="L49" s="249" t="s">
        <v>24</v>
      </c>
      <c r="M49" s="249"/>
      <c r="N49" s="289"/>
      <c r="O49" s="249"/>
      <c r="P49" s="249"/>
      <c r="Q49" s="289"/>
      <c r="R49" s="249"/>
      <c r="S49" s="249"/>
      <c r="T49" s="289"/>
      <c r="U49" s="249"/>
      <c r="V49" s="249"/>
      <c r="W49" s="289"/>
      <c r="X49" s="249"/>
      <c r="Y49" s="249"/>
      <c r="Z49" s="289"/>
      <c r="AA49" s="249"/>
      <c r="AB49" s="249"/>
      <c r="AC49" s="289"/>
      <c r="AD49" s="289"/>
      <c r="AE49" s="289"/>
      <c r="AF49" s="289"/>
      <c r="AG49" s="289"/>
      <c r="AH49" s="249"/>
      <c r="AI49" s="249"/>
      <c r="AJ49" s="289"/>
      <c r="AK49" s="249"/>
      <c r="AL49" s="249"/>
      <c r="AM49" s="289"/>
      <c r="AN49" s="249"/>
      <c r="AO49" s="249"/>
      <c r="AP49" s="289"/>
      <c r="AQ49" s="249"/>
      <c r="AR49" s="249"/>
      <c r="AS49" s="289"/>
      <c r="AT49" s="249"/>
      <c r="AU49" s="249"/>
      <c r="AV49" s="289"/>
      <c r="AW49" s="249"/>
      <c r="AX49" s="249"/>
      <c r="AY49" s="289"/>
      <c r="AZ49" s="249"/>
      <c r="BA49" s="249"/>
      <c r="BB49" s="289"/>
      <c r="BC49" s="249"/>
      <c r="BD49" s="249"/>
      <c r="BE49" s="289"/>
      <c r="BF49" s="249"/>
      <c r="BG49" s="249"/>
      <c r="BH49" s="289"/>
      <c r="BI49" s="249"/>
      <c r="BJ49" s="249"/>
      <c r="BK49" s="289"/>
      <c r="BL49" s="249"/>
      <c r="BM49" s="249"/>
      <c r="BN49" s="289"/>
      <c r="BO49" s="249"/>
      <c r="BP49" s="249"/>
      <c r="BQ49" s="289"/>
      <c r="BR49" s="249"/>
      <c r="BS49" s="249"/>
      <c r="BT49" s="289"/>
      <c r="BU49" s="249"/>
      <c r="BV49" s="249"/>
      <c r="BW49" s="289"/>
      <c r="BX49" s="249"/>
      <c r="BY49" s="262"/>
      <c r="BZ49" s="293"/>
      <c r="CA49" s="249"/>
      <c r="CB49" s="249"/>
      <c r="CC49" s="289"/>
      <c r="CD49" s="249"/>
      <c r="CE49" s="249"/>
      <c r="CF49" s="289"/>
      <c r="CG49" s="249"/>
      <c r="CH49" s="249"/>
      <c r="CI49" s="289"/>
      <c r="CJ49" s="249"/>
      <c r="CK49" s="249"/>
      <c r="CL49" s="289"/>
      <c r="CM49" s="249"/>
      <c r="CN49" s="249"/>
      <c r="CO49" s="289"/>
      <c r="CP49" s="249"/>
      <c r="CQ49" s="249"/>
      <c r="CR49" s="289"/>
      <c r="CS49" s="249"/>
      <c r="CT49" s="249"/>
      <c r="CU49" s="289"/>
      <c r="CV49" s="249"/>
      <c r="CW49" s="249"/>
      <c r="CX49" s="289"/>
      <c r="CY49" s="249"/>
      <c r="CZ49" s="249"/>
      <c r="DA49" s="292">
        <v>1000</v>
      </c>
      <c r="DB49" s="267" t="s">
        <v>115</v>
      </c>
      <c r="DC49" s="249"/>
      <c r="DD49" s="289"/>
      <c r="DE49" s="249"/>
      <c r="DF49" s="249"/>
      <c r="DG49" s="289"/>
      <c r="DH49" s="249"/>
      <c r="DI49" s="249"/>
      <c r="DJ49" s="289"/>
      <c r="DK49" s="249"/>
      <c r="DL49" s="249"/>
      <c r="DM49" s="289"/>
      <c r="DN49" s="249"/>
      <c r="DO49" s="249"/>
      <c r="DP49" s="289"/>
      <c r="DQ49" s="249"/>
      <c r="DR49" s="249"/>
      <c r="DS49" s="289"/>
      <c r="DT49" s="249"/>
      <c r="DU49" s="249"/>
      <c r="DV49" s="289"/>
      <c r="DW49" s="264"/>
      <c r="DX49" s="264"/>
      <c r="DY49" s="328"/>
      <c r="DZ49" s="264"/>
    </row>
    <row r="50" spans="1:130" s="53" customFormat="1" ht="15" x14ac:dyDescent="0.2">
      <c r="A50" s="516" t="s">
        <v>2</v>
      </c>
      <c r="B50" s="516"/>
      <c r="C50" s="516"/>
      <c r="D50" s="262" t="s">
        <v>122</v>
      </c>
      <c r="E50" s="298">
        <f>B36</f>
        <v>0</v>
      </c>
      <c r="F50" s="263" t="s">
        <v>19</v>
      </c>
      <c r="G50" s="249" t="s">
        <v>18</v>
      </c>
      <c r="H50" s="288">
        <f>(H53*H54*H48*((1-EXP(-H55*H56))))/(H57*H55)</f>
        <v>0</v>
      </c>
      <c r="I50" s="249" t="s">
        <v>19</v>
      </c>
      <c r="J50" s="249" t="s">
        <v>20</v>
      </c>
      <c r="K50" s="287">
        <f>K52</f>
        <v>0</v>
      </c>
      <c r="L50" s="249"/>
      <c r="M50" s="249"/>
      <c r="N50" s="289"/>
      <c r="O50" s="249"/>
      <c r="P50" s="249"/>
      <c r="Q50" s="289"/>
      <c r="R50" s="249"/>
      <c r="S50" s="249"/>
      <c r="T50" s="289"/>
      <c r="U50" s="249"/>
      <c r="V50" s="249"/>
      <c r="W50" s="289"/>
      <c r="X50" s="249"/>
      <c r="Y50" s="249"/>
      <c r="Z50" s="289"/>
      <c r="AA50" s="249"/>
      <c r="AB50" s="249"/>
      <c r="AC50" s="289"/>
      <c r="AD50" s="289"/>
      <c r="AE50" s="289"/>
      <c r="AF50" s="289"/>
      <c r="AG50" s="289"/>
      <c r="AH50" s="249"/>
      <c r="AI50" s="249"/>
      <c r="AJ50" s="289"/>
      <c r="AK50" s="249"/>
      <c r="AL50" s="249"/>
      <c r="AM50" s="289"/>
      <c r="AN50" s="249"/>
      <c r="AO50" s="249"/>
      <c r="AP50" s="289"/>
      <c r="AQ50" s="249"/>
      <c r="AR50" s="249"/>
      <c r="AS50" s="289"/>
      <c r="AT50" s="249"/>
      <c r="AU50" s="249"/>
      <c r="AV50" s="289"/>
      <c r="AW50" s="249"/>
      <c r="AX50" s="249"/>
      <c r="AY50" s="289"/>
      <c r="AZ50" s="249"/>
      <c r="BA50" s="249"/>
      <c r="BB50" s="289"/>
      <c r="BC50" s="249"/>
      <c r="BD50" s="249"/>
      <c r="BE50" s="289"/>
      <c r="BF50" s="249"/>
      <c r="BG50" s="249"/>
      <c r="BH50" s="289"/>
      <c r="BI50" s="249"/>
      <c r="BJ50" s="249"/>
      <c r="BK50" s="289"/>
      <c r="BL50" s="249"/>
      <c r="BM50" s="249"/>
      <c r="BN50" s="289"/>
      <c r="BO50" s="249"/>
      <c r="BP50" s="249"/>
      <c r="BQ50" s="289"/>
      <c r="BR50" s="249"/>
      <c r="BS50" s="249"/>
      <c r="BT50" s="289"/>
      <c r="BU50" s="249"/>
      <c r="BV50" s="249"/>
      <c r="BW50" s="289"/>
      <c r="BX50" s="249"/>
      <c r="BY50" s="263"/>
      <c r="BZ50" s="307"/>
      <c r="CA50" s="249"/>
      <c r="CB50" s="249"/>
      <c r="CC50" s="289"/>
      <c r="CD50" s="249"/>
      <c r="CE50" s="249"/>
      <c r="CF50" s="289"/>
      <c r="CG50" s="249"/>
      <c r="CH50" s="249"/>
      <c r="CI50" s="289"/>
      <c r="CJ50" s="249"/>
      <c r="CK50" s="249"/>
      <c r="CL50" s="289"/>
      <c r="CM50" s="249"/>
      <c r="CN50" s="249"/>
      <c r="CO50" s="289"/>
      <c r="CP50" s="249"/>
      <c r="CQ50" s="249"/>
      <c r="CR50" s="289"/>
      <c r="CS50" s="249"/>
      <c r="CT50" s="263"/>
      <c r="CU50" s="307"/>
      <c r="CV50" s="249"/>
      <c r="CW50" s="249"/>
      <c r="CX50" s="289"/>
      <c r="CY50" s="249"/>
      <c r="CZ50" s="95" t="s">
        <v>299</v>
      </c>
      <c r="DA50" s="289">
        <f>B293</f>
        <v>27.027027027027</v>
      </c>
      <c r="DB50" s="249"/>
      <c r="DC50" s="249"/>
      <c r="DD50" s="289"/>
      <c r="DE50" s="249"/>
      <c r="DF50" s="249"/>
      <c r="DG50" s="289"/>
      <c r="DH50" s="249"/>
      <c r="DI50" s="249"/>
      <c r="DJ50" s="289"/>
      <c r="DK50" s="249"/>
      <c r="DL50" s="249"/>
      <c r="DM50" s="289"/>
      <c r="DN50" s="249"/>
      <c r="DO50" s="249"/>
      <c r="DP50" s="289"/>
      <c r="DQ50" s="249"/>
      <c r="DR50" s="249"/>
      <c r="DS50" s="289"/>
      <c r="DT50" s="249"/>
      <c r="DU50" s="249"/>
      <c r="DV50" s="289"/>
      <c r="DW50" s="264"/>
      <c r="DX50" s="264"/>
      <c r="DY50" s="328"/>
      <c r="DZ50" s="264"/>
    </row>
    <row r="51" spans="1:130" s="53" customFormat="1" x14ac:dyDescent="0.2">
      <c r="A51" s="262" t="s">
        <v>318</v>
      </c>
      <c r="B51" s="283">
        <v>10</v>
      </c>
      <c r="C51" s="267" t="s">
        <v>49</v>
      </c>
      <c r="D51" s="262" t="s">
        <v>124</v>
      </c>
      <c r="E51" s="289">
        <f>B82</f>
        <v>1</v>
      </c>
      <c r="F51" s="263" t="s">
        <v>125</v>
      </c>
      <c r="G51" s="249" t="s">
        <v>27</v>
      </c>
      <c r="H51" s="288">
        <f>(H53*H54*H49*((1-EXP(-H55*H56))))/(H57*H55)</f>
        <v>5.4035127681958941E-3</v>
      </c>
      <c r="I51" s="249" t="s">
        <v>19</v>
      </c>
      <c r="J51" s="262" t="s">
        <v>28</v>
      </c>
      <c r="K51" s="293">
        <f>K53</f>
        <v>0.26</v>
      </c>
      <c r="L51" s="249"/>
      <c r="M51" s="249"/>
      <c r="N51" s="289"/>
      <c r="O51" s="249"/>
      <c r="P51" s="249"/>
      <c r="Q51" s="289"/>
      <c r="R51" s="249"/>
      <c r="S51" s="249"/>
      <c r="T51" s="289"/>
      <c r="U51" s="249"/>
      <c r="V51" s="249"/>
      <c r="W51" s="289"/>
      <c r="X51" s="249"/>
      <c r="Y51" s="249"/>
      <c r="Z51" s="289"/>
      <c r="AA51" s="249"/>
      <c r="AB51" s="249"/>
      <c r="AC51" s="289"/>
      <c r="AD51" s="289"/>
      <c r="AE51" s="289"/>
      <c r="AF51" s="289"/>
      <c r="AG51" s="289"/>
      <c r="AH51" s="249"/>
      <c r="AI51" s="249"/>
      <c r="AJ51" s="289"/>
      <c r="AK51" s="249"/>
      <c r="AL51" s="249"/>
      <c r="AM51" s="289"/>
      <c r="AN51" s="249"/>
      <c r="AO51" s="249"/>
      <c r="AP51" s="289"/>
      <c r="AQ51" s="249"/>
      <c r="AR51" s="249"/>
      <c r="AS51" s="289"/>
      <c r="AT51" s="249"/>
      <c r="AU51" s="249"/>
      <c r="AV51" s="289"/>
      <c r="AW51" s="249"/>
      <c r="AX51" s="249"/>
      <c r="AY51" s="289"/>
      <c r="AZ51" s="249"/>
      <c r="BA51" s="249"/>
      <c r="BB51" s="289"/>
      <c r="BC51" s="249"/>
      <c r="BD51" s="249"/>
      <c r="BE51" s="289"/>
      <c r="BF51" s="249"/>
      <c r="BG51" s="249"/>
      <c r="BH51" s="289"/>
      <c r="BI51" s="249"/>
      <c r="BJ51" s="249"/>
      <c r="BK51" s="289"/>
      <c r="BL51" s="249"/>
      <c r="BM51" s="249"/>
      <c r="BN51" s="289"/>
      <c r="BO51" s="249"/>
      <c r="BP51" s="249"/>
      <c r="BQ51" s="289"/>
      <c r="BR51" s="249"/>
      <c r="BS51" s="249"/>
      <c r="BT51" s="289"/>
      <c r="BU51" s="249"/>
      <c r="BV51" s="249"/>
      <c r="BW51" s="287"/>
      <c r="BX51" s="249"/>
      <c r="BY51" s="262"/>
      <c r="BZ51" s="293"/>
      <c r="CA51" s="249"/>
      <c r="CB51" s="249"/>
      <c r="CC51" s="289"/>
      <c r="CD51" s="249"/>
      <c r="CE51" s="249"/>
      <c r="CF51" s="289"/>
      <c r="CG51" s="249"/>
      <c r="CH51" s="249"/>
      <c r="CI51" s="289"/>
      <c r="CJ51" s="249"/>
      <c r="CK51" s="249"/>
      <c r="CL51" s="289"/>
      <c r="CM51" s="249"/>
      <c r="CN51" s="249"/>
      <c r="CO51" s="289"/>
      <c r="CP51" s="249"/>
      <c r="CQ51" s="249"/>
      <c r="CR51" s="289"/>
      <c r="CS51" s="249"/>
      <c r="CT51" s="262"/>
      <c r="CU51" s="293"/>
      <c r="CV51" s="249"/>
      <c r="CW51" s="249"/>
      <c r="CX51" s="289"/>
      <c r="CY51" s="249"/>
      <c r="CZ51" s="267"/>
      <c r="DA51" s="289"/>
      <c r="DB51" s="249"/>
      <c r="DC51" s="249"/>
      <c r="DD51" s="289"/>
      <c r="DE51" s="249"/>
      <c r="DF51" s="249"/>
      <c r="DG51" s="289"/>
      <c r="DH51" s="249"/>
      <c r="DI51" s="249"/>
      <c r="DJ51" s="289"/>
      <c r="DK51" s="249"/>
      <c r="DL51" s="249"/>
      <c r="DM51" s="289"/>
      <c r="DN51" s="249"/>
      <c r="DO51" s="249"/>
      <c r="DP51" s="289"/>
      <c r="DQ51" s="249"/>
      <c r="DR51" s="249"/>
      <c r="DS51" s="289"/>
      <c r="DT51" s="249"/>
      <c r="DU51" s="249"/>
      <c r="DV51" s="289"/>
      <c r="DW51" s="264"/>
      <c r="DX51" s="264"/>
      <c r="DY51" s="328"/>
      <c r="DZ51" s="264"/>
    </row>
    <row r="52" spans="1:130" s="53" customFormat="1" x14ac:dyDescent="0.2">
      <c r="A52" s="262" t="s">
        <v>319</v>
      </c>
      <c r="B52" s="283">
        <v>20</v>
      </c>
      <c r="C52" s="267" t="s">
        <v>49</v>
      </c>
      <c r="D52" s="262" t="s">
        <v>80</v>
      </c>
      <c r="E52" s="300" t="e">
        <f>(E44/(E46*E45*E47*E48*E50*E51*(1/E49)))/E53</f>
        <v>#DIV/0!</v>
      </c>
      <c r="F52" s="249" t="s">
        <v>304</v>
      </c>
      <c r="G52" s="249" t="s">
        <v>36</v>
      </c>
      <c r="H52" s="288">
        <f>(H53*H54*H58*H64*((1-EXP(-H59*H60))))/(H61*H59)</f>
        <v>0.82303427313698274</v>
      </c>
      <c r="I52" s="249" t="s">
        <v>19</v>
      </c>
      <c r="J52" s="263" t="s">
        <v>37</v>
      </c>
      <c r="K52" s="290">
        <f>B44</f>
        <v>0</v>
      </c>
      <c r="L52" s="249"/>
      <c r="M52" s="249"/>
      <c r="N52" s="289"/>
      <c r="O52" s="249"/>
      <c r="P52" s="249"/>
      <c r="Q52" s="289"/>
      <c r="R52" s="249"/>
      <c r="S52" s="249"/>
      <c r="T52" s="289"/>
      <c r="U52" s="249"/>
      <c r="V52" s="249"/>
      <c r="W52" s="289"/>
      <c r="X52" s="249"/>
      <c r="Y52" s="249"/>
      <c r="Z52" s="289"/>
      <c r="AA52" s="249"/>
      <c r="AB52" s="249"/>
      <c r="AC52" s="289"/>
      <c r="AD52" s="289"/>
      <c r="AE52" s="289"/>
      <c r="AF52" s="289"/>
      <c r="AG52" s="289"/>
      <c r="AH52" s="249"/>
      <c r="AI52" s="249"/>
      <c r="AJ52" s="289"/>
      <c r="AK52" s="249"/>
      <c r="AL52" s="249"/>
      <c r="AM52" s="289"/>
      <c r="AN52" s="249"/>
      <c r="AO52" s="249"/>
      <c r="AP52" s="289"/>
      <c r="AQ52" s="249"/>
      <c r="AR52" s="249"/>
      <c r="AS52" s="289"/>
      <c r="AT52" s="249"/>
      <c r="AU52" s="249"/>
      <c r="AV52" s="289"/>
      <c r="AW52" s="249"/>
      <c r="AX52" s="249"/>
      <c r="AY52" s="289"/>
      <c r="AZ52" s="249"/>
      <c r="BA52" s="249"/>
      <c r="BB52" s="289"/>
      <c r="BC52" s="249"/>
      <c r="BD52" s="249"/>
      <c r="BE52" s="289"/>
      <c r="BF52" s="249"/>
      <c r="BG52" s="249"/>
      <c r="BH52" s="289"/>
      <c r="BI52" s="249"/>
      <c r="BJ52" s="249"/>
      <c r="BK52" s="289"/>
      <c r="BL52" s="249"/>
      <c r="BM52" s="249"/>
      <c r="BN52" s="289"/>
      <c r="BO52" s="249"/>
      <c r="BP52" s="249"/>
      <c r="BQ52" s="289"/>
      <c r="BR52" s="249"/>
      <c r="BS52" s="249"/>
      <c r="BT52" s="289"/>
      <c r="BU52" s="249"/>
      <c r="BV52" s="249"/>
      <c r="BW52" s="287"/>
      <c r="BX52" s="249"/>
      <c r="BY52" s="249"/>
      <c r="BZ52" s="289"/>
      <c r="CA52" s="249"/>
      <c r="CB52" s="249"/>
      <c r="CC52" s="289"/>
      <c r="CD52" s="249"/>
      <c r="CE52" s="249"/>
      <c r="CF52" s="289"/>
      <c r="CG52" s="249"/>
      <c r="CH52" s="249"/>
      <c r="CI52" s="289"/>
      <c r="CJ52" s="249"/>
      <c r="CK52" s="249"/>
      <c r="CL52" s="289"/>
      <c r="CM52" s="249"/>
      <c r="CN52" s="249"/>
      <c r="CO52" s="289"/>
      <c r="CP52" s="249"/>
      <c r="CQ52" s="249"/>
      <c r="CR52" s="289"/>
      <c r="CS52" s="249"/>
      <c r="CT52" s="249"/>
      <c r="CU52" s="289"/>
      <c r="CV52" s="249"/>
      <c r="CW52" s="249"/>
      <c r="CX52" s="289"/>
      <c r="CY52" s="249"/>
      <c r="CZ52" s="267"/>
      <c r="DA52" s="289"/>
      <c r="DB52" s="249"/>
      <c r="DC52" s="249"/>
      <c r="DD52" s="289"/>
      <c r="DE52" s="249"/>
      <c r="DF52" s="249"/>
      <c r="DG52" s="289"/>
      <c r="DH52" s="249"/>
      <c r="DI52" s="249"/>
      <c r="DJ52" s="289"/>
      <c r="DK52" s="249"/>
      <c r="DL52" s="249"/>
      <c r="DM52" s="289"/>
      <c r="DN52" s="249"/>
      <c r="DO52" s="249"/>
      <c r="DP52" s="289"/>
      <c r="DQ52" s="249"/>
      <c r="DR52" s="249"/>
      <c r="DS52" s="289"/>
      <c r="DT52" s="249"/>
      <c r="DU52" s="249"/>
      <c r="DV52" s="289"/>
      <c r="DW52" s="264"/>
      <c r="DX52" s="264"/>
      <c r="DY52" s="328"/>
      <c r="DZ52" s="264"/>
    </row>
    <row r="53" spans="1:130" s="53" customFormat="1" x14ac:dyDescent="0.2">
      <c r="A53" s="262" t="s">
        <v>320</v>
      </c>
      <c r="B53" s="283">
        <v>200</v>
      </c>
      <c r="C53" s="263" t="s">
        <v>54</v>
      </c>
      <c r="D53" s="95" t="s">
        <v>299</v>
      </c>
      <c r="E53" s="289">
        <f>B293</f>
        <v>27.027027027027</v>
      </c>
      <c r="F53" s="249"/>
      <c r="G53" s="262" t="s">
        <v>41</v>
      </c>
      <c r="H53" s="289">
        <f>B85</f>
        <v>3.62</v>
      </c>
      <c r="I53" s="249" t="s">
        <v>42</v>
      </c>
      <c r="J53" s="249" t="s">
        <v>330</v>
      </c>
      <c r="K53" s="293">
        <f>B48</f>
        <v>0.26</v>
      </c>
      <c r="L53" s="249"/>
      <c r="M53" s="249"/>
      <c r="N53" s="289"/>
      <c r="O53" s="249"/>
      <c r="P53" s="249"/>
      <c r="Q53" s="289"/>
      <c r="R53" s="249"/>
      <c r="S53" s="249"/>
      <c r="T53" s="289"/>
      <c r="U53" s="249"/>
      <c r="V53" s="249"/>
      <c r="W53" s="289"/>
      <c r="X53" s="249"/>
      <c r="Y53" s="249"/>
      <c r="Z53" s="289"/>
      <c r="AA53" s="249"/>
      <c r="AB53" s="249"/>
      <c r="AC53" s="289"/>
      <c r="AD53" s="289"/>
      <c r="AE53" s="289"/>
      <c r="AF53" s="289"/>
      <c r="AG53" s="289"/>
      <c r="AH53" s="249"/>
      <c r="AI53" s="249"/>
      <c r="AJ53" s="289"/>
      <c r="AK53" s="249"/>
      <c r="AL53" s="249"/>
      <c r="AM53" s="289"/>
      <c r="AN53" s="249"/>
      <c r="AO53" s="249"/>
      <c r="AP53" s="289"/>
      <c r="AQ53" s="249"/>
      <c r="AR53" s="249"/>
      <c r="AS53" s="289"/>
      <c r="AT53" s="249"/>
      <c r="AU53" s="249"/>
      <c r="AV53" s="289"/>
      <c r="AW53" s="249"/>
      <c r="AX53" s="249"/>
      <c r="AY53" s="289"/>
      <c r="AZ53" s="249"/>
      <c r="BA53" s="249"/>
      <c r="BB53" s="289"/>
      <c r="BC53" s="249"/>
      <c r="BD53" s="249"/>
      <c r="BE53" s="289"/>
      <c r="BF53" s="249"/>
      <c r="BG53" s="249"/>
      <c r="BH53" s="289"/>
      <c r="BI53" s="249"/>
      <c r="BJ53" s="249"/>
      <c r="BK53" s="289"/>
      <c r="BL53" s="249"/>
      <c r="BM53" s="249"/>
      <c r="BN53" s="289"/>
      <c r="BO53" s="249"/>
      <c r="BP53" s="249"/>
      <c r="BQ53" s="289"/>
      <c r="BR53" s="249"/>
      <c r="BS53" s="249"/>
      <c r="BT53" s="289"/>
      <c r="BU53" s="249"/>
      <c r="BV53" s="262"/>
      <c r="BW53" s="289"/>
      <c r="BX53" s="249"/>
      <c r="BY53" s="249"/>
      <c r="BZ53" s="289"/>
      <c r="CA53" s="249"/>
      <c r="CB53" s="249"/>
      <c r="CC53" s="289"/>
      <c r="CD53" s="249"/>
      <c r="CE53" s="249"/>
      <c r="CF53" s="289"/>
      <c r="CG53" s="249"/>
      <c r="CH53" s="249"/>
      <c r="CI53" s="289"/>
      <c r="CJ53" s="249"/>
      <c r="CK53" s="249"/>
      <c r="CL53" s="289"/>
      <c r="CM53" s="249"/>
      <c r="CN53" s="249"/>
      <c r="CO53" s="289"/>
      <c r="CP53" s="249"/>
      <c r="CQ53" s="249"/>
      <c r="CR53" s="289"/>
      <c r="CS53" s="249"/>
      <c r="CT53" s="249"/>
      <c r="CU53" s="289"/>
      <c r="CV53" s="249"/>
      <c r="CW53" s="249"/>
      <c r="CX53" s="289"/>
      <c r="CY53" s="249"/>
      <c r="CZ53" s="267"/>
      <c r="DA53" s="289"/>
      <c r="DB53" s="249"/>
      <c r="DC53" s="249"/>
      <c r="DD53" s="289"/>
      <c r="DE53" s="249"/>
      <c r="DF53" s="249"/>
      <c r="DG53" s="289"/>
      <c r="DH53" s="249"/>
      <c r="DI53" s="249"/>
      <c r="DJ53" s="289"/>
      <c r="DK53" s="249"/>
      <c r="DL53" s="249"/>
      <c r="DM53" s="289"/>
      <c r="DN53" s="249"/>
      <c r="DO53" s="249"/>
      <c r="DP53" s="289"/>
      <c r="DQ53" s="249"/>
      <c r="DR53" s="249"/>
      <c r="DS53" s="289"/>
      <c r="DT53" s="249"/>
      <c r="DU53" s="249"/>
      <c r="DV53" s="289"/>
      <c r="DW53" s="249"/>
      <c r="DX53" s="249"/>
      <c r="DY53" s="289"/>
      <c r="DZ53" s="249"/>
    </row>
    <row r="54" spans="1:130" s="53" customFormat="1" x14ac:dyDescent="0.2">
      <c r="A54" s="262" t="s">
        <v>321</v>
      </c>
      <c r="B54" s="283">
        <v>100</v>
      </c>
      <c r="C54" s="263" t="s">
        <v>54</v>
      </c>
      <c r="D54" s="249"/>
      <c r="E54" s="289"/>
      <c r="F54" s="249"/>
      <c r="G54" s="262" t="s">
        <v>46</v>
      </c>
      <c r="H54" s="287">
        <f>B86</f>
        <v>0.25</v>
      </c>
      <c r="I54" s="249" t="s">
        <v>47</v>
      </c>
      <c r="J54" s="95" t="s">
        <v>299</v>
      </c>
      <c r="K54" s="289">
        <f>B293</f>
        <v>27.027027027027</v>
      </c>
      <c r="L54" s="249"/>
      <c r="M54" s="249"/>
      <c r="N54" s="289"/>
      <c r="O54" s="249"/>
      <c r="P54" s="249"/>
      <c r="Q54" s="289"/>
      <c r="R54" s="249"/>
      <c r="S54" s="249"/>
      <c r="T54" s="289"/>
      <c r="U54" s="249"/>
      <c r="V54" s="249"/>
      <c r="W54" s="289"/>
      <c r="X54" s="249"/>
      <c r="Y54" s="249"/>
      <c r="Z54" s="289"/>
      <c r="AA54" s="249"/>
      <c r="AB54" s="249"/>
      <c r="AC54" s="289"/>
      <c r="AD54" s="289"/>
      <c r="AE54" s="289"/>
      <c r="AF54" s="289"/>
      <c r="AG54" s="289"/>
      <c r="AH54" s="249"/>
      <c r="AI54" s="249"/>
      <c r="AJ54" s="289"/>
      <c r="AK54" s="249"/>
      <c r="AL54" s="249"/>
      <c r="AM54" s="289"/>
      <c r="AN54" s="249"/>
      <c r="AO54" s="249"/>
      <c r="AP54" s="289"/>
      <c r="AQ54" s="249"/>
      <c r="AR54" s="249"/>
      <c r="AS54" s="289"/>
      <c r="AT54" s="249"/>
      <c r="AU54" s="249"/>
      <c r="AV54" s="289"/>
      <c r="AW54" s="249"/>
      <c r="AX54" s="249"/>
      <c r="AY54" s="289"/>
      <c r="AZ54" s="249"/>
      <c r="BA54" s="249"/>
      <c r="BB54" s="289"/>
      <c r="BC54" s="249"/>
      <c r="BD54" s="249"/>
      <c r="BE54" s="289"/>
      <c r="BF54" s="249"/>
      <c r="BG54" s="249"/>
      <c r="BH54" s="289"/>
      <c r="BI54" s="249"/>
      <c r="BJ54" s="249"/>
      <c r="BK54" s="289"/>
      <c r="BL54" s="249"/>
      <c r="BM54" s="249"/>
      <c r="BN54" s="289"/>
      <c r="BO54" s="249"/>
      <c r="BP54" s="249"/>
      <c r="BQ54" s="289"/>
      <c r="BR54" s="249"/>
      <c r="BS54" s="249"/>
      <c r="BT54" s="289"/>
      <c r="BU54" s="249"/>
      <c r="BV54" s="262"/>
      <c r="BW54" s="289"/>
      <c r="BX54" s="249"/>
      <c r="BY54" s="249"/>
      <c r="BZ54" s="289"/>
      <c r="CA54" s="249"/>
      <c r="CB54" s="249"/>
      <c r="CC54" s="289"/>
      <c r="CD54" s="249"/>
      <c r="CE54" s="249"/>
      <c r="CF54" s="289"/>
      <c r="CG54" s="249"/>
      <c r="CH54" s="249"/>
      <c r="CI54" s="289"/>
      <c r="CJ54" s="249"/>
      <c r="CK54" s="249"/>
      <c r="CL54" s="289"/>
      <c r="CM54" s="249"/>
      <c r="CN54" s="249"/>
      <c r="CO54" s="289"/>
      <c r="CP54" s="249"/>
      <c r="CQ54" s="249"/>
      <c r="CR54" s="289"/>
      <c r="CS54" s="249"/>
      <c r="CT54" s="249"/>
      <c r="CU54" s="289"/>
      <c r="CV54" s="249"/>
      <c r="CW54" s="249"/>
      <c r="CX54" s="289"/>
      <c r="CY54" s="249"/>
      <c r="CZ54" s="267"/>
      <c r="DA54" s="289"/>
      <c r="DB54" s="249"/>
      <c r="DC54" s="249"/>
      <c r="DD54" s="289"/>
      <c r="DE54" s="249"/>
      <c r="DF54" s="249"/>
      <c r="DG54" s="289"/>
      <c r="DH54" s="249"/>
      <c r="DI54" s="249"/>
      <c r="DJ54" s="289"/>
      <c r="DK54" s="249"/>
      <c r="DL54" s="249"/>
      <c r="DM54" s="289"/>
      <c r="DN54" s="249"/>
      <c r="DO54" s="249"/>
      <c r="DP54" s="289"/>
      <c r="DQ54" s="249"/>
      <c r="DR54" s="249"/>
      <c r="DS54" s="289"/>
      <c r="DT54" s="249"/>
      <c r="DU54" s="249"/>
      <c r="DV54" s="289"/>
      <c r="DW54" s="249"/>
      <c r="DX54" s="249"/>
      <c r="DY54" s="289"/>
      <c r="DZ54" s="249"/>
    </row>
    <row r="55" spans="1:130" s="53" customFormat="1" x14ac:dyDescent="0.2">
      <c r="A55" s="262" t="s">
        <v>322</v>
      </c>
      <c r="B55" s="283">
        <v>0.78</v>
      </c>
      <c r="C55" s="262" t="s">
        <v>30</v>
      </c>
      <c r="D55" s="249"/>
      <c r="E55" s="289"/>
      <c r="F55" s="249"/>
      <c r="G55" s="267" t="s">
        <v>55</v>
      </c>
      <c r="H55" s="303">
        <f>H62+H63</f>
        <v>0.18144061256544503</v>
      </c>
      <c r="I55" s="249"/>
      <c r="J55" s="249"/>
      <c r="K55" s="289"/>
      <c r="L55" s="249"/>
      <c r="M55" s="249"/>
      <c r="N55" s="289"/>
      <c r="O55" s="249"/>
      <c r="P55" s="249"/>
      <c r="Q55" s="289"/>
      <c r="R55" s="249"/>
      <c r="S55" s="249"/>
      <c r="T55" s="289"/>
      <c r="U55" s="249"/>
      <c r="V55" s="249"/>
      <c r="W55" s="289"/>
      <c r="X55" s="249"/>
      <c r="Y55" s="249"/>
      <c r="Z55" s="289"/>
      <c r="AA55" s="249"/>
      <c r="AB55" s="249"/>
      <c r="AC55" s="289"/>
      <c r="AD55" s="289"/>
      <c r="AE55" s="289"/>
      <c r="AF55" s="289"/>
      <c r="AG55" s="289"/>
      <c r="AH55" s="249"/>
      <c r="AI55" s="249"/>
      <c r="AJ55" s="289"/>
      <c r="AK55" s="249"/>
      <c r="AL55" s="249"/>
      <c r="AM55" s="289"/>
      <c r="AN55" s="249"/>
      <c r="AO55" s="249"/>
      <c r="AP55" s="289"/>
      <c r="AQ55" s="249"/>
      <c r="AR55" s="249"/>
      <c r="AS55" s="289"/>
      <c r="AT55" s="249"/>
      <c r="AU55" s="249"/>
      <c r="AV55" s="289"/>
      <c r="AW55" s="249"/>
      <c r="AX55" s="249"/>
      <c r="AY55" s="289"/>
      <c r="AZ55" s="249"/>
      <c r="BA55" s="249"/>
      <c r="BB55" s="289"/>
      <c r="BC55" s="249"/>
      <c r="BD55" s="249"/>
      <c r="BE55" s="289"/>
      <c r="BF55" s="249"/>
      <c r="BG55" s="249"/>
      <c r="BH55" s="289"/>
      <c r="BI55" s="249"/>
      <c r="BJ55" s="249"/>
      <c r="BK55" s="289"/>
      <c r="BL55" s="249"/>
      <c r="BM55" s="249"/>
      <c r="BN55" s="289"/>
      <c r="BO55" s="249"/>
      <c r="BP55" s="249"/>
      <c r="BQ55" s="289"/>
      <c r="BR55" s="249"/>
      <c r="BS55" s="249"/>
      <c r="BT55" s="289"/>
      <c r="BU55" s="249"/>
      <c r="BV55" s="267"/>
      <c r="BW55" s="289"/>
      <c r="BX55" s="249"/>
      <c r="BY55" s="249"/>
      <c r="BZ55" s="289"/>
      <c r="CA55" s="249"/>
      <c r="CB55" s="249"/>
      <c r="CC55" s="289"/>
      <c r="CD55" s="249"/>
      <c r="CE55" s="249"/>
      <c r="CF55" s="289"/>
      <c r="CG55" s="249"/>
      <c r="CH55" s="249"/>
      <c r="CI55" s="289"/>
      <c r="CJ55" s="249"/>
      <c r="CK55" s="249"/>
      <c r="CL55" s="289"/>
      <c r="CM55" s="249"/>
      <c r="CN55" s="249"/>
      <c r="CO55" s="289"/>
      <c r="CP55" s="249"/>
      <c r="CQ55" s="249"/>
      <c r="CR55" s="289"/>
      <c r="CS55" s="249"/>
      <c r="CT55" s="249"/>
      <c r="CU55" s="289"/>
      <c r="CV55" s="249"/>
      <c r="CW55" s="249"/>
      <c r="CX55" s="289"/>
      <c r="CY55" s="249"/>
      <c r="CZ55" s="267"/>
      <c r="DA55" s="289"/>
      <c r="DB55" s="249"/>
      <c r="DC55" s="249"/>
      <c r="DD55" s="289"/>
      <c r="DE55" s="249"/>
      <c r="DF55" s="249"/>
      <c r="DG55" s="289"/>
      <c r="DH55" s="249"/>
      <c r="DI55" s="249"/>
      <c r="DJ55" s="289"/>
      <c r="DK55" s="249"/>
      <c r="DL55" s="249"/>
      <c r="DM55" s="289"/>
      <c r="DN55" s="249"/>
      <c r="DO55" s="249"/>
      <c r="DP55" s="289"/>
      <c r="DQ55" s="249"/>
      <c r="DR55" s="249"/>
      <c r="DS55" s="289"/>
      <c r="DT55" s="249"/>
      <c r="DU55" s="249"/>
      <c r="DV55" s="289"/>
      <c r="DW55" s="249"/>
      <c r="DX55" s="249"/>
      <c r="DY55" s="289"/>
      <c r="DZ55" s="249"/>
    </row>
    <row r="56" spans="1:130" s="53" customFormat="1" x14ac:dyDescent="0.2">
      <c r="A56" s="262" t="s">
        <v>323</v>
      </c>
      <c r="B56" s="283">
        <v>2.5</v>
      </c>
      <c r="C56" s="262" t="s">
        <v>30</v>
      </c>
      <c r="D56" s="249"/>
      <c r="E56" s="289"/>
      <c r="F56" s="249"/>
      <c r="G56" s="267" t="s">
        <v>60</v>
      </c>
      <c r="H56" s="289">
        <f>B87</f>
        <v>10950</v>
      </c>
      <c r="I56" s="249" t="s">
        <v>61</v>
      </c>
      <c r="J56" s="249"/>
      <c r="K56" s="289"/>
      <c r="L56" s="249"/>
      <c r="M56" s="249"/>
      <c r="N56" s="289"/>
      <c r="O56" s="249"/>
      <c r="P56" s="249"/>
      <c r="Q56" s="289"/>
      <c r="R56" s="249"/>
      <c r="S56" s="249"/>
      <c r="T56" s="289"/>
      <c r="U56" s="249"/>
      <c r="V56" s="249"/>
      <c r="W56" s="289"/>
      <c r="X56" s="249"/>
      <c r="Y56" s="249"/>
      <c r="Z56" s="289"/>
      <c r="AA56" s="249"/>
      <c r="AB56" s="249"/>
      <c r="AC56" s="289"/>
      <c r="AD56" s="289"/>
      <c r="AE56" s="289"/>
      <c r="AF56" s="289"/>
      <c r="AG56" s="289"/>
      <c r="AH56" s="249"/>
      <c r="AI56" s="249"/>
      <c r="AJ56" s="289"/>
      <c r="AK56" s="249"/>
      <c r="AL56" s="249"/>
      <c r="AM56" s="289"/>
      <c r="AN56" s="249"/>
      <c r="AO56" s="249"/>
      <c r="AP56" s="289"/>
      <c r="AQ56" s="249"/>
      <c r="AR56" s="249"/>
      <c r="AS56" s="289"/>
      <c r="AT56" s="249"/>
      <c r="AU56" s="249"/>
      <c r="AV56" s="289"/>
      <c r="AW56" s="249"/>
      <c r="AX56" s="249"/>
      <c r="AY56" s="289"/>
      <c r="AZ56" s="249"/>
      <c r="BA56" s="249"/>
      <c r="BB56" s="289"/>
      <c r="BC56" s="249"/>
      <c r="BD56" s="249"/>
      <c r="BE56" s="289"/>
      <c r="BF56" s="249"/>
      <c r="BG56" s="249"/>
      <c r="BH56" s="289"/>
      <c r="BI56" s="249"/>
      <c r="BJ56" s="249"/>
      <c r="BK56" s="289"/>
      <c r="BL56" s="249"/>
      <c r="BM56" s="249"/>
      <c r="BN56" s="289"/>
      <c r="BO56" s="249"/>
      <c r="BP56" s="249"/>
      <c r="BQ56" s="289"/>
      <c r="BR56" s="249"/>
      <c r="BS56" s="249"/>
      <c r="BT56" s="289"/>
      <c r="BU56" s="249"/>
      <c r="BV56" s="267"/>
      <c r="BW56" s="289"/>
      <c r="BX56" s="249"/>
      <c r="BY56" s="249"/>
      <c r="BZ56" s="289"/>
      <c r="CA56" s="249"/>
      <c r="CB56" s="249"/>
      <c r="CC56" s="289"/>
      <c r="CD56" s="249"/>
      <c r="CE56" s="249"/>
      <c r="CF56" s="289"/>
      <c r="CG56" s="249"/>
      <c r="CH56" s="249"/>
      <c r="CI56" s="289"/>
      <c r="CJ56" s="249"/>
      <c r="CK56" s="249"/>
      <c r="CL56" s="289"/>
      <c r="CM56" s="249"/>
      <c r="CN56" s="249"/>
      <c r="CO56" s="289"/>
      <c r="CP56" s="249"/>
      <c r="CQ56" s="249"/>
      <c r="CR56" s="289"/>
      <c r="CS56" s="249"/>
      <c r="CT56" s="249"/>
      <c r="CU56" s="289"/>
      <c r="CV56" s="249"/>
      <c r="CW56" s="249"/>
      <c r="CX56" s="289"/>
      <c r="CY56" s="249"/>
      <c r="CZ56" s="267"/>
      <c r="DA56" s="289"/>
      <c r="DB56" s="249"/>
      <c r="DC56" s="249"/>
      <c r="DD56" s="289"/>
      <c r="DE56" s="249"/>
      <c r="DF56" s="249"/>
      <c r="DG56" s="289"/>
      <c r="DH56" s="249"/>
      <c r="DI56" s="249"/>
      <c r="DJ56" s="289"/>
      <c r="DK56" s="249"/>
      <c r="DL56" s="249"/>
      <c r="DM56" s="289"/>
      <c r="DN56" s="249"/>
      <c r="DO56" s="249"/>
      <c r="DP56" s="289"/>
      <c r="DQ56" s="249"/>
      <c r="DR56" s="249"/>
      <c r="DS56" s="289"/>
      <c r="DT56" s="249"/>
      <c r="DU56" s="249"/>
      <c r="DV56" s="289"/>
      <c r="DW56" s="249"/>
      <c r="DX56" s="249"/>
      <c r="DY56" s="289"/>
      <c r="DZ56" s="249"/>
    </row>
    <row r="57" spans="1:130" s="53" customFormat="1" x14ac:dyDescent="0.2">
      <c r="A57" s="262" t="s">
        <v>337</v>
      </c>
      <c r="B57" s="283">
        <v>54</v>
      </c>
      <c r="C57" s="249" t="s">
        <v>54</v>
      </c>
      <c r="D57" s="249"/>
      <c r="E57" s="289"/>
      <c r="F57" s="249"/>
      <c r="G57" s="267" t="s">
        <v>65</v>
      </c>
      <c r="H57" s="289">
        <f>B88</f>
        <v>240</v>
      </c>
      <c r="I57" s="249" t="s">
        <v>66</v>
      </c>
      <c r="J57" s="249"/>
      <c r="K57" s="289"/>
      <c r="L57" s="249"/>
      <c r="M57" s="249"/>
      <c r="N57" s="289"/>
      <c r="O57" s="249"/>
      <c r="P57" s="249"/>
      <c r="Q57" s="289"/>
      <c r="R57" s="249"/>
      <c r="S57" s="249"/>
      <c r="T57" s="289"/>
      <c r="U57" s="249"/>
      <c r="V57" s="249"/>
      <c r="W57" s="289"/>
      <c r="X57" s="249"/>
      <c r="Y57" s="249"/>
      <c r="Z57" s="289"/>
      <c r="AA57" s="249"/>
      <c r="AB57" s="249"/>
      <c r="AC57" s="289"/>
      <c r="AD57" s="289"/>
      <c r="AE57" s="289"/>
      <c r="AF57" s="289"/>
      <c r="AG57" s="289"/>
      <c r="AH57" s="249"/>
      <c r="AI57" s="249"/>
      <c r="AJ57" s="289"/>
      <c r="AK57" s="249"/>
      <c r="AL57" s="249"/>
      <c r="AM57" s="289"/>
      <c r="AN57" s="249"/>
      <c r="AO57" s="249"/>
      <c r="AP57" s="289"/>
      <c r="AQ57" s="249"/>
      <c r="AR57" s="249"/>
      <c r="AS57" s="289"/>
      <c r="AT57" s="249"/>
      <c r="AU57" s="249"/>
      <c r="AV57" s="289"/>
      <c r="AW57" s="249"/>
      <c r="AX57" s="249"/>
      <c r="AY57" s="289"/>
      <c r="AZ57" s="249"/>
      <c r="BA57" s="249"/>
      <c r="BB57" s="289"/>
      <c r="BC57" s="249"/>
      <c r="BD57" s="249"/>
      <c r="BE57" s="289"/>
      <c r="BF57" s="249"/>
      <c r="BG57" s="249"/>
      <c r="BH57" s="289"/>
      <c r="BI57" s="249"/>
      <c r="BJ57" s="249"/>
      <c r="BK57" s="289"/>
      <c r="BL57" s="249"/>
      <c r="BM57" s="249"/>
      <c r="BN57" s="289"/>
      <c r="BO57" s="249"/>
      <c r="BP57" s="249"/>
      <c r="BQ57" s="289"/>
      <c r="BR57" s="249"/>
      <c r="BS57" s="249"/>
      <c r="BT57" s="289"/>
      <c r="BU57" s="249"/>
      <c r="BV57" s="267"/>
      <c r="BW57" s="289"/>
      <c r="BX57" s="249"/>
      <c r="BY57" s="249"/>
      <c r="BZ57" s="289"/>
      <c r="CA57" s="249"/>
      <c r="CB57" s="249"/>
      <c r="CC57" s="289"/>
      <c r="CD57" s="249"/>
      <c r="CE57" s="249"/>
      <c r="CF57" s="289"/>
      <c r="CG57" s="249"/>
      <c r="CH57" s="249"/>
      <c r="CI57" s="289"/>
      <c r="CJ57" s="249"/>
      <c r="CK57" s="249"/>
      <c r="CL57" s="289"/>
      <c r="CM57" s="249"/>
      <c r="CN57" s="249"/>
      <c r="CO57" s="289"/>
      <c r="CP57" s="249"/>
      <c r="CQ57" s="249"/>
      <c r="CR57" s="289"/>
      <c r="CS57" s="249"/>
      <c r="CT57" s="249"/>
      <c r="CU57" s="289"/>
      <c r="CV57" s="249"/>
      <c r="CW57" s="249"/>
      <c r="CX57" s="289"/>
      <c r="CY57" s="249"/>
      <c r="CZ57" s="267"/>
      <c r="DA57" s="293"/>
      <c r="DB57" s="262"/>
      <c r="DC57" s="249"/>
      <c r="DD57" s="289"/>
      <c r="DE57" s="249"/>
      <c r="DF57" s="249"/>
      <c r="DG57" s="289"/>
      <c r="DH57" s="249"/>
      <c r="DI57" s="249"/>
      <c r="DJ57" s="289"/>
      <c r="DK57" s="249"/>
      <c r="DL57" s="249"/>
      <c r="DM57" s="289"/>
      <c r="DN57" s="249"/>
      <c r="DO57" s="249"/>
      <c r="DP57" s="289"/>
      <c r="DQ57" s="249"/>
      <c r="DR57" s="249"/>
      <c r="DS57" s="289"/>
      <c r="DT57" s="249"/>
      <c r="DU57" s="249"/>
      <c r="DV57" s="289"/>
      <c r="DW57" s="249"/>
      <c r="DX57" s="249"/>
      <c r="DY57" s="289"/>
      <c r="DZ57" s="249"/>
    </row>
    <row r="58" spans="1:130" s="53" customFormat="1" x14ac:dyDescent="0.2">
      <c r="A58" s="249" t="s">
        <v>357</v>
      </c>
      <c r="B58" s="283">
        <v>32.799999999999997</v>
      </c>
      <c r="C58" s="249" t="s">
        <v>54</v>
      </c>
      <c r="D58" s="249"/>
      <c r="E58" s="289"/>
      <c r="F58" s="249"/>
      <c r="G58" s="267" t="s">
        <v>76</v>
      </c>
      <c r="H58" s="289">
        <f>B89</f>
        <v>0.42</v>
      </c>
      <c r="I58" s="249" t="s">
        <v>47</v>
      </c>
      <c r="J58" s="249"/>
      <c r="K58" s="289"/>
      <c r="L58" s="249"/>
      <c r="M58" s="249"/>
      <c r="N58" s="289"/>
      <c r="O58" s="249"/>
      <c r="P58" s="249"/>
      <c r="Q58" s="289"/>
      <c r="R58" s="249"/>
      <c r="S58" s="249"/>
      <c r="T58" s="289"/>
      <c r="U58" s="249"/>
      <c r="V58" s="249"/>
      <c r="W58" s="289"/>
      <c r="X58" s="249"/>
      <c r="Y58" s="249"/>
      <c r="Z58" s="289"/>
      <c r="AA58" s="249"/>
      <c r="AB58" s="249"/>
      <c r="AC58" s="289"/>
      <c r="AD58" s="289"/>
      <c r="AE58" s="289"/>
      <c r="AF58" s="289"/>
      <c r="AG58" s="289"/>
      <c r="AH58" s="249"/>
      <c r="AI58" s="249"/>
      <c r="AJ58" s="289"/>
      <c r="AK58" s="249"/>
      <c r="AL58" s="249"/>
      <c r="AM58" s="289"/>
      <c r="AN58" s="249"/>
      <c r="AO58" s="249"/>
      <c r="AP58" s="289"/>
      <c r="AQ58" s="249"/>
      <c r="AR58" s="249"/>
      <c r="AS58" s="289"/>
      <c r="AT58" s="249"/>
      <c r="AU58" s="249"/>
      <c r="AV58" s="289"/>
      <c r="AW58" s="249"/>
      <c r="AX58" s="249"/>
      <c r="AY58" s="289"/>
      <c r="AZ58" s="249"/>
      <c r="BA58" s="249"/>
      <c r="BB58" s="289"/>
      <c r="BC58" s="249"/>
      <c r="BD58" s="249"/>
      <c r="BE58" s="289"/>
      <c r="BF58" s="249"/>
      <c r="BG58" s="249"/>
      <c r="BH58" s="289"/>
      <c r="BI58" s="249"/>
      <c r="BJ58" s="249"/>
      <c r="BK58" s="289"/>
      <c r="BL58" s="249"/>
      <c r="BM58" s="249"/>
      <c r="BN58" s="289"/>
      <c r="BO58" s="249"/>
      <c r="BP58" s="249"/>
      <c r="BQ58" s="289"/>
      <c r="BR58" s="249"/>
      <c r="BS58" s="249"/>
      <c r="BT58" s="289"/>
      <c r="BU58" s="249"/>
      <c r="BV58" s="267"/>
      <c r="BW58" s="289"/>
      <c r="BX58" s="249"/>
      <c r="BY58" s="249"/>
      <c r="BZ58" s="289"/>
      <c r="CA58" s="249"/>
      <c r="CB58" s="249"/>
      <c r="CC58" s="289"/>
      <c r="CD58" s="249"/>
      <c r="CE58" s="249"/>
      <c r="CF58" s="289"/>
      <c r="CG58" s="249"/>
      <c r="CH58" s="249"/>
      <c r="CI58" s="289"/>
      <c r="CJ58" s="249"/>
      <c r="CK58" s="249"/>
      <c r="CL58" s="289"/>
      <c r="CM58" s="249"/>
      <c r="CN58" s="249"/>
      <c r="CO58" s="289"/>
      <c r="CP58" s="249"/>
      <c r="CQ58" s="249"/>
      <c r="CR58" s="289"/>
      <c r="CS58" s="249"/>
      <c r="CT58" s="249"/>
      <c r="CU58" s="289"/>
      <c r="CV58" s="249"/>
      <c r="CW58" s="249"/>
      <c r="CX58" s="289"/>
      <c r="CY58" s="249"/>
      <c r="CZ58" s="267"/>
      <c r="DA58" s="293"/>
      <c r="DB58" s="262"/>
      <c r="DC58" s="249"/>
      <c r="DD58" s="289"/>
      <c r="DE58" s="249"/>
      <c r="DF58" s="249"/>
      <c r="DG58" s="289"/>
      <c r="DH58" s="249"/>
      <c r="DI58" s="249"/>
      <c r="DJ58" s="289"/>
      <c r="DK58" s="249"/>
      <c r="DL58" s="249"/>
      <c r="DM58" s="289"/>
      <c r="DN58" s="249"/>
      <c r="DO58" s="249"/>
      <c r="DP58" s="289"/>
      <c r="DQ58" s="249"/>
      <c r="DR58" s="249"/>
      <c r="DS58" s="289"/>
      <c r="DT58" s="249"/>
      <c r="DU58" s="249"/>
      <c r="DV58" s="289"/>
      <c r="DW58" s="249"/>
      <c r="DX58" s="249"/>
      <c r="DY58" s="289"/>
      <c r="DZ58" s="249"/>
    </row>
    <row r="59" spans="1:130" s="53" customFormat="1" x14ac:dyDescent="0.2">
      <c r="A59" s="249" t="s">
        <v>336</v>
      </c>
      <c r="B59" s="283">
        <v>157.69999999999999</v>
      </c>
      <c r="C59" s="249" t="s">
        <v>54</v>
      </c>
      <c r="D59" s="249"/>
      <c r="E59" s="289"/>
      <c r="F59" s="249"/>
      <c r="G59" s="267" t="s">
        <v>81</v>
      </c>
      <c r="H59" s="299">
        <f>H63+(0.693/H65)</f>
        <v>0.23091361256544501</v>
      </c>
      <c r="I59" s="262" t="s">
        <v>82</v>
      </c>
      <c r="J59" s="249"/>
      <c r="K59" s="289"/>
      <c r="L59" s="249"/>
      <c r="M59" s="249"/>
      <c r="N59" s="289"/>
      <c r="O59" s="249"/>
      <c r="P59" s="249"/>
      <c r="Q59" s="289"/>
      <c r="R59" s="249"/>
      <c r="S59" s="249"/>
      <c r="T59" s="289"/>
      <c r="U59" s="249"/>
      <c r="V59" s="249"/>
      <c r="W59" s="289"/>
      <c r="X59" s="249"/>
      <c r="Y59" s="249"/>
      <c r="Z59" s="289"/>
      <c r="AA59" s="249"/>
      <c r="AB59" s="249"/>
      <c r="AC59" s="289"/>
      <c r="AD59" s="289"/>
      <c r="AE59" s="289"/>
      <c r="AF59" s="289"/>
      <c r="AG59" s="289"/>
      <c r="AH59" s="249"/>
      <c r="AI59" s="249"/>
      <c r="AJ59" s="289"/>
      <c r="AK59" s="249"/>
      <c r="AL59" s="249"/>
      <c r="AM59" s="289"/>
      <c r="AN59" s="249"/>
      <c r="AO59" s="249"/>
      <c r="AP59" s="289"/>
      <c r="AQ59" s="249"/>
      <c r="AR59" s="249"/>
      <c r="AS59" s="289"/>
      <c r="AT59" s="249"/>
      <c r="AU59" s="249"/>
      <c r="AV59" s="289"/>
      <c r="AW59" s="249"/>
      <c r="AX59" s="249"/>
      <c r="AY59" s="289"/>
      <c r="AZ59" s="249"/>
      <c r="BA59" s="249"/>
      <c r="BB59" s="289"/>
      <c r="BC59" s="249"/>
      <c r="BD59" s="249"/>
      <c r="BE59" s="289"/>
      <c r="BF59" s="249"/>
      <c r="BG59" s="249"/>
      <c r="BH59" s="289"/>
      <c r="BI59" s="249"/>
      <c r="BJ59" s="249"/>
      <c r="BK59" s="289"/>
      <c r="BL59" s="249"/>
      <c r="BM59" s="249"/>
      <c r="BN59" s="289"/>
      <c r="BO59" s="249"/>
      <c r="BP59" s="249"/>
      <c r="BQ59" s="289"/>
      <c r="BR59" s="249"/>
      <c r="BS59" s="249"/>
      <c r="BT59" s="289"/>
      <c r="BU59" s="249"/>
      <c r="BV59" s="267"/>
      <c r="BW59" s="289"/>
      <c r="BX59" s="249"/>
      <c r="BY59" s="249"/>
      <c r="BZ59" s="289"/>
      <c r="CA59" s="249"/>
      <c r="CB59" s="249"/>
      <c r="CC59" s="289"/>
      <c r="CD59" s="249"/>
      <c r="CE59" s="249"/>
      <c r="CF59" s="289"/>
      <c r="CG59" s="249"/>
      <c r="CH59" s="249"/>
      <c r="CI59" s="289"/>
      <c r="CJ59" s="249"/>
      <c r="CK59" s="249"/>
      <c r="CL59" s="289"/>
      <c r="CM59" s="249"/>
      <c r="CN59" s="249"/>
      <c r="CO59" s="289"/>
      <c r="CP59" s="249"/>
      <c r="CQ59" s="249"/>
      <c r="CR59" s="289"/>
      <c r="CS59" s="249"/>
      <c r="CT59" s="249"/>
      <c r="CU59" s="289"/>
      <c r="CV59" s="249"/>
      <c r="CW59" s="249"/>
      <c r="CX59" s="289"/>
      <c r="CY59" s="249"/>
      <c r="CZ59" s="267"/>
      <c r="DA59" s="293"/>
      <c r="DB59" s="262"/>
      <c r="DC59" s="249"/>
      <c r="DD59" s="289"/>
      <c r="DE59" s="249"/>
      <c r="DF59" s="249"/>
      <c r="DG59" s="289"/>
      <c r="DH59" s="249"/>
      <c r="DI59" s="249"/>
      <c r="DJ59" s="289"/>
      <c r="DK59" s="249"/>
      <c r="DL59" s="249"/>
      <c r="DM59" s="289"/>
      <c r="DN59" s="249"/>
      <c r="DO59" s="249"/>
      <c r="DP59" s="289"/>
      <c r="DQ59" s="249"/>
      <c r="DR59" s="249"/>
      <c r="DS59" s="289"/>
      <c r="DT59" s="249"/>
      <c r="DU59" s="249"/>
      <c r="DV59" s="289"/>
      <c r="DW59" s="249"/>
      <c r="DX59" s="249"/>
      <c r="DY59" s="289"/>
      <c r="DZ59" s="249"/>
    </row>
    <row r="60" spans="1:130" s="53" customFormat="1" x14ac:dyDescent="0.2">
      <c r="A60" s="262" t="s">
        <v>332</v>
      </c>
      <c r="B60" s="283">
        <v>68.099999999999994</v>
      </c>
      <c r="C60" s="267" t="s">
        <v>254</v>
      </c>
      <c r="D60" s="249"/>
      <c r="E60" s="289"/>
      <c r="F60" s="249"/>
      <c r="G60" s="267" t="s">
        <v>85</v>
      </c>
      <c r="H60" s="293">
        <f>B90</f>
        <v>60</v>
      </c>
      <c r="I60" s="262" t="s">
        <v>61</v>
      </c>
      <c r="J60" s="249"/>
      <c r="K60" s="289"/>
      <c r="L60" s="249"/>
      <c r="M60" s="249"/>
      <c r="N60" s="289"/>
      <c r="O60" s="249"/>
      <c r="P60" s="249"/>
      <c r="Q60" s="289"/>
      <c r="R60" s="249"/>
      <c r="S60" s="249"/>
      <c r="T60" s="289"/>
      <c r="U60" s="249"/>
      <c r="V60" s="249"/>
      <c r="W60" s="289"/>
      <c r="X60" s="249"/>
      <c r="Y60" s="249"/>
      <c r="Z60" s="289"/>
      <c r="AA60" s="249"/>
      <c r="AB60" s="249"/>
      <c r="AC60" s="289"/>
      <c r="AD60" s="289"/>
      <c r="AE60" s="289"/>
      <c r="AF60" s="289"/>
      <c r="AG60" s="289"/>
      <c r="AH60" s="249"/>
      <c r="AI60" s="249"/>
      <c r="AJ60" s="289"/>
      <c r="AK60" s="249"/>
      <c r="AL60" s="249"/>
      <c r="AM60" s="289"/>
      <c r="AN60" s="249"/>
      <c r="AO60" s="249"/>
      <c r="AP60" s="289"/>
      <c r="AQ60" s="249"/>
      <c r="AR60" s="249"/>
      <c r="AS60" s="289"/>
      <c r="AT60" s="249"/>
      <c r="AU60" s="249"/>
      <c r="AV60" s="289"/>
      <c r="AW60" s="249"/>
      <c r="AX60" s="249"/>
      <c r="AY60" s="289"/>
      <c r="AZ60" s="249"/>
      <c r="BA60" s="249"/>
      <c r="BB60" s="289"/>
      <c r="BC60" s="249"/>
      <c r="BD60" s="249"/>
      <c r="BE60" s="289"/>
      <c r="BF60" s="249"/>
      <c r="BG60" s="249"/>
      <c r="BH60" s="289"/>
      <c r="BI60" s="249"/>
      <c r="BJ60" s="249"/>
      <c r="BK60" s="289"/>
      <c r="BL60" s="249"/>
      <c r="BM60" s="249"/>
      <c r="BN60" s="289"/>
      <c r="BO60" s="249"/>
      <c r="BP60" s="249"/>
      <c r="BQ60" s="289"/>
      <c r="BR60" s="249"/>
      <c r="BS60" s="249"/>
      <c r="BT60" s="289"/>
      <c r="BU60" s="249"/>
      <c r="BV60" s="267"/>
      <c r="BW60" s="289"/>
      <c r="BX60" s="249"/>
      <c r="BY60" s="249"/>
      <c r="BZ60" s="289"/>
      <c r="CA60" s="249"/>
      <c r="CB60" s="249"/>
      <c r="CC60" s="289"/>
      <c r="CD60" s="249"/>
      <c r="CE60" s="249"/>
      <c r="CF60" s="289"/>
      <c r="CG60" s="249"/>
      <c r="CH60" s="249"/>
      <c r="CI60" s="289"/>
      <c r="CJ60" s="249"/>
      <c r="CK60" s="249"/>
      <c r="CL60" s="289"/>
      <c r="CM60" s="249"/>
      <c r="CN60" s="249"/>
      <c r="CO60" s="289"/>
      <c r="CP60" s="249"/>
      <c r="CQ60" s="249"/>
      <c r="CR60" s="289"/>
      <c r="CS60" s="249"/>
      <c r="CT60" s="249"/>
      <c r="CU60" s="289"/>
      <c r="CV60" s="249"/>
      <c r="CW60" s="249"/>
      <c r="CX60" s="289"/>
      <c r="CY60" s="249"/>
      <c r="CZ60" s="267"/>
      <c r="DA60" s="289"/>
      <c r="DB60" s="249"/>
      <c r="DC60" s="249"/>
      <c r="DD60" s="289"/>
      <c r="DE60" s="249"/>
      <c r="DF60" s="249"/>
      <c r="DG60" s="289"/>
      <c r="DH60" s="249"/>
      <c r="DI60" s="249"/>
      <c r="DJ60" s="289"/>
      <c r="DK60" s="249"/>
      <c r="DL60" s="249"/>
      <c r="DM60" s="289"/>
      <c r="DN60" s="249"/>
      <c r="DO60" s="249"/>
      <c r="DP60" s="289"/>
      <c r="DQ60" s="249"/>
      <c r="DR60" s="249"/>
      <c r="DS60" s="289"/>
      <c r="DT60" s="249"/>
      <c r="DU60" s="249"/>
      <c r="DV60" s="289"/>
      <c r="DW60" s="249"/>
      <c r="DX60" s="249"/>
      <c r="DY60" s="289"/>
      <c r="DZ60" s="249"/>
    </row>
    <row r="61" spans="1:130" s="53" customFormat="1" x14ac:dyDescent="0.2">
      <c r="A61" s="262" t="s">
        <v>333</v>
      </c>
      <c r="B61" s="283">
        <v>188.5</v>
      </c>
      <c r="C61" s="267" t="s">
        <v>254</v>
      </c>
      <c r="D61" s="249"/>
      <c r="E61" s="289"/>
      <c r="F61" s="249"/>
      <c r="G61" s="267" t="s">
        <v>87</v>
      </c>
      <c r="H61" s="293">
        <f>B91</f>
        <v>2</v>
      </c>
      <c r="I61" s="262" t="s">
        <v>66</v>
      </c>
      <c r="J61" s="249"/>
      <c r="K61" s="289"/>
      <c r="L61" s="249"/>
      <c r="M61" s="249"/>
      <c r="N61" s="289"/>
      <c r="O61" s="249"/>
      <c r="P61" s="249"/>
      <c r="Q61" s="289"/>
      <c r="R61" s="249"/>
      <c r="S61" s="249"/>
      <c r="T61" s="289"/>
      <c r="U61" s="249"/>
      <c r="V61" s="249"/>
      <c r="W61" s="289"/>
      <c r="X61" s="249"/>
      <c r="Y61" s="249"/>
      <c r="Z61" s="289"/>
      <c r="AA61" s="249"/>
      <c r="AB61" s="249"/>
      <c r="AC61" s="289"/>
      <c r="AD61" s="289"/>
      <c r="AE61" s="289"/>
      <c r="AF61" s="289"/>
      <c r="AG61" s="289"/>
      <c r="AH61" s="249"/>
      <c r="AI61" s="249"/>
      <c r="AJ61" s="289"/>
      <c r="AK61" s="249"/>
      <c r="AL61" s="249"/>
      <c r="AM61" s="289"/>
      <c r="AN61" s="249"/>
      <c r="AO61" s="249"/>
      <c r="AP61" s="289"/>
      <c r="AQ61" s="249"/>
      <c r="AR61" s="249"/>
      <c r="AS61" s="289"/>
      <c r="AT61" s="249"/>
      <c r="AU61" s="249"/>
      <c r="AV61" s="289"/>
      <c r="AW61" s="249"/>
      <c r="AX61" s="249"/>
      <c r="AY61" s="289"/>
      <c r="AZ61" s="249"/>
      <c r="BA61" s="249"/>
      <c r="BB61" s="289"/>
      <c r="BC61" s="249"/>
      <c r="BD61" s="249"/>
      <c r="BE61" s="289"/>
      <c r="BF61" s="249"/>
      <c r="BG61" s="249"/>
      <c r="BH61" s="289"/>
      <c r="BI61" s="249"/>
      <c r="BJ61" s="249"/>
      <c r="BK61" s="289"/>
      <c r="BL61" s="249"/>
      <c r="BM61" s="249"/>
      <c r="BN61" s="289"/>
      <c r="BO61" s="249"/>
      <c r="BP61" s="249"/>
      <c r="BQ61" s="289"/>
      <c r="BR61" s="249"/>
      <c r="BS61" s="249"/>
      <c r="BT61" s="289"/>
      <c r="BU61" s="249"/>
      <c r="BV61" s="267"/>
      <c r="BW61" s="293"/>
      <c r="BX61" s="262"/>
      <c r="BY61" s="249"/>
      <c r="BZ61" s="289"/>
      <c r="CA61" s="249"/>
      <c r="CB61" s="249"/>
      <c r="CC61" s="289"/>
      <c r="CD61" s="249"/>
      <c r="CE61" s="249"/>
      <c r="CF61" s="289"/>
      <c r="CG61" s="249"/>
      <c r="CH61" s="249"/>
      <c r="CI61" s="289"/>
      <c r="CJ61" s="249"/>
      <c r="CK61" s="249"/>
      <c r="CL61" s="289"/>
      <c r="CM61" s="249"/>
      <c r="CN61" s="249"/>
      <c r="CO61" s="289"/>
      <c r="CP61" s="249"/>
      <c r="CQ61" s="249"/>
      <c r="CR61" s="289"/>
      <c r="CS61" s="249"/>
      <c r="CT61" s="249"/>
      <c r="CU61" s="289"/>
      <c r="CV61" s="249"/>
      <c r="CW61" s="249"/>
      <c r="CX61" s="289"/>
      <c r="CY61" s="249"/>
      <c r="CZ61" s="267"/>
      <c r="DA61" s="287"/>
      <c r="DB61" s="249"/>
      <c r="DC61" s="249"/>
      <c r="DD61" s="289"/>
      <c r="DE61" s="249"/>
      <c r="DF61" s="249"/>
      <c r="DG61" s="289"/>
      <c r="DH61" s="249"/>
      <c r="DI61" s="249"/>
      <c r="DJ61" s="289"/>
      <c r="DK61" s="249"/>
      <c r="DL61" s="249"/>
      <c r="DM61" s="289"/>
      <c r="DN61" s="249"/>
      <c r="DO61" s="249"/>
      <c r="DP61" s="289"/>
      <c r="DQ61" s="249"/>
      <c r="DR61" s="249"/>
      <c r="DS61" s="289"/>
      <c r="DT61" s="249"/>
      <c r="DU61" s="249"/>
      <c r="DV61" s="289"/>
      <c r="DW61" s="249"/>
      <c r="DX61" s="249"/>
      <c r="DY61" s="289"/>
      <c r="DZ61" s="249"/>
    </row>
    <row r="62" spans="1:130" s="53" customFormat="1" x14ac:dyDescent="0.2">
      <c r="A62" s="262" t="s">
        <v>334</v>
      </c>
      <c r="B62" s="283">
        <v>41.7</v>
      </c>
      <c r="C62" s="267" t="s">
        <v>254</v>
      </c>
      <c r="D62" s="249"/>
      <c r="E62" s="289"/>
      <c r="F62" s="249"/>
      <c r="G62" s="267" t="s">
        <v>89</v>
      </c>
      <c r="H62" s="289">
        <f>B92</f>
        <v>2.6999999999999999E-5</v>
      </c>
      <c r="I62" s="249" t="s">
        <v>82</v>
      </c>
      <c r="J62" s="249"/>
      <c r="K62" s="289"/>
      <c r="L62" s="249"/>
      <c r="M62" s="249"/>
      <c r="N62" s="289"/>
      <c r="O62" s="249"/>
      <c r="P62" s="249"/>
      <c r="Q62" s="289"/>
      <c r="R62" s="249"/>
      <c r="S62" s="249"/>
      <c r="T62" s="289"/>
      <c r="U62" s="249"/>
      <c r="V62" s="249"/>
      <c r="W62" s="289"/>
      <c r="X62" s="249"/>
      <c r="Y62" s="249"/>
      <c r="Z62" s="289"/>
      <c r="AA62" s="249"/>
      <c r="AB62" s="249"/>
      <c r="AC62" s="289"/>
      <c r="AD62" s="289"/>
      <c r="AE62" s="289"/>
      <c r="AF62" s="289"/>
      <c r="AG62" s="289"/>
      <c r="AH62" s="249"/>
      <c r="AI62" s="249"/>
      <c r="AJ62" s="289"/>
      <c r="AK62" s="249"/>
      <c r="AL62" s="249"/>
      <c r="AM62" s="289"/>
      <c r="AN62" s="249"/>
      <c r="AO62" s="249"/>
      <c r="AP62" s="289"/>
      <c r="AQ62" s="249"/>
      <c r="AR62" s="249"/>
      <c r="AS62" s="289"/>
      <c r="AT62" s="249"/>
      <c r="AU62" s="249"/>
      <c r="AV62" s="289"/>
      <c r="AW62" s="249"/>
      <c r="AX62" s="249"/>
      <c r="AY62" s="289"/>
      <c r="AZ62" s="249"/>
      <c r="BA62" s="249"/>
      <c r="BB62" s="289"/>
      <c r="BC62" s="249"/>
      <c r="BD62" s="249"/>
      <c r="BE62" s="289"/>
      <c r="BF62" s="249"/>
      <c r="BG62" s="249"/>
      <c r="BH62" s="289"/>
      <c r="BI62" s="249"/>
      <c r="BJ62" s="249"/>
      <c r="BK62" s="289"/>
      <c r="BL62" s="249"/>
      <c r="BM62" s="249"/>
      <c r="BN62" s="289"/>
      <c r="BO62" s="249"/>
      <c r="BP62" s="249"/>
      <c r="BQ62" s="289"/>
      <c r="BR62" s="249"/>
      <c r="BS62" s="249"/>
      <c r="BT62" s="289"/>
      <c r="BU62" s="249"/>
      <c r="BV62" s="267"/>
      <c r="BW62" s="293"/>
      <c r="BX62" s="262"/>
      <c r="BY62" s="249"/>
      <c r="BZ62" s="289"/>
      <c r="CA62" s="249"/>
      <c r="CB62" s="249"/>
      <c r="CC62" s="289"/>
      <c r="CD62" s="249"/>
      <c r="CE62" s="249"/>
      <c r="CF62" s="289"/>
      <c r="CG62" s="249"/>
      <c r="CH62" s="249"/>
      <c r="CI62" s="289"/>
      <c r="CJ62" s="249"/>
      <c r="CK62" s="249"/>
      <c r="CL62" s="289"/>
      <c r="CM62" s="249"/>
      <c r="CN62" s="249"/>
      <c r="CO62" s="289"/>
      <c r="CP62" s="249"/>
      <c r="CQ62" s="249"/>
      <c r="CR62" s="289"/>
      <c r="CS62" s="249"/>
      <c r="CT62" s="249"/>
      <c r="CU62" s="289"/>
      <c r="CV62" s="249"/>
      <c r="CW62" s="249"/>
      <c r="CX62" s="289"/>
      <c r="CY62" s="249"/>
      <c r="CZ62" s="267"/>
      <c r="DA62" s="289"/>
      <c r="DB62" s="249"/>
      <c r="DC62" s="249"/>
      <c r="DD62" s="289"/>
      <c r="DE62" s="249"/>
      <c r="DF62" s="249"/>
      <c r="DG62" s="289"/>
      <c r="DH62" s="249"/>
      <c r="DI62" s="249"/>
      <c r="DJ62" s="289"/>
      <c r="DK62" s="249"/>
      <c r="DL62" s="249"/>
      <c r="DM62" s="289"/>
      <c r="DN62" s="249"/>
      <c r="DO62" s="249"/>
      <c r="DP62" s="289"/>
      <c r="DQ62" s="249"/>
      <c r="DR62" s="249"/>
      <c r="DS62" s="289"/>
      <c r="DT62" s="249"/>
      <c r="DU62" s="249"/>
      <c r="DV62" s="289"/>
      <c r="DW62" s="249"/>
      <c r="DX62" s="249"/>
      <c r="DY62" s="289"/>
      <c r="DZ62" s="249"/>
    </row>
    <row r="63" spans="1:130" s="53" customFormat="1" x14ac:dyDescent="0.2">
      <c r="A63" s="262" t="s">
        <v>335</v>
      </c>
      <c r="B63" s="283">
        <v>128.9</v>
      </c>
      <c r="C63" s="267" t="s">
        <v>254</v>
      </c>
      <c r="D63" s="249"/>
      <c r="E63" s="289"/>
      <c r="F63" s="249"/>
      <c r="G63" s="267" t="s">
        <v>90</v>
      </c>
      <c r="H63" s="288">
        <f>0.693/H67</f>
        <v>0.18141361256544503</v>
      </c>
      <c r="I63" s="249" t="s">
        <v>82</v>
      </c>
      <c r="J63" s="249"/>
      <c r="K63" s="289"/>
      <c r="L63" s="249"/>
      <c r="M63" s="249"/>
      <c r="N63" s="289"/>
      <c r="O63" s="249"/>
      <c r="P63" s="249"/>
      <c r="Q63" s="289"/>
      <c r="R63" s="249"/>
      <c r="S63" s="249"/>
      <c r="T63" s="289"/>
      <c r="U63" s="249"/>
      <c r="V63" s="249"/>
      <c r="W63" s="289"/>
      <c r="X63" s="249"/>
      <c r="Y63" s="249"/>
      <c r="Z63" s="289"/>
      <c r="AA63" s="249"/>
      <c r="AB63" s="249"/>
      <c r="AC63" s="289"/>
      <c r="AD63" s="289"/>
      <c r="AE63" s="289"/>
      <c r="AF63" s="289"/>
      <c r="AG63" s="289"/>
      <c r="AH63" s="249"/>
      <c r="AI63" s="249"/>
      <c r="AJ63" s="289"/>
      <c r="AK63" s="249"/>
      <c r="AL63" s="249"/>
      <c r="AM63" s="289"/>
      <c r="AN63" s="249"/>
      <c r="AO63" s="249"/>
      <c r="AP63" s="289"/>
      <c r="AQ63" s="249"/>
      <c r="AR63" s="249"/>
      <c r="AS63" s="289"/>
      <c r="AT63" s="249"/>
      <c r="AU63" s="249"/>
      <c r="AV63" s="289"/>
      <c r="AW63" s="249"/>
      <c r="AX63" s="249"/>
      <c r="AY63" s="289"/>
      <c r="AZ63" s="249"/>
      <c r="BA63" s="249"/>
      <c r="BB63" s="289"/>
      <c r="BC63" s="249"/>
      <c r="BD63" s="249"/>
      <c r="BE63" s="289"/>
      <c r="BF63" s="249"/>
      <c r="BG63" s="249"/>
      <c r="BH63" s="289"/>
      <c r="BI63" s="249"/>
      <c r="BJ63" s="249"/>
      <c r="BK63" s="289"/>
      <c r="BL63" s="249"/>
      <c r="BM63" s="249"/>
      <c r="BN63" s="289"/>
      <c r="BO63" s="249"/>
      <c r="BP63" s="249"/>
      <c r="BQ63" s="289"/>
      <c r="BR63" s="249"/>
      <c r="BS63" s="249"/>
      <c r="BT63" s="289"/>
      <c r="BU63" s="249"/>
      <c r="BV63" s="267"/>
      <c r="BW63" s="293"/>
      <c r="BX63" s="262"/>
      <c r="BY63" s="249"/>
      <c r="BZ63" s="289"/>
      <c r="CA63" s="249"/>
      <c r="CB63" s="249"/>
      <c r="CC63" s="289"/>
      <c r="CD63" s="249"/>
      <c r="CE63" s="249"/>
      <c r="CF63" s="289"/>
      <c r="CG63" s="249"/>
      <c r="CH63" s="249"/>
      <c r="CI63" s="289"/>
      <c r="CJ63" s="249"/>
      <c r="CK63" s="249"/>
      <c r="CL63" s="289"/>
      <c r="CM63" s="249"/>
      <c r="CN63" s="249"/>
      <c r="CO63" s="289"/>
      <c r="CP63" s="249"/>
      <c r="CQ63" s="249"/>
      <c r="CR63" s="289"/>
      <c r="CS63" s="249"/>
      <c r="CT63" s="249"/>
      <c r="CU63" s="289"/>
      <c r="CV63" s="249"/>
      <c r="CW63" s="249"/>
      <c r="CX63" s="289"/>
      <c r="CY63" s="249"/>
      <c r="CZ63" s="267"/>
      <c r="DA63" s="289"/>
      <c r="DB63" s="249"/>
      <c r="DC63" s="249"/>
      <c r="DD63" s="289"/>
      <c r="DE63" s="249"/>
      <c r="DF63" s="249"/>
      <c r="DG63" s="289"/>
      <c r="DH63" s="249"/>
      <c r="DI63" s="249"/>
      <c r="DJ63" s="289"/>
      <c r="DK63" s="249"/>
      <c r="DL63" s="249"/>
      <c r="DM63" s="289"/>
      <c r="DN63" s="249"/>
      <c r="DO63" s="249"/>
      <c r="DP63" s="289"/>
      <c r="DQ63" s="249"/>
      <c r="DR63" s="249"/>
      <c r="DS63" s="289"/>
      <c r="DT63" s="249"/>
      <c r="DU63" s="249"/>
      <c r="DV63" s="289"/>
      <c r="DW63" s="249"/>
      <c r="DX63" s="249"/>
      <c r="DY63" s="289"/>
      <c r="DZ63" s="249"/>
    </row>
    <row r="64" spans="1:130" s="53" customFormat="1" x14ac:dyDescent="0.2">
      <c r="A64" s="262" t="s">
        <v>343</v>
      </c>
      <c r="B64" s="283">
        <v>6</v>
      </c>
      <c r="C64" s="264" t="s">
        <v>69</v>
      </c>
      <c r="D64" s="249"/>
      <c r="E64" s="289"/>
      <c r="F64" s="249"/>
      <c r="G64" s="267" t="s">
        <v>91</v>
      </c>
      <c r="H64" s="289">
        <f>B93</f>
        <v>1</v>
      </c>
      <c r="I64" s="249" t="s">
        <v>47</v>
      </c>
      <c r="J64" s="249"/>
      <c r="K64" s="289"/>
      <c r="L64" s="249"/>
      <c r="M64" s="249"/>
      <c r="N64" s="289"/>
      <c r="O64" s="249"/>
      <c r="P64" s="249"/>
      <c r="Q64" s="289"/>
      <c r="R64" s="249"/>
      <c r="S64" s="249"/>
      <c r="T64" s="289"/>
      <c r="U64" s="249"/>
      <c r="V64" s="249"/>
      <c r="W64" s="289"/>
      <c r="X64" s="249"/>
      <c r="Y64" s="249"/>
      <c r="Z64" s="289"/>
      <c r="AA64" s="249"/>
      <c r="AB64" s="249"/>
      <c r="AC64" s="289"/>
      <c r="AD64" s="289"/>
      <c r="AE64" s="289"/>
      <c r="AF64" s="289"/>
      <c r="AG64" s="289"/>
      <c r="AH64" s="249"/>
      <c r="AI64" s="275"/>
      <c r="AJ64" s="353"/>
      <c r="AK64" s="275"/>
      <c r="AL64" s="249"/>
      <c r="AM64" s="289"/>
      <c r="AN64" s="249"/>
      <c r="AO64" s="249"/>
      <c r="AP64" s="289"/>
      <c r="AQ64" s="249"/>
      <c r="AR64" s="249"/>
      <c r="AS64" s="289"/>
      <c r="AT64" s="249"/>
      <c r="AU64" s="249"/>
      <c r="AV64" s="289"/>
      <c r="AW64" s="249"/>
      <c r="AX64" s="249"/>
      <c r="AY64" s="289"/>
      <c r="AZ64" s="249"/>
      <c r="BA64" s="249"/>
      <c r="BB64" s="289"/>
      <c r="BC64" s="249"/>
      <c r="BD64" s="249"/>
      <c r="BE64" s="289"/>
      <c r="BF64" s="249"/>
      <c r="BG64" s="249"/>
      <c r="BH64" s="289"/>
      <c r="BI64" s="249"/>
      <c r="BJ64" s="249"/>
      <c r="BK64" s="289"/>
      <c r="BL64" s="249"/>
      <c r="BM64" s="249"/>
      <c r="BN64" s="289"/>
      <c r="BO64" s="249"/>
      <c r="BP64" s="249"/>
      <c r="BQ64" s="289"/>
      <c r="BR64" s="249"/>
      <c r="BS64" s="249"/>
      <c r="BT64" s="289"/>
      <c r="BU64" s="249"/>
      <c r="BV64" s="267"/>
      <c r="BW64" s="289"/>
      <c r="BX64" s="249"/>
      <c r="BY64" s="249"/>
      <c r="BZ64" s="289"/>
      <c r="CA64" s="249"/>
      <c r="CB64" s="249"/>
      <c r="CC64" s="289"/>
      <c r="CD64" s="249"/>
      <c r="CE64" s="249"/>
      <c r="CF64" s="289"/>
      <c r="CG64" s="249"/>
      <c r="CH64" s="249"/>
      <c r="CI64" s="289"/>
      <c r="CJ64" s="249"/>
      <c r="CK64" s="249"/>
      <c r="CL64" s="289"/>
      <c r="CM64" s="249"/>
      <c r="CN64" s="249"/>
      <c r="CO64" s="289"/>
      <c r="CP64" s="249"/>
      <c r="CQ64" s="249"/>
      <c r="CR64" s="289"/>
      <c r="CS64" s="249"/>
      <c r="CT64" s="249"/>
      <c r="CU64" s="289"/>
      <c r="CV64" s="249"/>
      <c r="CW64" s="249"/>
      <c r="CX64" s="289"/>
      <c r="CY64" s="249"/>
      <c r="CZ64" s="249"/>
      <c r="DA64" s="289"/>
      <c r="DB64" s="249"/>
      <c r="DC64" s="249"/>
      <c r="DD64" s="289"/>
      <c r="DE64" s="249"/>
      <c r="DF64" s="249"/>
      <c r="DG64" s="289"/>
      <c r="DH64" s="249"/>
      <c r="DI64" s="249"/>
      <c r="DJ64" s="289"/>
      <c r="DK64" s="249"/>
      <c r="DL64" s="249"/>
      <c r="DM64" s="289"/>
      <c r="DN64" s="249"/>
      <c r="DO64" s="249"/>
      <c r="DP64" s="289"/>
      <c r="DQ64" s="249"/>
      <c r="DR64" s="249"/>
      <c r="DS64" s="289"/>
      <c r="DT64" s="249"/>
      <c r="DU64" s="249"/>
      <c r="DV64" s="289"/>
      <c r="DW64" s="249"/>
      <c r="DX64" s="249"/>
      <c r="DY64" s="289"/>
      <c r="DZ64" s="249"/>
    </row>
    <row r="65" spans="1:105" s="53" customFormat="1" x14ac:dyDescent="0.2">
      <c r="A65" s="262" t="s">
        <v>342</v>
      </c>
      <c r="B65" s="283">
        <v>20</v>
      </c>
      <c r="C65" s="264" t="s">
        <v>69</v>
      </c>
      <c r="D65" s="249"/>
      <c r="E65" s="289"/>
      <c r="F65" s="249"/>
      <c r="G65" s="267" t="s">
        <v>92</v>
      </c>
      <c r="H65" s="289">
        <f>B94</f>
        <v>14</v>
      </c>
      <c r="I65" s="249" t="s">
        <v>93</v>
      </c>
      <c r="J65" s="249"/>
      <c r="K65" s="289"/>
      <c r="L65" s="249"/>
      <c r="M65" s="249"/>
      <c r="N65" s="289"/>
      <c r="O65" s="249"/>
      <c r="P65" s="249"/>
      <c r="Q65" s="289"/>
      <c r="R65" s="249"/>
      <c r="S65" s="249"/>
      <c r="T65" s="289"/>
      <c r="U65" s="249"/>
      <c r="V65" s="249"/>
      <c r="W65" s="289"/>
      <c r="X65" s="249"/>
      <c r="Y65" s="249"/>
      <c r="Z65" s="289"/>
      <c r="AA65" s="249"/>
      <c r="AB65" s="249"/>
      <c r="AC65" s="289"/>
      <c r="AD65" s="289"/>
      <c r="AE65" s="289"/>
      <c r="AF65" s="289"/>
      <c r="AG65" s="289"/>
      <c r="AH65" s="249"/>
      <c r="AI65" s="275"/>
      <c r="AJ65" s="353"/>
      <c r="AK65" s="275"/>
      <c r="AL65" s="249"/>
      <c r="AM65" s="289"/>
      <c r="AN65" s="249"/>
      <c r="AO65" s="249"/>
      <c r="AP65" s="289"/>
      <c r="AQ65" s="249"/>
      <c r="AR65" s="249"/>
      <c r="AS65" s="289"/>
      <c r="AT65" s="249"/>
      <c r="AU65" s="249"/>
      <c r="AV65" s="289"/>
      <c r="AW65" s="249"/>
      <c r="AX65" s="249"/>
      <c r="AY65" s="289"/>
      <c r="AZ65" s="249"/>
      <c r="BA65" s="249"/>
      <c r="BB65" s="289"/>
      <c r="BC65" s="249"/>
      <c r="BD65" s="249"/>
      <c r="BE65" s="289"/>
      <c r="BF65" s="249"/>
      <c r="BG65" s="249"/>
      <c r="BH65" s="289"/>
      <c r="BI65" s="249"/>
      <c r="BJ65" s="249"/>
      <c r="BK65" s="289"/>
      <c r="BL65" s="249"/>
      <c r="BM65" s="249"/>
      <c r="BN65" s="289"/>
      <c r="BO65" s="249"/>
      <c r="BP65" s="249"/>
      <c r="BQ65" s="289"/>
      <c r="BR65" s="249"/>
      <c r="BS65" s="249"/>
      <c r="BT65" s="289"/>
      <c r="BU65" s="249"/>
      <c r="BV65" s="267"/>
      <c r="BW65" s="289"/>
      <c r="BX65" s="249"/>
      <c r="BY65" s="249"/>
      <c r="BZ65" s="289"/>
      <c r="CA65" s="249"/>
      <c r="CB65" s="249"/>
      <c r="CC65" s="289"/>
      <c r="CD65" s="249"/>
      <c r="CE65" s="249"/>
      <c r="CF65" s="289"/>
      <c r="CG65" s="249"/>
      <c r="CH65" s="249"/>
      <c r="CI65" s="289"/>
      <c r="CJ65" s="249"/>
      <c r="CK65" s="249"/>
      <c r="CL65" s="289"/>
      <c r="CM65" s="249"/>
      <c r="CN65" s="249"/>
      <c r="CO65" s="289"/>
      <c r="CP65" s="249"/>
      <c r="CQ65" s="249"/>
      <c r="CR65" s="289"/>
      <c r="CS65" s="249"/>
      <c r="CT65" s="249"/>
      <c r="CU65" s="289"/>
      <c r="CV65" s="249"/>
      <c r="CW65" s="249"/>
      <c r="CX65" s="289"/>
      <c r="CY65" s="249"/>
      <c r="CZ65" s="249"/>
      <c r="DA65" s="289"/>
    </row>
    <row r="66" spans="1:105" s="53" customFormat="1" x14ac:dyDescent="0.2">
      <c r="A66" s="262" t="s">
        <v>341</v>
      </c>
      <c r="B66" s="283">
        <v>26</v>
      </c>
      <c r="C66" s="264" t="s">
        <v>69</v>
      </c>
      <c r="D66" s="249"/>
      <c r="E66" s="289"/>
      <c r="F66" s="249"/>
      <c r="G66" s="249" t="s">
        <v>38</v>
      </c>
      <c r="H66" s="287">
        <f>B45</f>
        <v>0</v>
      </c>
      <c r="I66" s="249"/>
      <c r="J66" s="249"/>
      <c r="K66" s="289"/>
      <c r="L66" s="249"/>
      <c r="M66" s="249"/>
      <c r="N66" s="289"/>
      <c r="O66" s="249"/>
      <c r="P66" s="249"/>
      <c r="Q66" s="289"/>
      <c r="R66" s="249"/>
      <c r="S66" s="249"/>
      <c r="T66" s="289"/>
      <c r="U66" s="249"/>
      <c r="V66" s="249"/>
      <c r="W66" s="289"/>
      <c r="X66" s="249"/>
      <c r="Y66" s="249"/>
      <c r="Z66" s="289"/>
      <c r="AA66" s="249"/>
      <c r="AB66" s="249"/>
      <c r="AC66" s="289"/>
      <c r="AD66" s="289"/>
      <c r="AE66" s="289"/>
      <c r="AF66" s="289"/>
      <c r="AG66" s="289"/>
      <c r="AH66" s="249"/>
      <c r="AI66" s="275"/>
      <c r="AJ66" s="353"/>
      <c r="AK66" s="275"/>
      <c r="AL66" s="249"/>
      <c r="AM66" s="289"/>
      <c r="AN66" s="249"/>
      <c r="AO66" s="249"/>
      <c r="AP66" s="289"/>
      <c r="AQ66" s="249"/>
      <c r="AR66" s="249"/>
      <c r="AS66" s="289"/>
      <c r="AT66" s="249"/>
      <c r="AU66" s="249"/>
      <c r="AV66" s="289"/>
      <c r="AW66" s="249"/>
      <c r="AX66" s="249"/>
      <c r="AY66" s="289"/>
      <c r="AZ66" s="249"/>
      <c r="BA66" s="249"/>
      <c r="BB66" s="289"/>
      <c r="BC66" s="249"/>
      <c r="BD66" s="249"/>
      <c r="BE66" s="289"/>
      <c r="BF66" s="249"/>
      <c r="BG66" s="249"/>
      <c r="BH66" s="289"/>
      <c r="BI66" s="249"/>
      <c r="BJ66" s="249"/>
      <c r="BK66" s="289"/>
      <c r="BL66" s="249"/>
      <c r="BM66" s="249"/>
      <c r="BN66" s="289"/>
      <c r="BO66" s="249"/>
      <c r="BP66" s="249"/>
      <c r="BQ66" s="289"/>
      <c r="BR66" s="249"/>
      <c r="BS66" s="249"/>
      <c r="BT66" s="289"/>
      <c r="BU66" s="249"/>
      <c r="BV66" s="267"/>
      <c r="BW66" s="289"/>
      <c r="BX66" s="249"/>
      <c r="BY66" s="249"/>
      <c r="BZ66" s="289"/>
      <c r="CA66" s="249"/>
      <c r="CB66" s="249"/>
      <c r="CC66" s="289"/>
      <c r="CD66" s="249"/>
      <c r="CE66" s="249"/>
      <c r="CF66" s="289"/>
      <c r="CG66" s="249"/>
      <c r="CH66" s="249"/>
      <c r="CI66" s="289"/>
      <c r="CJ66" s="249"/>
      <c r="CK66" s="249"/>
      <c r="CL66" s="289"/>
      <c r="CM66" s="249"/>
      <c r="CN66" s="249"/>
      <c r="CO66" s="289"/>
      <c r="CP66" s="249"/>
      <c r="CQ66" s="249"/>
      <c r="CR66" s="289"/>
      <c r="CS66" s="249"/>
      <c r="CT66" s="249"/>
      <c r="CU66" s="289"/>
      <c r="CV66" s="249"/>
      <c r="CW66" s="249"/>
      <c r="CX66" s="289"/>
      <c r="CY66" s="249"/>
      <c r="CZ66" s="262"/>
      <c r="DA66" s="287"/>
    </row>
    <row r="67" spans="1:105" s="53" customFormat="1" x14ac:dyDescent="0.2">
      <c r="A67" s="262" t="s">
        <v>340</v>
      </c>
      <c r="B67" s="283">
        <v>350</v>
      </c>
      <c r="C67" s="264" t="s">
        <v>26</v>
      </c>
      <c r="D67" s="249"/>
      <c r="E67" s="289"/>
      <c r="F67" s="249"/>
      <c r="G67" s="262" t="s">
        <v>273</v>
      </c>
      <c r="H67" s="287">
        <f>B35</f>
        <v>3.82</v>
      </c>
      <c r="I67" s="249" t="s">
        <v>257</v>
      </c>
      <c r="J67" s="249"/>
      <c r="K67" s="289"/>
      <c r="L67" s="249"/>
      <c r="M67" s="249"/>
      <c r="N67" s="289"/>
      <c r="O67" s="249"/>
      <c r="P67" s="249"/>
      <c r="Q67" s="289"/>
      <c r="R67" s="249"/>
      <c r="S67" s="249"/>
      <c r="T67" s="289"/>
      <c r="U67" s="249"/>
      <c r="V67" s="249"/>
      <c r="W67" s="289"/>
      <c r="X67" s="249"/>
      <c r="Y67" s="249"/>
      <c r="Z67" s="289"/>
      <c r="AA67" s="249"/>
      <c r="AB67" s="249"/>
      <c r="AC67" s="289"/>
      <c r="AD67" s="289"/>
      <c r="AE67" s="289"/>
      <c r="AF67" s="289"/>
      <c r="AG67" s="289"/>
      <c r="AH67" s="249"/>
      <c r="AI67" s="275"/>
      <c r="AJ67" s="353"/>
      <c r="AK67" s="275"/>
      <c r="AL67" s="249"/>
      <c r="AM67" s="289"/>
      <c r="AN67" s="249"/>
      <c r="AO67" s="249"/>
      <c r="AP67" s="289"/>
      <c r="AQ67" s="249"/>
      <c r="AR67" s="249"/>
      <c r="AS67" s="289"/>
      <c r="AT67" s="249"/>
      <c r="AU67" s="249"/>
      <c r="AV67" s="289"/>
      <c r="AW67" s="249"/>
      <c r="AX67" s="249"/>
      <c r="AY67" s="289"/>
      <c r="AZ67" s="249"/>
      <c r="BA67" s="249"/>
      <c r="BB67" s="289"/>
      <c r="BC67" s="249"/>
      <c r="BD67" s="249"/>
      <c r="BE67" s="289"/>
      <c r="BF67" s="249"/>
      <c r="BG67" s="249"/>
      <c r="BH67" s="289"/>
      <c r="BI67" s="249"/>
      <c r="BJ67" s="249"/>
      <c r="BK67" s="289"/>
      <c r="BL67" s="249"/>
      <c r="BM67" s="249"/>
      <c r="BN67" s="289"/>
      <c r="BO67" s="249"/>
      <c r="BP67" s="249"/>
      <c r="BQ67" s="289"/>
      <c r="BR67" s="249"/>
      <c r="BS67" s="249"/>
      <c r="BT67" s="289"/>
      <c r="BU67" s="249"/>
      <c r="BV67" s="267"/>
      <c r="BW67" s="289"/>
      <c r="BX67" s="249"/>
      <c r="BY67" s="249"/>
      <c r="BZ67" s="289"/>
      <c r="CA67" s="249"/>
      <c r="CB67" s="249"/>
      <c r="CC67" s="289"/>
      <c r="CD67" s="249"/>
      <c r="CE67" s="249"/>
      <c r="CF67" s="289"/>
      <c r="CG67" s="249"/>
      <c r="CH67" s="249"/>
      <c r="CI67" s="289"/>
      <c r="CJ67" s="249"/>
      <c r="CK67" s="249"/>
      <c r="CL67" s="289"/>
      <c r="CM67" s="249"/>
      <c r="CN67" s="249"/>
      <c r="CO67" s="289"/>
      <c r="CP67" s="249"/>
      <c r="CQ67" s="249"/>
      <c r="CR67" s="289"/>
      <c r="CS67" s="249"/>
      <c r="CT67" s="249"/>
      <c r="CU67" s="289"/>
      <c r="CV67" s="249"/>
      <c r="CW67" s="249"/>
      <c r="CX67" s="289"/>
      <c r="CY67" s="249"/>
      <c r="CZ67" s="249"/>
      <c r="DA67" s="289"/>
    </row>
    <row r="68" spans="1:105" s="53" customFormat="1" x14ac:dyDescent="0.2">
      <c r="A68" s="262" t="s">
        <v>339</v>
      </c>
      <c r="B68" s="283">
        <v>350</v>
      </c>
      <c r="C68" s="264" t="s">
        <v>26</v>
      </c>
      <c r="D68" s="249"/>
      <c r="E68" s="289"/>
      <c r="F68" s="249"/>
      <c r="G68" s="95" t="s">
        <v>299</v>
      </c>
      <c r="H68" s="345">
        <f>B293</f>
        <v>27.027027027027</v>
      </c>
      <c r="I68" s="249"/>
      <c r="J68" s="249"/>
      <c r="K68" s="289"/>
      <c r="L68" s="249"/>
      <c r="M68" s="249"/>
      <c r="N68" s="289"/>
      <c r="O68" s="249"/>
      <c r="P68" s="249"/>
      <c r="Q68" s="289"/>
      <c r="R68" s="249"/>
      <c r="S68" s="249"/>
      <c r="T68" s="289"/>
      <c r="U68" s="249"/>
      <c r="V68" s="249"/>
      <c r="W68" s="289"/>
      <c r="X68" s="249"/>
      <c r="Y68" s="249"/>
      <c r="Z68" s="289"/>
      <c r="AA68" s="249"/>
      <c r="AB68" s="249"/>
      <c r="AC68" s="289"/>
      <c r="AD68" s="289"/>
      <c r="AE68" s="289"/>
      <c r="AF68" s="289"/>
      <c r="AG68" s="289"/>
      <c r="AH68" s="249"/>
      <c r="AI68" s="275"/>
      <c r="AJ68" s="353"/>
      <c r="AK68" s="275"/>
      <c r="AL68" s="249"/>
      <c r="AM68" s="289"/>
      <c r="AN68" s="249"/>
      <c r="AO68" s="249"/>
      <c r="AP68" s="289"/>
      <c r="AQ68" s="249"/>
      <c r="AR68" s="249"/>
      <c r="AS68" s="289"/>
      <c r="AT68" s="249"/>
      <c r="AU68" s="249"/>
      <c r="AV68" s="289"/>
      <c r="AW68" s="249"/>
      <c r="AX68" s="249"/>
      <c r="AY68" s="289"/>
      <c r="AZ68" s="249"/>
      <c r="BA68" s="249"/>
      <c r="BB68" s="289"/>
      <c r="BC68" s="249"/>
      <c r="BD68" s="249"/>
      <c r="BE68" s="289"/>
      <c r="BF68" s="249"/>
      <c r="BG68" s="249"/>
      <c r="BH68" s="289"/>
      <c r="BI68" s="249"/>
      <c r="BJ68" s="249"/>
      <c r="BK68" s="289"/>
      <c r="BL68" s="249"/>
      <c r="BM68" s="249"/>
      <c r="BN68" s="289"/>
      <c r="BO68" s="249"/>
      <c r="BP68" s="249"/>
      <c r="BQ68" s="289"/>
      <c r="BR68" s="249"/>
      <c r="BS68" s="249"/>
      <c r="BT68" s="289"/>
      <c r="BU68" s="249"/>
      <c r="BV68" s="249"/>
      <c r="BW68" s="289"/>
      <c r="BX68" s="249"/>
      <c r="BY68" s="249"/>
      <c r="BZ68" s="289"/>
      <c r="CA68" s="249"/>
      <c r="CB68" s="249"/>
      <c r="CC68" s="289"/>
      <c r="CD68" s="249"/>
      <c r="CE68" s="249"/>
      <c r="CF68" s="289"/>
      <c r="CG68" s="249"/>
      <c r="CH68" s="249"/>
      <c r="CI68" s="289"/>
      <c r="CJ68" s="249"/>
      <c r="CK68" s="249"/>
      <c r="CL68" s="289"/>
      <c r="CM68" s="249"/>
      <c r="CN68" s="249"/>
      <c r="CO68" s="289"/>
      <c r="CP68" s="249"/>
      <c r="CQ68" s="249"/>
      <c r="CR68" s="289"/>
      <c r="CS68" s="249"/>
      <c r="CT68" s="249"/>
      <c r="CU68" s="289"/>
      <c r="CV68" s="249"/>
      <c r="CW68" s="249"/>
      <c r="CX68" s="289"/>
      <c r="CY68" s="249"/>
      <c r="CZ68" s="249"/>
      <c r="DA68" s="289"/>
    </row>
    <row r="69" spans="1:105" s="53" customFormat="1" x14ac:dyDescent="0.2">
      <c r="A69" s="262" t="s">
        <v>338</v>
      </c>
      <c r="B69" s="283">
        <v>350</v>
      </c>
      <c r="C69" s="264" t="s">
        <v>26</v>
      </c>
      <c r="D69" s="249"/>
      <c r="E69" s="289"/>
      <c r="F69" s="249"/>
      <c r="G69" s="249"/>
      <c r="H69" s="289"/>
      <c r="I69" s="249"/>
      <c r="J69" s="249"/>
      <c r="K69" s="289"/>
      <c r="L69" s="249"/>
      <c r="M69" s="249"/>
      <c r="N69" s="289"/>
      <c r="O69" s="249"/>
      <c r="P69" s="249"/>
      <c r="Q69" s="289"/>
      <c r="R69" s="249"/>
      <c r="S69" s="249"/>
      <c r="T69" s="289"/>
      <c r="U69" s="249"/>
      <c r="V69" s="249"/>
      <c r="W69" s="289"/>
      <c r="X69" s="249"/>
      <c r="Y69" s="249"/>
      <c r="Z69" s="289"/>
      <c r="AA69" s="249"/>
      <c r="AB69" s="249"/>
      <c r="AC69" s="289"/>
      <c r="AD69" s="289"/>
      <c r="AE69" s="289"/>
      <c r="AF69" s="289"/>
      <c r="AG69" s="289"/>
      <c r="AH69" s="249"/>
      <c r="AI69" s="275"/>
      <c r="AJ69" s="353"/>
      <c r="AK69" s="275"/>
      <c r="AL69" s="249"/>
      <c r="AM69" s="289"/>
      <c r="AN69" s="249"/>
      <c r="AO69" s="249"/>
      <c r="AP69" s="289"/>
      <c r="AQ69" s="249"/>
      <c r="AR69" s="249"/>
      <c r="AS69" s="289"/>
      <c r="AT69" s="249"/>
      <c r="AU69" s="249"/>
      <c r="AV69" s="289"/>
      <c r="AW69" s="249"/>
      <c r="AX69" s="249"/>
      <c r="AY69" s="289"/>
      <c r="AZ69" s="249"/>
      <c r="BA69" s="249"/>
      <c r="BB69" s="289"/>
      <c r="BC69" s="249"/>
      <c r="BD69" s="249"/>
      <c r="BE69" s="289"/>
      <c r="BF69" s="249"/>
      <c r="BG69" s="249"/>
      <c r="BH69" s="289"/>
      <c r="BI69" s="249"/>
      <c r="BJ69" s="249"/>
      <c r="BK69" s="289"/>
      <c r="BL69" s="249"/>
      <c r="BM69" s="249"/>
      <c r="BN69" s="289"/>
      <c r="BO69" s="249"/>
      <c r="BP69" s="249"/>
      <c r="BQ69" s="289"/>
      <c r="BR69" s="249"/>
      <c r="BS69" s="249"/>
      <c r="BT69" s="289"/>
      <c r="BU69" s="249"/>
      <c r="BV69" s="262"/>
      <c r="BW69" s="287"/>
      <c r="BX69" s="249"/>
      <c r="BY69" s="249"/>
      <c r="BZ69" s="289"/>
      <c r="CA69" s="249"/>
      <c r="CB69" s="249"/>
      <c r="CC69" s="289"/>
      <c r="CD69" s="249"/>
      <c r="CE69" s="249"/>
      <c r="CF69" s="289"/>
      <c r="CG69" s="249"/>
      <c r="CH69" s="249"/>
      <c r="CI69" s="289"/>
      <c r="CJ69" s="249"/>
      <c r="CK69" s="249"/>
      <c r="CL69" s="289"/>
      <c r="CM69" s="249"/>
      <c r="CN69" s="249"/>
      <c r="CO69" s="289"/>
      <c r="CP69" s="249"/>
      <c r="CQ69" s="249"/>
      <c r="CR69" s="289"/>
      <c r="CS69" s="249"/>
      <c r="CT69" s="249"/>
      <c r="CU69" s="289"/>
      <c r="CV69" s="249"/>
      <c r="CW69" s="249"/>
      <c r="CX69" s="289"/>
      <c r="CY69" s="249"/>
      <c r="CZ69" s="249"/>
      <c r="DA69" s="289"/>
    </row>
    <row r="70" spans="1:105" s="53" customFormat="1" x14ac:dyDescent="0.2">
      <c r="A70" s="249" t="s">
        <v>344</v>
      </c>
      <c r="B70" s="284">
        <v>0.54</v>
      </c>
      <c r="C70" s="92" t="s">
        <v>104</v>
      </c>
      <c r="D70" s="249"/>
      <c r="E70" s="289"/>
      <c r="F70" s="249"/>
      <c r="G70" s="249"/>
      <c r="H70" s="289"/>
      <c r="I70" s="249"/>
      <c r="J70" s="249"/>
      <c r="K70" s="289"/>
      <c r="L70" s="249"/>
      <c r="M70" s="249"/>
      <c r="N70" s="289"/>
      <c r="O70" s="249"/>
      <c r="P70" s="249"/>
      <c r="Q70" s="289"/>
      <c r="R70" s="249"/>
      <c r="S70" s="249"/>
      <c r="T70" s="289"/>
      <c r="U70" s="249"/>
      <c r="V70" s="249"/>
      <c r="W70" s="289"/>
      <c r="X70" s="249"/>
      <c r="Y70" s="249"/>
      <c r="Z70" s="289"/>
      <c r="AA70" s="249"/>
      <c r="AB70" s="249"/>
      <c r="AC70" s="289"/>
      <c r="AD70" s="289"/>
      <c r="AE70" s="289"/>
      <c r="AF70" s="289"/>
      <c r="AG70" s="289"/>
      <c r="AH70" s="249"/>
      <c r="AI70" s="275"/>
      <c r="AJ70" s="353"/>
      <c r="AK70" s="275"/>
      <c r="AL70" s="249"/>
      <c r="AM70" s="289"/>
      <c r="AN70" s="249"/>
      <c r="AO70" s="249"/>
      <c r="AP70" s="289"/>
      <c r="AQ70" s="249"/>
      <c r="AR70" s="249"/>
      <c r="AS70" s="289"/>
      <c r="AT70" s="249"/>
      <c r="AU70" s="249"/>
      <c r="AV70" s="289"/>
      <c r="AW70" s="249"/>
      <c r="AX70" s="249"/>
      <c r="AY70" s="289"/>
      <c r="AZ70" s="249"/>
      <c r="BA70" s="249"/>
      <c r="BB70" s="289"/>
      <c r="BC70" s="249"/>
      <c r="BD70" s="249"/>
      <c r="BE70" s="289"/>
      <c r="BF70" s="249"/>
      <c r="BG70" s="249"/>
      <c r="BH70" s="289"/>
      <c r="BI70" s="249"/>
      <c r="BJ70" s="249"/>
      <c r="BK70" s="289"/>
      <c r="BL70" s="249"/>
      <c r="BM70" s="249"/>
      <c r="BN70" s="289"/>
      <c r="BO70" s="249"/>
      <c r="BP70" s="249"/>
      <c r="BQ70" s="289"/>
      <c r="BR70" s="249"/>
      <c r="BS70" s="249"/>
      <c r="BT70" s="289"/>
      <c r="BU70" s="249"/>
      <c r="BV70" s="262"/>
      <c r="BW70" s="289"/>
      <c r="BX70" s="249"/>
      <c r="BY70" s="249"/>
      <c r="BZ70" s="289"/>
      <c r="CA70" s="249"/>
      <c r="CB70" s="249"/>
      <c r="CC70" s="289"/>
      <c r="CD70" s="249"/>
      <c r="CE70" s="249"/>
      <c r="CF70" s="289"/>
      <c r="CG70" s="249"/>
      <c r="CH70" s="249"/>
      <c r="CI70" s="289"/>
      <c r="CJ70" s="249"/>
      <c r="CK70" s="249"/>
      <c r="CL70" s="289"/>
      <c r="CM70" s="249"/>
      <c r="CN70" s="249"/>
      <c r="CO70" s="289"/>
      <c r="CP70" s="249"/>
      <c r="CQ70" s="249"/>
      <c r="CR70" s="289"/>
      <c r="CS70" s="249"/>
      <c r="CT70" s="249"/>
      <c r="CU70" s="289"/>
      <c r="CV70" s="249"/>
      <c r="CW70" s="249"/>
      <c r="CX70" s="289"/>
      <c r="CY70" s="249"/>
      <c r="CZ70" s="249"/>
      <c r="DA70" s="289"/>
    </row>
    <row r="71" spans="1:105" s="53" customFormat="1" x14ac:dyDescent="0.2">
      <c r="A71" s="249" t="s">
        <v>345</v>
      </c>
      <c r="B71" s="284">
        <v>0.71</v>
      </c>
      <c r="C71" s="92" t="s">
        <v>104</v>
      </c>
      <c r="D71" s="249"/>
      <c r="E71" s="289"/>
      <c r="F71" s="249"/>
      <c r="G71" s="249"/>
      <c r="H71" s="289"/>
      <c r="I71" s="249"/>
      <c r="J71" s="249"/>
      <c r="K71" s="289"/>
      <c r="L71" s="249"/>
      <c r="M71" s="249"/>
      <c r="N71" s="289"/>
      <c r="O71" s="249"/>
      <c r="P71" s="249"/>
      <c r="Q71" s="289"/>
      <c r="R71" s="249"/>
      <c r="S71" s="249"/>
      <c r="T71" s="289"/>
      <c r="U71" s="249"/>
      <c r="V71" s="249"/>
      <c r="W71" s="289"/>
      <c r="X71" s="249"/>
      <c r="Y71" s="249"/>
      <c r="Z71" s="289"/>
      <c r="AA71" s="249"/>
      <c r="AB71" s="249"/>
      <c r="AC71" s="289"/>
      <c r="AD71" s="289"/>
      <c r="AE71" s="289"/>
      <c r="AF71" s="289"/>
      <c r="AG71" s="289"/>
      <c r="AH71" s="249"/>
      <c r="AI71" s="275"/>
      <c r="AJ71" s="353"/>
      <c r="AK71" s="275"/>
      <c r="AL71" s="249"/>
      <c r="AM71" s="289"/>
      <c r="AN71" s="249"/>
      <c r="AO71" s="249"/>
      <c r="AP71" s="289"/>
      <c r="AQ71" s="249"/>
      <c r="AR71" s="249"/>
      <c r="AS71" s="289"/>
      <c r="AT71" s="249"/>
      <c r="AU71" s="249"/>
      <c r="AV71" s="289"/>
      <c r="AW71" s="249"/>
      <c r="AX71" s="249"/>
      <c r="AY71" s="289"/>
      <c r="AZ71" s="249"/>
      <c r="BA71" s="249"/>
      <c r="BB71" s="289"/>
      <c r="BC71" s="249"/>
      <c r="BD71" s="249"/>
      <c r="BE71" s="289"/>
      <c r="BF71" s="249"/>
      <c r="BG71" s="249"/>
      <c r="BH71" s="289"/>
      <c r="BI71" s="249"/>
      <c r="BJ71" s="249"/>
      <c r="BK71" s="289"/>
      <c r="BL71" s="249"/>
      <c r="BM71" s="249"/>
      <c r="BN71" s="289"/>
      <c r="BO71" s="249"/>
      <c r="BP71" s="249"/>
      <c r="BQ71" s="289"/>
      <c r="BR71" s="249"/>
      <c r="BS71" s="249"/>
      <c r="BT71" s="289"/>
      <c r="BU71" s="249"/>
      <c r="BV71" s="262"/>
      <c r="BW71" s="289"/>
      <c r="BX71" s="249"/>
      <c r="BY71" s="249"/>
      <c r="BZ71" s="289"/>
      <c r="CA71" s="249"/>
      <c r="CB71" s="249"/>
      <c r="CC71" s="289"/>
      <c r="CD71" s="249"/>
      <c r="CE71" s="249"/>
      <c r="CF71" s="289"/>
      <c r="CG71" s="249"/>
      <c r="CH71" s="249"/>
      <c r="CI71" s="289"/>
      <c r="CJ71" s="249"/>
      <c r="CK71" s="249"/>
      <c r="CL71" s="289"/>
      <c r="CM71" s="249"/>
      <c r="CN71" s="249"/>
      <c r="CO71" s="289"/>
      <c r="CP71" s="249"/>
      <c r="CQ71" s="249"/>
      <c r="CR71" s="289"/>
      <c r="CS71" s="249"/>
      <c r="CT71" s="249"/>
      <c r="CU71" s="289"/>
      <c r="CV71" s="249"/>
      <c r="CW71" s="249"/>
      <c r="CX71" s="289"/>
      <c r="CY71" s="249"/>
      <c r="CZ71" s="249"/>
      <c r="DA71" s="289"/>
    </row>
    <row r="72" spans="1:105" s="53" customFormat="1" x14ac:dyDescent="0.2">
      <c r="A72" s="262" t="s">
        <v>347</v>
      </c>
      <c r="B72" s="283">
        <v>24</v>
      </c>
      <c r="C72" s="264" t="s">
        <v>224</v>
      </c>
      <c r="D72" s="249"/>
      <c r="E72" s="289"/>
      <c r="F72" s="249"/>
      <c r="G72" s="249"/>
      <c r="H72" s="289"/>
      <c r="I72" s="249"/>
      <c r="J72" s="249"/>
      <c r="K72" s="289"/>
      <c r="L72" s="249"/>
      <c r="M72" s="249"/>
      <c r="N72" s="289"/>
      <c r="O72" s="249"/>
      <c r="P72" s="249"/>
      <c r="Q72" s="289"/>
      <c r="R72" s="249"/>
      <c r="S72" s="249"/>
      <c r="T72" s="289"/>
      <c r="U72" s="249"/>
      <c r="V72" s="249"/>
      <c r="W72" s="289"/>
      <c r="X72" s="249"/>
      <c r="Y72" s="249"/>
      <c r="Z72" s="289"/>
      <c r="AA72" s="249"/>
      <c r="AB72" s="249"/>
      <c r="AC72" s="289"/>
      <c r="AD72" s="289"/>
      <c r="AE72" s="289"/>
      <c r="AF72" s="277"/>
      <c r="AG72" s="353"/>
      <c r="AH72" s="275"/>
      <c r="AI72" s="275"/>
      <c r="AJ72" s="353"/>
      <c r="AK72" s="275"/>
      <c r="AL72" s="249"/>
      <c r="AM72" s="289"/>
      <c r="AN72" s="249"/>
      <c r="AO72" s="249"/>
      <c r="AP72" s="289"/>
      <c r="AQ72" s="249"/>
      <c r="AR72" s="249"/>
      <c r="AS72" s="289"/>
      <c r="AT72" s="249"/>
      <c r="AU72" s="249"/>
      <c r="AV72" s="289"/>
      <c r="AW72" s="249"/>
      <c r="AX72" s="249"/>
      <c r="AY72" s="289"/>
      <c r="AZ72" s="249"/>
      <c r="BA72" s="249"/>
      <c r="BB72" s="289"/>
      <c r="BC72" s="249"/>
      <c r="BD72" s="249"/>
      <c r="BE72" s="289"/>
      <c r="BF72" s="249"/>
      <c r="BG72" s="249"/>
      <c r="BH72" s="289"/>
      <c r="BI72" s="249"/>
      <c r="BJ72" s="249"/>
      <c r="BK72" s="289"/>
      <c r="BL72" s="249"/>
      <c r="BM72" s="249"/>
      <c r="BN72" s="289"/>
      <c r="BO72" s="249"/>
      <c r="BP72" s="249"/>
      <c r="BQ72" s="289"/>
      <c r="BR72" s="249"/>
      <c r="BS72" s="249"/>
      <c r="BT72" s="289"/>
      <c r="BU72" s="249"/>
      <c r="BV72" s="249"/>
      <c r="BW72" s="289"/>
      <c r="BX72" s="249"/>
      <c r="BY72" s="249"/>
      <c r="BZ72" s="289"/>
      <c r="CA72" s="249"/>
      <c r="CB72" s="249"/>
      <c r="CC72" s="289"/>
      <c r="CD72" s="249"/>
      <c r="CE72" s="249"/>
      <c r="CF72" s="289"/>
      <c r="CG72" s="249"/>
      <c r="CH72" s="249"/>
      <c r="CI72" s="289"/>
      <c r="CJ72" s="249"/>
      <c r="CK72" s="249"/>
      <c r="CL72" s="289"/>
      <c r="CM72" s="249"/>
      <c r="CN72" s="249"/>
      <c r="CO72" s="289"/>
      <c r="CP72" s="249"/>
      <c r="CQ72" s="249"/>
      <c r="CR72" s="289"/>
      <c r="CS72" s="249"/>
      <c r="CT72" s="249"/>
      <c r="CU72" s="289"/>
      <c r="CV72" s="249"/>
      <c r="CW72" s="249"/>
      <c r="CX72" s="289"/>
      <c r="CY72" s="249"/>
      <c r="CZ72" s="249"/>
      <c r="DA72" s="289"/>
    </row>
    <row r="73" spans="1:105" s="53" customFormat="1" x14ac:dyDescent="0.2">
      <c r="A73" s="262" t="s">
        <v>348</v>
      </c>
      <c r="B73" s="283">
        <v>24</v>
      </c>
      <c r="C73" s="264" t="s">
        <v>224</v>
      </c>
      <c r="D73" s="249"/>
      <c r="E73" s="289"/>
      <c r="F73" s="249"/>
      <c r="G73" s="249"/>
      <c r="H73" s="289"/>
      <c r="I73" s="249"/>
      <c r="J73" s="249"/>
      <c r="K73" s="289"/>
      <c r="L73" s="249"/>
      <c r="M73" s="249"/>
      <c r="N73" s="289"/>
      <c r="O73" s="249"/>
      <c r="P73" s="249"/>
      <c r="Q73" s="289"/>
      <c r="R73" s="249"/>
      <c r="S73" s="249"/>
      <c r="T73" s="289"/>
      <c r="U73" s="249"/>
      <c r="V73" s="249"/>
      <c r="W73" s="289"/>
      <c r="X73" s="249"/>
      <c r="Y73" s="249"/>
      <c r="Z73" s="289"/>
      <c r="AA73" s="249"/>
      <c r="AB73" s="249"/>
      <c r="AC73" s="289"/>
      <c r="AD73" s="289"/>
      <c r="AE73" s="289"/>
      <c r="AF73" s="277"/>
      <c r="AG73" s="353"/>
      <c r="AH73" s="275"/>
      <c r="AI73" s="275"/>
      <c r="AJ73" s="353"/>
      <c r="AK73" s="275"/>
      <c r="AL73" s="249"/>
      <c r="AM73" s="289"/>
      <c r="AN73" s="249"/>
      <c r="AO73" s="249"/>
      <c r="AP73" s="289"/>
      <c r="AQ73" s="249"/>
      <c r="AR73" s="249"/>
      <c r="AS73" s="289"/>
      <c r="AT73" s="249"/>
      <c r="AU73" s="249"/>
      <c r="AV73" s="289"/>
      <c r="AW73" s="249"/>
      <c r="AX73" s="249"/>
      <c r="AY73" s="289"/>
      <c r="AZ73" s="249"/>
      <c r="BA73" s="249"/>
      <c r="BB73" s="289"/>
      <c r="BC73" s="249"/>
      <c r="BD73" s="249"/>
      <c r="BE73" s="289"/>
      <c r="BF73" s="249"/>
      <c r="BG73" s="249"/>
      <c r="BH73" s="289"/>
      <c r="BI73" s="249"/>
      <c r="BJ73" s="249"/>
      <c r="BK73" s="289"/>
      <c r="BL73" s="249"/>
      <c r="BM73" s="249"/>
      <c r="BN73" s="289"/>
      <c r="BO73" s="249"/>
      <c r="BP73" s="249"/>
      <c r="BQ73" s="289"/>
      <c r="BR73" s="249"/>
      <c r="BS73" s="249"/>
      <c r="BT73" s="289"/>
      <c r="BU73" s="249"/>
      <c r="BV73" s="249"/>
      <c r="BW73" s="289"/>
      <c r="BX73" s="249"/>
      <c r="BY73" s="249"/>
      <c r="BZ73" s="289"/>
      <c r="CA73" s="249"/>
      <c r="CB73" s="249"/>
      <c r="CC73" s="289"/>
      <c r="CD73" s="249"/>
      <c r="CE73" s="249"/>
      <c r="CF73" s="289"/>
      <c r="CG73" s="249"/>
      <c r="CH73" s="249"/>
      <c r="CI73" s="289"/>
      <c r="CJ73" s="249"/>
      <c r="CK73" s="249"/>
      <c r="CL73" s="289"/>
      <c r="CM73" s="249"/>
      <c r="CN73" s="249"/>
      <c r="CO73" s="289"/>
      <c r="CP73" s="249"/>
      <c r="CQ73" s="249"/>
      <c r="CR73" s="289"/>
      <c r="CS73" s="249"/>
      <c r="CT73" s="249"/>
      <c r="CU73" s="289"/>
      <c r="CV73" s="249"/>
      <c r="CW73" s="249"/>
      <c r="CX73" s="289"/>
      <c r="CY73" s="249"/>
      <c r="CZ73" s="249"/>
      <c r="DA73" s="289"/>
    </row>
    <row r="74" spans="1:105" s="53" customFormat="1" x14ac:dyDescent="0.2">
      <c r="A74" s="262" t="s">
        <v>346</v>
      </c>
      <c r="B74" s="283">
        <v>24</v>
      </c>
      <c r="C74" s="264" t="s">
        <v>224</v>
      </c>
      <c r="D74" s="249"/>
      <c r="E74" s="289"/>
      <c r="F74" s="249"/>
      <c r="G74" s="249"/>
      <c r="H74" s="289"/>
      <c r="I74" s="249"/>
      <c r="J74" s="249"/>
      <c r="K74" s="289"/>
      <c r="L74" s="249"/>
      <c r="M74" s="249"/>
      <c r="N74" s="289"/>
      <c r="O74" s="249"/>
      <c r="P74" s="249"/>
      <c r="Q74" s="289"/>
      <c r="R74" s="249"/>
      <c r="S74" s="249"/>
      <c r="T74" s="289"/>
      <c r="U74" s="249"/>
      <c r="V74" s="249"/>
      <c r="W74" s="289"/>
      <c r="X74" s="249"/>
      <c r="Y74" s="249"/>
      <c r="Z74" s="289"/>
      <c r="AA74" s="249"/>
      <c r="AB74" s="249"/>
      <c r="AC74" s="289"/>
      <c r="AD74" s="289"/>
      <c r="AE74" s="289"/>
      <c r="AF74" s="277"/>
      <c r="AG74" s="353"/>
      <c r="AH74" s="275"/>
      <c r="AI74" s="275"/>
      <c r="AJ74" s="353"/>
      <c r="AK74" s="275"/>
      <c r="AL74" s="249"/>
      <c r="AM74" s="289"/>
      <c r="AN74" s="249"/>
      <c r="AO74" s="249"/>
      <c r="AP74" s="289"/>
      <c r="AQ74" s="249"/>
      <c r="AR74" s="249"/>
      <c r="AS74" s="289"/>
      <c r="AT74" s="249"/>
      <c r="AU74" s="249"/>
      <c r="AV74" s="289"/>
      <c r="AW74" s="249"/>
      <c r="AX74" s="249"/>
      <c r="AY74" s="289"/>
      <c r="AZ74" s="249"/>
      <c r="BA74" s="249"/>
      <c r="BB74" s="289"/>
      <c r="BC74" s="249"/>
      <c r="BD74" s="249"/>
      <c r="BE74" s="289"/>
      <c r="BF74" s="249"/>
      <c r="BG74" s="249"/>
      <c r="BH74" s="289"/>
      <c r="BI74" s="249"/>
      <c r="BJ74" s="249"/>
      <c r="BK74" s="289"/>
      <c r="BL74" s="249"/>
      <c r="BM74" s="249"/>
      <c r="BN74" s="289"/>
      <c r="BO74" s="249"/>
      <c r="BP74" s="249"/>
      <c r="BQ74" s="289"/>
      <c r="BR74" s="249"/>
      <c r="BS74" s="249"/>
      <c r="BT74" s="289"/>
      <c r="BU74" s="249"/>
      <c r="BV74" s="249"/>
      <c r="BW74" s="289"/>
      <c r="BX74" s="249"/>
      <c r="BY74" s="249"/>
      <c r="BZ74" s="289"/>
      <c r="CA74" s="249"/>
      <c r="CB74" s="249"/>
      <c r="CC74" s="289"/>
      <c r="CD74" s="249"/>
      <c r="CE74" s="249"/>
      <c r="CF74" s="289"/>
      <c r="CG74" s="249"/>
      <c r="CH74" s="249"/>
      <c r="CI74" s="289"/>
      <c r="CJ74" s="249"/>
      <c r="CK74" s="249"/>
      <c r="CL74" s="289"/>
      <c r="CM74" s="249"/>
      <c r="CN74" s="249"/>
      <c r="CO74" s="289"/>
      <c r="CP74" s="249"/>
      <c r="CQ74" s="249"/>
      <c r="CR74" s="289"/>
      <c r="CS74" s="249"/>
      <c r="CT74" s="249"/>
      <c r="CU74" s="289"/>
      <c r="CV74" s="249"/>
      <c r="CW74" s="249"/>
      <c r="CX74" s="289"/>
      <c r="CY74" s="249"/>
      <c r="CZ74" s="249"/>
      <c r="DA74" s="289"/>
    </row>
    <row r="75" spans="1:105" s="53" customFormat="1" x14ac:dyDescent="0.2">
      <c r="A75" s="249" t="s">
        <v>349</v>
      </c>
      <c r="B75" s="284">
        <v>1</v>
      </c>
      <c r="C75" s="92" t="s">
        <v>98</v>
      </c>
      <c r="D75" s="249"/>
      <c r="E75" s="289"/>
      <c r="F75" s="249"/>
      <c r="G75" s="249"/>
      <c r="H75" s="289"/>
      <c r="I75" s="249"/>
      <c r="J75" s="249"/>
      <c r="K75" s="289"/>
      <c r="L75" s="249"/>
      <c r="M75" s="249"/>
      <c r="N75" s="289"/>
      <c r="O75" s="249"/>
      <c r="P75" s="249"/>
      <c r="Q75" s="289"/>
      <c r="R75" s="249"/>
      <c r="S75" s="249"/>
      <c r="T75" s="289"/>
      <c r="U75" s="249"/>
      <c r="V75" s="249"/>
      <c r="W75" s="289"/>
      <c r="X75" s="249"/>
      <c r="Y75" s="249"/>
      <c r="Z75" s="289"/>
      <c r="AA75" s="249"/>
      <c r="AB75" s="249"/>
      <c r="AC75" s="289"/>
      <c r="AD75" s="289"/>
      <c r="AE75" s="289"/>
      <c r="AF75" s="277"/>
      <c r="AG75" s="353"/>
      <c r="AH75" s="275"/>
      <c r="AI75" s="275"/>
      <c r="AJ75" s="353"/>
      <c r="AK75" s="275"/>
      <c r="AL75" s="249"/>
      <c r="AM75" s="289"/>
      <c r="AN75" s="249"/>
      <c r="AO75" s="249"/>
      <c r="AP75" s="289"/>
      <c r="AQ75" s="249"/>
      <c r="AR75" s="249"/>
      <c r="AS75" s="289"/>
      <c r="AT75" s="249"/>
      <c r="AU75" s="249"/>
      <c r="AV75" s="289"/>
      <c r="AW75" s="249"/>
      <c r="AX75" s="249"/>
      <c r="AY75" s="289"/>
      <c r="AZ75" s="249"/>
      <c r="BA75" s="249"/>
      <c r="BB75" s="289"/>
      <c r="BC75" s="249"/>
      <c r="BD75" s="249"/>
      <c r="BE75" s="289"/>
      <c r="BF75" s="249"/>
      <c r="BG75" s="249"/>
      <c r="BH75" s="289"/>
      <c r="BI75" s="249"/>
      <c r="BJ75" s="249"/>
      <c r="BK75" s="289"/>
      <c r="BL75" s="249"/>
      <c r="BM75" s="249"/>
      <c r="BN75" s="289"/>
      <c r="BO75" s="249"/>
      <c r="BP75" s="249"/>
      <c r="BQ75" s="289"/>
      <c r="BR75" s="249"/>
      <c r="BS75" s="249"/>
      <c r="BT75" s="289"/>
      <c r="BU75" s="249"/>
      <c r="BV75" s="249"/>
      <c r="BW75" s="289"/>
      <c r="BX75" s="249"/>
      <c r="BY75" s="249"/>
      <c r="BZ75" s="289"/>
      <c r="CA75" s="249"/>
      <c r="CB75" s="249"/>
      <c r="CC75" s="289"/>
      <c r="CD75" s="249"/>
      <c r="CE75" s="249"/>
      <c r="CF75" s="289"/>
      <c r="CG75" s="249"/>
      <c r="CH75" s="249"/>
      <c r="CI75" s="289"/>
      <c r="CJ75" s="249"/>
      <c r="CK75" s="249"/>
      <c r="CL75" s="289"/>
      <c r="CM75" s="249"/>
      <c r="CN75" s="249"/>
      <c r="CO75" s="289"/>
      <c r="CP75" s="249"/>
      <c r="CQ75" s="249"/>
      <c r="CR75" s="289"/>
      <c r="CS75" s="249"/>
      <c r="CT75" s="249"/>
      <c r="CU75" s="289"/>
      <c r="CV75" s="249"/>
      <c r="CW75" s="249"/>
      <c r="CX75" s="289"/>
      <c r="CY75" s="249"/>
      <c r="CZ75" s="249"/>
      <c r="DA75" s="289"/>
    </row>
    <row r="76" spans="1:105" s="53" customFormat="1" x14ac:dyDescent="0.2">
      <c r="A76" s="249" t="s">
        <v>350</v>
      </c>
      <c r="B76" s="284">
        <v>1</v>
      </c>
      <c r="C76" s="92" t="s">
        <v>98</v>
      </c>
      <c r="D76" s="249"/>
      <c r="E76" s="289"/>
      <c r="F76" s="249"/>
      <c r="G76" s="249"/>
      <c r="H76" s="289"/>
      <c r="I76" s="249"/>
      <c r="J76" s="249"/>
      <c r="K76" s="289"/>
      <c r="L76" s="249"/>
      <c r="M76" s="249"/>
      <c r="N76" s="289"/>
      <c r="O76" s="249"/>
      <c r="P76" s="249"/>
      <c r="Q76" s="289"/>
      <c r="R76" s="249"/>
      <c r="S76" s="249"/>
      <c r="T76" s="289"/>
      <c r="U76" s="249"/>
      <c r="V76" s="249"/>
      <c r="W76" s="289"/>
      <c r="X76" s="249"/>
      <c r="Y76" s="249"/>
      <c r="Z76" s="289"/>
      <c r="AA76" s="249"/>
      <c r="AB76" s="249"/>
      <c r="AC76" s="289"/>
      <c r="AD76" s="289"/>
      <c r="AE76" s="289"/>
      <c r="AF76" s="277"/>
      <c r="AG76" s="353"/>
      <c r="AH76" s="275"/>
      <c r="AI76" s="275"/>
      <c r="AJ76" s="353"/>
      <c r="AK76" s="275"/>
      <c r="AL76" s="249"/>
      <c r="AM76" s="289"/>
      <c r="AN76" s="249"/>
      <c r="AO76" s="249"/>
      <c r="AP76" s="289"/>
      <c r="AQ76" s="249"/>
      <c r="AR76" s="249"/>
      <c r="AS76" s="289"/>
      <c r="AT76" s="249"/>
      <c r="AU76" s="249"/>
      <c r="AV76" s="289"/>
      <c r="AW76" s="249"/>
      <c r="AX76" s="249"/>
      <c r="AY76" s="289"/>
      <c r="AZ76" s="249"/>
      <c r="BA76" s="249"/>
      <c r="BB76" s="289"/>
      <c r="BC76" s="249"/>
      <c r="BD76" s="249"/>
      <c r="BE76" s="289"/>
      <c r="BF76" s="249"/>
      <c r="BG76" s="249"/>
      <c r="BH76" s="289"/>
      <c r="BI76" s="249"/>
      <c r="BJ76" s="249"/>
      <c r="BK76" s="289"/>
      <c r="BL76" s="249"/>
      <c r="BM76" s="249"/>
      <c r="BN76" s="289"/>
      <c r="BO76" s="249"/>
      <c r="BP76" s="249"/>
      <c r="BQ76" s="289"/>
      <c r="BR76" s="249"/>
      <c r="BS76" s="249"/>
      <c r="BT76" s="289"/>
      <c r="BU76" s="249"/>
      <c r="BV76" s="249"/>
      <c r="BW76" s="289"/>
      <c r="BX76" s="249"/>
      <c r="BY76" s="249"/>
      <c r="BZ76" s="289"/>
      <c r="CA76" s="249"/>
      <c r="CB76" s="249"/>
      <c r="CC76" s="289"/>
      <c r="CD76" s="249"/>
      <c r="CE76" s="249"/>
      <c r="CF76" s="289"/>
      <c r="CG76" s="249"/>
      <c r="CH76" s="249"/>
      <c r="CI76" s="289"/>
      <c r="CJ76" s="249"/>
      <c r="CK76" s="249"/>
      <c r="CL76" s="289"/>
      <c r="CM76" s="249"/>
      <c r="CN76" s="249"/>
      <c r="CO76" s="289"/>
      <c r="CP76" s="249"/>
      <c r="CQ76" s="249"/>
      <c r="CR76" s="289"/>
      <c r="CS76" s="249"/>
      <c r="CT76" s="249"/>
      <c r="CU76" s="289"/>
      <c r="CV76" s="249"/>
      <c r="CW76" s="249"/>
      <c r="CX76" s="289"/>
      <c r="CY76" s="249"/>
      <c r="CZ76" s="249"/>
      <c r="DA76" s="289"/>
    </row>
    <row r="77" spans="1:105" s="53" customFormat="1" x14ac:dyDescent="0.2">
      <c r="A77" s="262" t="s">
        <v>103</v>
      </c>
      <c r="B77" s="283">
        <v>0.4</v>
      </c>
      <c r="C77" s="249"/>
      <c r="D77" s="249"/>
      <c r="E77" s="289"/>
      <c r="F77" s="249"/>
      <c r="G77" s="249"/>
      <c r="H77" s="289"/>
      <c r="I77" s="249"/>
      <c r="J77" s="249"/>
      <c r="K77" s="289"/>
      <c r="L77" s="249"/>
      <c r="M77" s="249"/>
      <c r="N77" s="289"/>
      <c r="O77" s="249"/>
      <c r="P77" s="249"/>
      <c r="Q77" s="289"/>
      <c r="R77" s="249"/>
      <c r="S77" s="249"/>
      <c r="T77" s="289"/>
      <c r="U77" s="249"/>
      <c r="V77" s="249"/>
      <c r="W77" s="289"/>
      <c r="X77" s="249"/>
      <c r="Y77" s="249"/>
      <c r="Z77" s="289"/>
      <c r="AA77" s="249"/>
      <c r="AB77" s="249"/>
      <c r="AC77" s="289"/>
      <c r="AD77" s="289"/>
      <c r="AE77" s="289"/>
      <c r="AF77" s="277"/>
      <c r="AG77" s="353"/>
      <c r="AH77" s="275"/>
      <c r="AI77" s="275"/>
      <c r="AJ77" s="353"/>
      <c r="AK77" s="275"/>
      <c r="AL77" s="249"/>
      <c r="AM77" s="289"/>
      <c r="AN77" s="249"/>
      <c r="AO77" s="249"/>
      <c r="AP77" s="289"/>
      <c r="AQ77" s="249"/>
      <c r="AR77" s="249"/>
      <c r="AS77" s="289"/>
      <c r="AT77" s="249"/>
      <c r="AU77" s="249"/>
      <c r="AV77" s="289"/>
      <c r="AW77" s="249"/>
      <c r="AX77" s="249"/>
      <c r="AY77" s="289"/>
      <c r="AZ77" s="249"/>
      <c r="BA77" s="249"/>
      <c r="BB77" s="289"/>
      <c r="BC77" s="249"/>
      <c r="BD77" s="249"/>
      <c r="BE77" s="289"/>
      <c r="BF77" s="249"/>
      <c r="BG77" s="249"/>
      <c r="BH77" s="289"/>
      <c r="BI77" s="249"/>
      <c r="BJ77" s="249"/>
      <c r="BK77" s="289"/>
      <c r="BL77" s="249"/>
      <c r="BM77" s="249"/>
      <c r="BN77" s="289"/>
      <c r="BO77" s="249"/>
      <c r="BP77" s="249"/>
      <c r="BQ77" s="289"/>
      <c r="BR77" s="249"/>
      <c r="BS77" s="249"/>
      <c r="BT77" s="289"/>
      <c r="BU77" s="249"/>
      <c r="BV77" s="249"/>
      <c r="BW77" s="289"/>
      <c r="BX77" s="249"/>
      <c r="BY77" s="249"/>
      <c r="BZ77" s="289"/>
      <c r="CA77" s="249"/>
      <c r="CB77" s="249"/>
      <c r="CC77" s="289"/>
      <c r="CD77" s="249"/>
      <c r="CE77" s="249"/>
      <c r="CF77" s="289"/>
      <c r="CG77" s="249"/>
      <c r="CH77" s="249"/>
      <c r="CI77" s="289"/>
      <c r="CJ77" s="249"/>
      <c r="CK77" s="249"/>
      <c r="CL77" s="289"/>
      <c r="CM77" s="249"/>
      <c r="CN77" s="249"/>
      <c r="CO77" s="289"/>
      <c r="CP77" s="249"/>
      <c r="CQ77" s="249"/>
      <c r="CR77" s="289"/>
      <c r="CS77" s="249"/>
      <c r="CT77" s="249"/>
      <c r="CU77" s="289"/>
      <c r="CV77" s="249"/>
      <c r="CW77" s="249"/>
      <c r="CX77" s="289"/>
      <c r="CY77" s="249"/>
      <c r="CZ77" s="249"/>
      <c r="DA77" s="289"/>
    </row>
    <row r="78" spans="1:105" s="53" customFormat="1" x14ac:dyDescent="0.2">
      <c r="A78" s="249" t="s">
        <v>353</v>
      </c>
      <c r="B78" s="284">
        <v>1</v>
      </c>
      <c r="C78" s="247"/>
      <c r="D78" s="249"/>
      <c r="E78" s="289"/>
      <c r="F78" s="249"/>
      <c r="G78" s="249"/>
      <c r="H78" s="289"/>
      <c r="I78" s="249"/>
      <c r="J78" s="249"/>
      <c r="K78" s="289"/>
      <c r="L78" s="249"/>
      <c r="M78" s="249"/>
      <c r="N78" s="289"/>
      <c r="O78" s="249"/>
      <c r="P78" s="249"/>
      <c r="Q78" s="289"/>
      <c r="R78" s="249"/>
      <c r="S78" s="249"/>
      <c r="T78" s="289"/>
      <c r="U78" s="249"/>
      <c r="V78" s="249"/>
      <c r="W78" s="289"/>
      <c r="X78" s="249"/>
      <c r="Y78" s="249"/>
      <c r="Z78" s="289"/>
      <c r="AA78" s="249"/>
      <c r="AB78" s="249"/>
      <c r="AC78" s="289"/>
      <c r="AD78" s="289"/>
      <c r="AE78" s="289"/>
      <c r="AF78" s="277"/>
      <c r="AG78" s="353"/>
      <c r="AH78" s="249"/>
      <c r="AI78" s="249"/>
      <c r="AJ78" s="289"/>
      <c r="AK78" s="249"/>
      <c r="AL78" s="249"/>
      <c r="AM78" s="289"/>
      <c r="AN78" s="249"/>
      <c r="AO78" s="249"/>
      <c r="AP78" s="289"/>
      <c r="AQ78" s="249"/>
      <c r="AR78" s="249"/>
      <c r="AS78" s="289"/>
      <c r="AT78" s="249"/>
      <c r="AU78" s="249"/>
      <c r="AV78" s="289"/>
      <c r="AW78" s="249"/>
      <c r="AX78" s="249"/>
      <c r="AY78" s="289"/>
      <c r="AZ78" s="249"/>
      <c r="BA78" s="249"/>
      <c r="BB78" s="289"/>
      <c r="BC78" s="249"/>
      <c r="BD78" s="249"/>
      <c r="BE78" s="289"/>
      <c r="BF78" s="249"/>
      <c r="BG78" s="249"/>
      <c r="BH78" s="289"/>
      <c r="BI78" s="249"/>
      <c r="BJ78" s="249"/>
      <c r="BK78" s="289"/>
      <c r="BL78" s="249"/>
      <c r="BM78" s="249"/>
      <c r="BN78" s="289"/>
      <c r="BO78" s="249"/>
      <c r="BP78" s="249"/>
      <c r="BQ78" s="289"/>
      <c r="BR78" s="249"/>
      <c r="BS78" s="249"/>
      <c r="BT78" s="289"/>
      <c r="BU78" s="249"/>
      <c r="BV78" s="249"/>
      <c r="BW78" s="289"/>
      <c r="BX78" s="249"/>
      <c r="BY78" s="249"/>
      <c r="BZ78" s="289"/>
      <c r="CA78" s="249"/>
      <c r="CB78" s="249"/>
      <c r="CC78" s="289"/>
      <c r="CD78" s="249"/>
      <c r="CE78" s="249"/>
      <c r="CF78" s="289"/>
      <c r="CG78" s="249"/>
      <c r="CH78" s="249"/>
      <c r="CI78" s="289"/>
      <c r="CJ78" s="249"/>
      <c r="CK78" s="249"/>
      <c r="CL78" s="289"/>
      <c r="CM78" s="249"/>
      <c r="CN78" s="249"/>
      <c r="CO78" s="289"/>
      <c r="CP78" s="249"/>
      <c r="CQ78" s="249"/>
      <c r="CR78" s="289"/>
      <c r="CS78" s="249"/>
      <c r="CT78" s="249"/>
      <c r="CU78" s="289"/>
      <c r="CV78" s="249"/>
      <c r="CW78" s="249"/>
      <c r="CX78" s="289"/>
      <c r="CY78" s="249"/>
      <c r="CZ78" s="249"/>
      <c r="DA78" s="289"/>
    </row>
    <row r="79" spans="1:105" s="53" customFormat="1" x14ac:dyDescent="0.2">
      <c r="A79" s="249" t="s">
        <v>158</v>
      </c>
      <c r="B79" s="284">
        <v>0.4</v>
      </c>
      <c r="C79" s="247"/>
      <c r="D79" s="249"/>
      <c r="E79" s="289"/>
      <c r="F79" s="249"/>
      <c r="G79" s="249"/>
      <c r="H79" s="289"/>
      <c r="I79" s="249"/>
      <c r="J79" s="249"/>
      <c r="K79" s="289"/>
      <c r="L79" s="249"/>
      <c r="M79" s="249"/>
      <c r="N79" s="289"/>
      <c r="O79" s="249"/>
      <c r="P79" s="249"/>
      <c r="Q79" s="289"/>
      <c r="R79" s="249"/>
      <c r="S79" s="249"/>
      <c r="T79" s="289"/>
      <c r="U79" s="249"/>
      <c r="V79" s="249"/>
      <c r="W79" s="289"/>
      <c r="X79" s="249"/>
      <c r="Y79" s="249"/>
      <c r="Z79" s="289"/>
      <c r="AA79" s="249"/>
      <c r="AB79" s="249"/>
      <c r="AC79" s="289"/>
      <c r="AD79" s="289"/>
      <c r="AE79" s="289"/>
      <c r="AF79" s="277"/>
      <c r="AG79" s="353"/>
      <c r="AH79" s="275"/>
      <c r="AI79" s="275"/>
      <c r="AJ79" s="353"/>
      <c r="AK79" s="275"/>
      <c r="AL79" s="249"/>
      <c r="AM79" s="289"/>
      <c r="AN79" s="249"/>
      <c r="AO79" s="249"/>
      <c r="AP79" s="289"/>
      <c r="AQ79" s="249"/>
      <c r="AR79" s="249"/>
      <c r="AS79" s="289"/>
      <c r="AT79" s="249"/>
      <c r="AU79" s="249"/>
      <c r="AV79" s="289"/>
      <c r="AW79" s="249"/>
      <c r="AX79" s="249"/>
      <c r="AY79" s="289"/>
      <c r="AZ79" s="249"/>
      <c r="BA79" s="249"/>
      <c r="BB79" s="289"/>
      <c r="BC79" s="249"/>
      <c r="BD79" s="249"/>
      <c r="BE79" s="289"/>
      <c r="BF79" s="249"/>
      <c r="BG79" s="249"/>
      <c r="BH79" s="289"/>
      <c r="BI79" s="249"/>
      <c r="BJ79" s="249"/>
      <c r="BK79" s="289"/>
      <c r="BL79" s="249"/>
      <c r="BM79" s="249"/>
      <c r="BN79" s="289"/>
      <c r="BO79" s="249"/>
      <c r="BP79" s="249"/>
      <c r="BQ79" s="289"/>
      <c r="BR79" s="249"/>
      <c r="BS79" s="249"/>
      <c r="BT79" s="289"/>
      <c r="BU79" s="249"/>
      <c r="BV79" s="249"/>
      <c r="BW79" s="289"/>
      <c r="BX79" s="249"/>
      <c r="BY79" s="249"/>
      <c r="BZ79" s="289"/>
      <c r="CA79" s="249"/>
      <c r="CB79" s="249"/>
      <c r="CC79" s="289"/>
      <c r="CD79" s="249"/>
      <c r="CE79" s="249"/>
      <c r="CF79" s="289"/>
      <c r="CG79" s="249"/>
      <c r="CH79" s="249"/>
      <c r="CI79" s="289"/>
      <c r="CJ79" s="249"/>
      <c r="CK79" s="249"/>
      <c r="CL79" s="289"/>
      <c r="CM79" s="249"/>
      <c r="CN79" s="249"/>
      <c r="CO79" s="289"/>
      <c r="CP79" s="249"/>
      <c r="CQ79" s="249"/>
      <c r="CR79" s="289"/>
      <c r="CS79" s="249"/>
      <c r="CT79" s="249"/>
      <c r="CU79" s="289"/>
      <c r="CV79" s="249"/>
      <c r="CW79" s="249"/>
      <c r="CX79" s="289"/>
      <c r="CY79" s="249"/>
      <c r="CZ79" s="249"/>
      <c r="DA79" s="289"/>
    </row>
    <row r="80" spans="1:105" s="53" customFormat="1" x14ac:dyDescent="0.2">
      <c r="A80" s="249" t="s">
        <v>159</v>
      </c>
      <c r="B80" s="284">
        <v>1</v>
      </c>
      <c r="C80" s="247"/>
      <c r="D80" s="249"/>
      <c r="E80" s="289"/>
      <c r="F80" s="249"/>
      <c r="G80" s="249"/>
      <c r="H80" s="289"/>
      <c r="I80" s="249"/>
      <c r="J80" s="249"/>
      <c r="K80" s="289"/>
      <c r="L80" s="249"/>
      <c r="M80" s="249"/>
      <c r="N80" s="289"/>
      <c r="O80" s="249"/>
      <c r="P80" s="249"/>
      <c r="Q80" s="289"/>
      <c r="R80" s="249"/>
      <c r="S80" s="249"/>
      <c r="T80" s="289"/>
      <c r="U80" s="249"/>
      <c r="V80" s="249"/>
      <c r="W80" s="289"/>
      <c r="X80" s="249"/>
      <c r="Y80" s="249"/>
      <c r="Z80" s="289"/>
      <c r="AA80" s="249"/>
      <c r="AB80" s="249"/>
      <c r="AC80" s="289"/>
      <c r="AD80" s="289"/>
      <c r="AE80" s="289"/>
      <c r="AF80" s="277"/>
      <c r="AG80" s="353"/>
      <c r="AH80" s="275"/>
      <c r="AI80" s="275"/>
      <c r="AJ80" s="353"/>
      <c r="AK80" s="275"/>
      <c r="AL80" s="249"/>
      <c r="AM80" s="289"/>
      <c r="AN80" s="249"/>
      <c r="AO80" s="249"/>
      <c r="AP80" s="289"/>
      <c r="AQ80" s="249"/>
      <c r="AR80" s="249"/>
      <c r="AS80" s="289"/>
      <c r="AT80" s="249"/>
      <c r="AU80" s="249"/>
      <c r="AV80" s="289"/>
      <c r="AW80" s="249"/>
      <c r="AX80" s="249"/>
      <c r="AY80" s="289"/>
      <c r="AZ80" s="249"/>
      <c r="BA80" s="249"/>
      <c r="BB80" s="289"/>
      <c r="BC80" s="249"/>
      <c r="BD80" s="249"/>
      <c r="BE80" s="289"/>
      <c r="BF80" s="249"/>
      <c r="BG80" s="249"/>
      <c r="BH80" s="289"/>
      <c r="BI80" s="249"/>
      <c r="BJ80" s="249"/>
      <c r="BK80" s="289"/>
      <c r="BL80" s="249"/>
      <c r="BM80" s="249"/>
      <c r="BN80" s="289"/>
      <c r="BO80" s="249"/>
      <c r="BP80" s="249"/>
      <c r="BQ80" s="289"/>
      <c r="BR80" s="249"/>
      <c r="BS80" s="249"/>
      <c r="BT80" s="289"/>
      <c r="BU80" s="249"/>
      <c r="BV80" s="249"/>
      <c r="BW80" s="289"/>
      <c r="BX80" s="249"/>
      <c r="BY80" s="249"/>
      <c r="BZ80" s="289"/>
      <c r="CA80" s="249"/>
      <c r="CB80" s="249"/>
      <c r="CC80" s="289"/>
      <c r="CD80" s="249"/>
      <c r="CE80" s="249"/>
      <c r="CF80" s="289"/>
      <c r="CG80" s="249"/>
      <c r="CH80" s="249"/>
      <c r="CI80" s="289"/>
      <c r="CJ80" s="249"/>
      <c r="CK80" s="249"/>
      <c r="CL80" s="289"/>
      <c r="CM80" s="249"/>
      <c r="CN80" s="249"/>
      <c r="CO80" s="289"/>
      <c r="CP80" s="249"/>
      <c r="CQ80" s="249"/>
      <c r="CR80" s="289"/>
      <c r="CS80" s="249"/>
      <c r="CT80" s="249"/>
      <c r="CU80" s="289"/>
      <c r="CV80" s="249"/>
      <c r="CW80" s="249"/>
      <c r="CX80" s="289"/>
      <c r="CY80" s="249"/>
      <c r="CZ80" s="249"/>
      <c r="DA80" s="289"/>
    </row>
    <row r="81" spans="1:37" s="53" customFormat="1" x14ac:dyDescent="0.2">
      <c r="A81" s="249" t="s">
        <v>354</v>
      </c>
      <c r="B81" s="284">
        <v>1</v>
      </c>
      <c r="C81" s="247"/>
      <c r="D81" s="249"/>
      <c r="E81" s="289"/>
      <c r="F81" s="249"/>
      <c r="G81" s="249"/>
      <c r="H81" s="289"/>
      <c r="I81" s="249"/>
      <c r="J81" s="249"/>
      <c r="K81" s="289"/>
      <c r="L81" s="249"/>
      <c r="M81" s="249"/>
      <c r="N81" s="289"/>
      <c r="O81" s="249"/>
      <c r="P81" s="249"/>
      <c r="Q81" s="289"/>
      <c r="R81" s="249"/>
      <c r="S81" s="249"/>
      <c r="T81" s="289"/>
      <c r="U81" s="249"/>
      <c r="V81" s="249"/>
      <c r="W81" s="289"/>
      <c r="X81" s="249"/>
      <c r="Y81" s="249"/>
      <c r="Z81" s="289"/>
      <c r="AA81" s="249"/>
      <c r="AB81" s="249"/>
      <c r="AC81" s="289"/>
      <c r="AD81" s="289"/>
      <c r="AE81" s="289"/>
      <c r="AF81" s="277"/>
      <c r="AG81" s="353"/>
      <c r="AH81" s="275"/>
      <c r="AI81" s="275"/>
      <c r="AJ81" s="353"/>
      <c r="AK81" s="275"/>
    </row>
    <row r="82" spans="1:37" s="53" customFormat="1" x14ac:dyDescent="0.2">
      <c r="A82" s="262" t="s">
        <v>124</v>
      </c>
      <c r="B82" s="284">
        <v>1</v>
      </c>
      <c r="C82" s="263" t="s">
        <v>125</v>
      </c>
      <c r="D82" s="249"/>
      <c r="E82" s="289"/>
      <c r="F82" s="249"/>
      <c r="G82" s="249"/>
      <c r="H82" s="289"/>
      <c r="I82" s="249"/>
      <c r="J82" s="249"/>
      <c r="K82" s="289"/>
      <c r="L82" s="249"/>
      <c r="M82" s="249"/>
      <c r="N82" s="289"/>
      <c r="O82" s="249"/>
      <c r="P82" s="249"/>
      <c r="Q82" s="289"/>
      <c r="R82" s="249"/>
      <c r="S82" s="249"/>
      <c r="T82" s="289"/>
      <c r="U82" s="249"/>
      <c r="V82" s="249"/>
      <c r="W82" s="289"/>
      <c r="X82" s="249"/>
      <c r="Y82" s="249"/>
      <c r="Z82" s="289"/>
      <c r="AA82" s="249"/>
      <c r="AB82" s="249"/>
      <c r="AC82" s="289"/>
      <c r="AD82" s="289"/>
      <c r="AE82" s="289"/>
      <c r="AF82" s="277"/>
      <c r="AG82" s="353"/>
      <c r="AH82" s="275"/>
      <c r="AI82" s="275"/>
      <c r="AJ82" s="353"/>
      <c r="AK82" s="275"/>
    </row>
    <row r="83" spans="1:37" s="53" customFormat="1" x14ac:dyDescent="0.2">
      <c r="A83" s="249" t="s">
        <v>83</v>
      </c>
      <c r="B83" s="284">
        <v>0.5</v>
      </c>
      <c r="C83" s="249" t="s">
        <v>84</v>
      </c>
      <c r="D83" s="249"/>
      <c r="E83" s="289"/>
      <c r="F83" s="249"/>
      <c r="G83" s="249"/>
      <c r="H83" s="289"/>
      <c r="I83" s="249"/>
      <c r="J83" s="249"/>
      <c r="K83" s="289"/>
      <c r="L83" s="249"/>
      <c r="M83" s="249"/>
      <c r="N83" s="289"/>
      <c r="O83" s="249"/>
      <c r="P83" s="249"/>
      <c r="Q83" s="289"/>
      <c r="R83" s="249"/>
      <c r="S83" s="249"/>
      <c r="T83" s="289"/>
      <c r="U83" s="249"/>
      <c r="V83" s="249"/>
      <c r="W83" s="289"/>
      <c r="X83" s="249"/>
      <c r="Y83" s="249"/>
      <c r="Z83" s="289"/>
      <c r="AA83" s="249"/>
      <c r="AB83" s="249"/>
      <c r="AC83" s="289"/>
      <c r="AD83" s="289"/>
      <c r="AE83" s="289"/>
      <c r="AF83" s="277"/>
      <c r="AG83" s="353"/>
      <c r="AH83" s="249"/>
      <c r="AI83" s="249"/>
      <c r="AJ83" s="289"/>
      <c r="AK83" s="249"/>
    </row>
    <row r="84" spans="1:37" s="53" customFormat="1" x14ac:dyDescent="0.2">
      <c r="A84" s="249" t="s">
        <v>355</v>
      </c>
      <c r="B84" s="284">
        <v>0.25</v>
      </c>
      <c r="C84" s="247"/>
      <c r="D84" s="249"/>
      <c r="E84" s="289"/>
      <c r="F84" s="249"/>
      <c r="G84" s="249"/>
      <c r="H84" s="289"/>
      <c r="I84" s="249"/>
      <c r="J84" s="249"/>
      <c r="K84" s="289"/>
      <c r="L84" s="249"/>
      <c r="M84" s="249"/>
      <c r="N84" s="289"/>
      <c r="O84" s="249"/>
      <c r="P84" s="249"/>
      <c r="Q84" s="289"/>
      <c r="R84" s="249"/>
      <c r="S84" s="249"/>
      <c r="T84" s="289"/>
      <c r="U84" s="249"/>
      <c r="V84" s="249"/>
      <c r="W84" s="289"/>
      <c r="X84" s="249"/>
      <c r="Y84" s="249"/>
      <c r="Z84" s="289"/>
      <c r="AA84" s="249"/>
      <c r="AB84" s="249"/>
      <c r="AC84" s="289"/>
      <c r="AD84" s="289"/>
      <c r="AE84" s="289"/>
      <c r="AF84" s="277"/>
      <c r="AG84" s="353"/>
      <c r="AH84" s="275"/>
      <c r="AI84" s="275"/>
      <c r="AJ84" s="353"/>
      <c r="AK84" s="275"/>
    </row>
    <row r="85" spans="1:37" s="53" customFormat="1" x14ac:dyDescent="0.2">
      <c r="A85" s="262" t="s">
        <v>41</v>
      </c>
      <c r="B85" s="284">
        <v>3.62</v>
      </c>
      <c r="C85" s="249" t="s">
        <v>42</v>
      </c>
      <c r="D85" s="249"/>
      <c r="E85" s="289"/>
      <c r="F85" s="249"/>
      <c r="G85" s="249"/>
      <c r="H85" s="289"/>
      <c r="I85" s="249"/>
      <c r="J85" s="249"/>
      <c r="K85" s="289"/>
      <c r="L85" s="249"/>
      <c r="M85" s="249"/>
      <c r="N85" s="289"/>
      <c r="O85" s="249"/>
      <c r="P85" s="249"/>
      <c r="Q85" s="289"/>
      <c r="R85" s="249"/>
      <c r="S85" s="249"/>
      <c r="T85" s="289"/>
      <c r="U85" s="249"/>
      <c r="V85" s="249"/>
      <c r="W85" s="289"/>
      <c r="X85" s="249"/>
      <c r="Y85" s="249"/>
      <c r="Z85" s="289"/>
      <c r="AA85" s="249"/>
      <c r="AB85" s="249"/>
      <c r="AC85" s="289"/>
      <c r="AD85" s="289"/>
      <c r="AE85" s="289"/>
      <c r="AF85" s="277"/>
      <c r="AG85" s="353"/>
      <c r="AH85" s="249"/>
      <c r="AI85" s="249"/>
      <c r="AJ85" s="289"/>
      <c r="AK85" s="249"/>
    </row>
    <row r="86" spans="1:37" s="53" customFormat="1" x14ac:dyDescent="0.2">
      <c r="A86" s="262" t="s">
        <v>46</v>
      </c>
      <c r="B86" s="284">
        <v>0.25</v>
      </c>
      <c r="C86" s="249" t="s">
        <v>47</v>
      </c>
      <c r="D86" s="249"/>
      <c r="E86" s="289"/>
      <c r="F86" s="249"/>
      <c r="G86" s="249"/>
      <c r="H86" s="289"/>
      <c r="I86" s="249"/>
      <c r="J86" s="249"/>
      <c r="K86" s="289"/>
      <c r="L86" s="249"/>
      <c r="M86" s="249"/>
      <c r="N86" s="289"/>
      <c r="O86" s="249"/>
      <c r="P86" s="249"/>
      <c r="Q86" s="289"/>
      <c r="R86" s="249"/>
      <c r="S86" s="249"/>
      <c r="T86" s="289"/>
      <c r="U86" s="249"/>
      <c r="V86" s="249"/>
      <c r="W86" s="289"/>
      <c r="X86" s="249"/>
      <c r="Y86" s="249"/>
      <c r="Z86" s="289"/>
      <c r="AA86" s="249"/>
      <c r="AB86" s="249"/>
      <c r="AC86" s="289"/>
      <c r="AD86" s="289"/>
      <c r="AE86" s="289"/>
      <c r="AF86" s="289"/>
      <c r="AG86" s="289"/>
      <c r="AH86" s="276"/>
      <c r="AI86" s="276"/>
      <c r="AJ86" s="277"/>
      <c r="AK86" s="276"/>
    </row>
    <row r="87" spans="1:37" s="53" customFormat="1" x14ac:dyDescent="0.2">
      <c r="A87" s="267" t="s">
        <v>60</v>
      </c>
      <c r="B87" s="284">
        <v>10950</v>
      </c>
      <c r="C87" s="249" t="s">
        <v>61</v>
      </c>
      <c r="D87" s="249"/>
      <c r="E87" s="289"/>
      <c r="F87" s="249"/>
      <c r="G87" s="249"/>
      <c r="H87" s="289"/>
      <c r="I87" s="249"/>
      <c r="J87" s="249"/>
      <c r="K87" s="289"/>
      <c r="L87" s="249"/>
      <c r="M87" s="249"/>
      <c r="N87" s="289"/>
      <c r="O87" s="249"/>
      <c r="P87" s="249"/>
      <c r="Q87" s="289"/>
      <c r="R87" s="249"/>
      <c r="S87" s="249"/>
      <c r="T87" s="289"/>
      <c r="U87" s="249"/>
      <c r="V87" s="249"/>
      <c r="W87" s="289"/>
      <c r="X87" s="249"/>
      <c r="Y87" s="249"/>
      <c r="Z87" s="289"/>
      <c r="AA87" s="249"/>
      <c r="AB87" s="249"/>
      <c r="AC87" s="289"/>
      <c r="AD87" s="289"/>
      <c r="AE87" s="289"/>
      <c r="AF87" s="289"/>
      <c r="AG87" s="289"/>
      <c r="AH87" s="249"/>
      <c r="AI87" s="249"/>
      <c r="AJ87" s="289"/>
      <c r="AK87" s="249"/>
    </row>
    <row r="88" spans="1:37" s="53" customFormat="1" x14ac:dyDescent="0.2">
      <c r="A88" s="267" t="s">
        <v>65</v>
      </c>
      <c r="B88" s="284">
        <v>240</v>
      </c>
      <c r="C88" s="249" t="s">
        <v>66</v>
      </c>
      <c r="D88" s="249"/>
      <c r="E88" s="289"/>
      <c r="F88" s="249"/>
      <c r="G88" s="249"/>
      <c r="H88" s="289"/>
      <c r="I88" s="249"/>
      <c r="J88" s="249"/>
      <c r="K88" s="289"/>
      <c r="L88" s="249"/>
      <c r="M88" s="249"/>
      <c r="N88" s="289"/>
      <c r="O88" s="249"/>
      <c r="P88" s="249"/>
      <c r="Q88" s="289"/>
      <c r="R88" s="249"/>
      <c r="S88" s="249"/>
      <c r="T88" s="289"/>
      <c r="U88" s="249"/>
      <c r="V88" s="249"/>
      <c r="W88" s="289"/>
      <c r="X88" s="249"/>
      <c r="Y88" s="249"/>
      <c r="Z88" s="289"/>
      <c r="AA88" s="249"/>
      <c r="AB88" s="249"/>
      <c r="AC88" s="289"/>
      <c r="AD88" s="289"/>
      <c r="AE88" s="289"/>
      <c r="AF88" s="289"/>
      <c r="AG88" s="289"/>
      <c r="AH88" s="249"/>
      <c r="AI88" s="249"/>
      <c r="AJ88" s="289"/>
      <c r="AK88" s="249"/>
    </row>
    <row r="89" spans="1:37" s="53" customFormat="1" x14ac:dyDescent="0.2">
      <c r="A89" s="267" t="s">
        <v>76</v>
      </c>
      <c r="B89" s="284">
        <v>0.42</v>
      </c>
      <c r="C89" s="249" t="s">
        <v>47</v>
      </c>
      <c r="D89" s="249"/>
      <c r="E89" s="289"/>
      <c r="F89" s="249"/>
      <c r="G89" s="249"/>
      <c r="H89" s="289"/>
      <c r="I89" s="249"/>
      <c r="J89" s="249"/>
      <c r="K89" s="289"/>
      <c r="L89" s="249"/>
      <c r="M89" s="249"/>
      <c r="N89" s="289"/>
      <c r="O89" s="249"/>
      <c r="P89" s="249"/>
      <c r="Q89" s="289"/>
      <c r="R89" s="249"/>
      <c r="S89" s="249"/>
      <c r="T89" s="289"/>
      <c r="U89" s="249"/>
      <c r="V89" s="249"/>
      <c r="W89" s="289"/>
      <c r="X89" s="249"/>
      <c r="Y89" s="249"/>
      <c r="Z89" s="289"/>
      <c r="AA89" s="249"/>
      <c r="AB89" s="249"/>
      <c r="AC89" s="289"/>
      <c r="AD89" s="289"/>
      <c r="AE89" s="289"/>
      <c r="AF89" s="289"/>
      <c r="AG89" s="289"/>
      <c r="AH89" s="249"/>
      <c r="AI89" s="249"/>
      <c r="AJ89" s="289"/>
      <c r="AK89" s="249"/>
    </row>
    <row r="90" spans="1:37" s="53" customFormat="1" x14ac:dyDescent="0.2">
      <c r="A90" s="267" t="s">
        <v>85</v>
      </c>
      <c r="B90" s="284">
        <v>60</v>
      </c>
      <c r="C90" s="262" t="s">
        <v>61</v>
      </c>
      <c r="D90" s="249"/>
      <c r="E90" s="289"/>
      <c r="F90" s="249"/>
      <c r="G90" s="249"/>
      <c r="H90" s="289"/>
      <c r="I90" s="249"/>
      <c r="J90" s="249"/>
      <c r="K90" s="289"/>
      <c r="L90" s="249"/>
      <c r="M90" s="249"/>
      <c r="N90" s="289"/>
      <c r="O90" s="249"/>
      <c r="P90" s="249"/>
      <c r="Q90" s="289"/>
      <c r="R90" s="249"/>
      <c r="S90" s="249"/>
      <c r="T90" s="289"/>
      <c r="U90" s="249"/>
      <c r="V90" s="249"/>
      <c r="W90" s="289"/>
      <c r="X90" s="249"/>
      <c r="Y90" s="249"/>
      <c r="Z90" s="289"/>
      <c r="AA90" s="249"/>
      <c r="AB90" s="249"/>
      <c r="AC90" s="289"/>
      <c r="AD90" s="289"/>
      <c r="AE90" s="289"/>
      <c r="AF90" s="289"/>
      <c r="AG90" s="289"/>
      <c r="AH90" s="249"/>
      <c r="AI90" s="249"/>
      <c r="AJ90" s="289"/>
      <c r="AK90" s="249"/>
    </row>
    <row r="91" spans="1:37" s="53" customFormat="1" x14ac:dyDescent="0.2">
      <c r="A91" s="267" t="s">
        <v>87</v>
      </c>
      <c r="B91" s="284">
        <v>2</v>
      </c>
      <c r="C91" s="262" t="s">
        <v>66</v>
      </c>
      <c r="D91" s="249"/>
      <c r="E91" s="289"/>
      <c r="F91" s="249"/>
      <c r="G91" s="249"/>
      <c r="H91" s="289"/>
      <c r="I91" s="249"/>
      <c r="J91" s="249"/>
      <c r="K91" s="289"/>
      <c r="L91" s="249"/>
      <c r="M91" s="249"/>
      <c r="N91" s="289"/>
      <c r="O91" s="249"/>
      <c r="P91" s="249"/>
      <c r="Q91" s="289"/>
      <c r="R91" s="249"/>
      <c r="S91" s="249"/>
      <c r="T91" s="289"/>
      <c r="U91" s="249"/>
      <c r="V91" s="249"/>
      <c r="W91" s="289"/>
      <c r="X91" s="249"/>
      <c r="Y91" s="249"/>
      <c r="Z91" s="289"/>
      <c r="AA91" s="249"/>
      <c r="AB91" s="249"/>
      <c r="AC91" s="289"/>
      <c r="AD91" s="289"/>
      <c r="AE91" s="289"/>
      <c r="AF91" s="289"/>
      <c r="AG91" s="289"/>
      <c r="AH91" s="249"/>
      <c r="AI91" s="249"/>
      <c r="AJ91" s="289"/>
      <c r="AK91" s="249"/>
    </row>
    <row r="92" spans="1:37" s="53" customFormat="1" x14ac:dyDescent="0.2">
      <c r="A92" s="267" t="s">
        <v>89</v>
      </c>
      <c r="B92" s="284">
        <v>2.6999999999999999E-5</v>
      </c>
      <c r="C92" s="249" t="s">
        <v>82</v>
      </c>
      <c r="D92" s="249"/>
      <c r="E92" s="289"/>
      <c r="F92" s="249"/>
      <c r="G92" s="249"/>
      <c r="H92" s="289"/>
      <c r="I92" s="249"/>
      <c r="J92" s="249"/>
      <c r="K92" s="289"/>
      <c r="L92" s="249"/>
      <c r="M92" s="249"/>
      <c r="N92" s="289"/>
      <c r="O92" s="249"/>
      <c r="P92" s="249"/>
      <c r="Q92" s="289"/>
      <c r="R92" s="249"/>
      <c r="S92" s="249"/>
      <c r="T92" s="289"/>
      <c r="U92" s="249"/>
      <c r="V92" s="249"/>
      <c r="W92" s="289"/>
      <c r="X92" s="249"/>
      <c r="Y92" s="249"/>
      <c r="Z92" s="289"/>
      <c r="AA92" s="249"/>
      <c r="AB92" s="249"/>
      <c r="AC92" s="289"/>
      <c r="AD92" s="289"/>
      <c r="AE92" s="289"/>
      <c r="AF92" s="289"/>
      <c r="AG92" s="289"/>
      <c r="AH92" s="249"/>
      <c r="AI92" s="249"/>
      <c r="AJ92" s="289"/>
      <c r="AK92" s="249"/>
    </row>
    <row r="93" spans="1:37" s="53" customFormat="1" x14ac:dyDescent="0.2">
      <c r="A93" s="267" t="s">
        <v>91</v>
      </c>
      <c r="B93" s="284">
        <v>1</v>
      </c>
      <c r="C93" s="249" t="s">
        <v>47</v>
      </c>
      <c r="D93" s="249"/>
      <c r="E93" s="289"/>
      <c r="F93" s="249"/>
      <c r="G93" s="249"/>
      <c r="H93" s="289"/>
      <c r="I93" s="249"/>
      <c r="J93" s="249"/>
      <c r="K93" s="289"/>
      <c r="L93" s="249"/>
      <c r="M93" s="249"/>
      <c r="N93" s="289"/>
      <c r="O93" s="249"/>
      <c r="P93" s="249"/>
      <c r="Q93" s="289"/>
      <c r="R93" s="249"/>
      <c r="S93" s="249"/>
      <c r="T93" s="289"/>
      <c r="U93" s="249"/>
      <c r="V93" s="249"/>
      <c r="W93" s="289"/>
      <c r="X93" s="249"/>
      <c r="Y93" s="249"/>
      <c r="Z93" s="289"/>
      <c r="AA93" s="249"/>
      <c r="AB93" s="249"/>
      <c r="AC93" s="289"/>
      <c r="AD93" s="289"/>
      <c r="AE93" s="289"/>
      <c r="AF93" s="289"/>
      <c r="AG93" s="289"/>
      <c r="AH93" s="249"/>
      <c r="AI93" s="249"/>
      <c r="AJ93" s="289"/>
      <c r="AK93" s="249"/>
    </row>
    <row r="94" spans="1:37" s="53" customFormat="1" x14ac:dyDescent="0.2">
      <c r="A94" s="267" t="s">
        <v>92</v>
      </c>
      <c r="B94" s="284">
        <v>14</v>
      </c>
      <c r="C94" s="249" t="s">
        <v>93</v>
      </c>
      <c r="D94" s="249"/>
      <c r="E94" s="289"/>
      <c r="F94" s="249"/>
      <c r="G94" s="249"/>
      <c r="H94" s="289"/>
      <c r="I94" s="249"/>
      <c r="J94" s="249"/>
      <c r="K94" s="289"/>
      <c r="L94" s="249"/>
      <c r="M94" s="249"/>
      <c r="N94" s="289"/>
      <c r="O94" s="249"/>
      <c r="P94" s="249"/>
      <c r="Q94" s="289"/>
      <c r="R94" s="249"/>
      <c r="S94" s="249"/>
      <c r="T94" s="289"/>
      <c r="U94" s="249"/>
      <c r="V94" s="249"/>
      <c r="W94" s="289"/>
      <c r="X94" s="249"/>
      <c r="Y94" s="249"/>
      <c r="Z94" s="289"/>
      <c r="AA94" s="249"/>
      <c r="AB94" s="249"/>
      <c r="AC94" s="289"/>
      <c r="AD94" s="289"/>
      <c r="AE94" s="289"/>
      <c r="AF94" s="289"/>
      <c r="AG94" s="289"/>
      <c r="AH94" s="249"/>
      <c r="AI94" s="249"/>
      <c r="AJ94" s="289"/>
      <c r="AK94" s="249"/>
    </row>
    <row r="95" spans="1:37" s="53" customFormat="1" x14ac:dyDescent="0.2">
      <c r="A95" s="262" t="s">
        <v>356</v>
      </c>
      <c r="B95" s="283">
        <v>1</v>
      </c>
      <c r="C95" s="249"/>
      <c r="D95" s="249"/>
      <c r="E95" s="289"/>
      <c r="F95" s="249"/>
      <c r="G95" s="249"/>
      <c r="H95" s="289"/>
      <c r="I95" s="249"/>
      <c r="J95" s="249"/>
      <c r="K95" s="289"/>
      <c r="L95" s="249"/>
      <c r="M95" s="249"/>
      <c r="N95" s="289"/>
      <c r="O95" s="249"/>
      <c r="P95" s="249"/>
      <c r="Q95" s="289"/>
      <c r="R95" s="249"/>
      <c r="S95" s="249"/>
      <c r="T95" s="289"/>
      <c r="U95" s="249"/>
      <c r="V95" s="249"/>
      <c r="W95" s="289"/>
      <c r="X95" s="249"/>
      <c r="Y95" s="249"/>
      <c r="Z95" s="289"/>
      <c r="AA95" s="249"/>
      <c r="AB95" s="249"/>
      <c r="AC95" s="289"/>
      <c r="AD95" s="289"/>
      <c r="AE95" s="289"/>
      <c r="AF95" s="289"/>
      <c r="AG95" s="289"/>
      <c r="AH95" s="249"/>
      <c r="AI95" s="249"/>
      <c r="AJ95" s="289"/>
      <c r="AK95" s="249"/>
    </row>
    <row r="96" spans="1:37" s="53" customFormat="1" x14ac:dyDescent="0.2">
      <c r="A96" s="262" t="s">
        <v>351</v>
      </c>
      <c r="B96" s="283">
        <v>1.752</v>
      </c>
      <c r="C96" s="264" t="s">
        <v>224</v>
      </c>
      <c r="D96" s="249"/>
      <c r="E96" s="289"/>
      <c r="F96" s="249"/>
      <c r="G96" s="249"/>
      <c r="H96" s="289"/>
      <c r="I96" s="249"/>
      <c r="J96" s="249"/>
      <c r="K96" s="289"/>
      <c r="L96" s="249"/>
      <c r="M96" s="249"/>
      <c r="N96" s="289"/>
      <c r="O96" s="249"/>
      <c r="P96" s="249"/>
      <c r="Q96" s="289"/>
      <c r="R96" s="249"/>
      <c r="S96" s="249"/>
      <c r="T96" s="289"/>
      <c r="U96" s="249"/>
      <c r="V96" s="249"/>
      <c r="W96" s="289"/>
      <c r="X96" s="249"/>
      <c r="Y96" s="249"/>
      <c r="Z96" s="289"/>
      <c r="AA96" s="249"/>
      <c r="AB96" s="249"/>
      <c r="AC96" s="289"/>
      <c r="AD96" s="289"/>
      <c r="AE96" s="289"/>
      <c r="AF96" s="289"/>
      <c r="AG96" s="289"/>
      <c r="AH96" s="249"/>
      <c r="AI96" s="249"/>
      <c r="AJ96" s="289"/>
      <c r="AK96" s="249"/>
    </row>
    <row r="97" spans="1:3" s="53" customFormat="1" x14ac:dyDescent="0.2">
      <c r="A97" s="262" t="s">
        <v>352</v>
      </c>
      <c r="B97" s="283">
        <v>16.416</v>
      </c>
      <c r="C97" s="264" t="s">
        <v>224</v>
      </c>
    </row>
    <row r="98" spans="1:3" s="53" customFormat="1" ht="15" x14ac:dyDescent="0.2">
      <c r="A98" s="517" t="s">
        <v>5</v>
      </c>
      <c r="B98" s="517"/>
      <c r="C98" s="517"/>
    </row>
    <row r="99" spans="1:3" s="53" customFormat="1" x14ac:dyDescent="0.2">
      <c r="A99" s="262" t="s">
        <v>358</v>
      </c>
      <c r="B99" s="284">
        <v>10</v>
      </c>
      <c r="C99" s="267" t="s">
        <v>359</v>
      </c>
    </row>
    <row r="100" spans="1:3" s="53" customFormat="1" x14ac:dyDescent="0.2">
      <c r="A100" s="262" t="s">
        <v>360</v>
      </c>
      <c r="B100" s="284">
        <v>20</v>
      </c>
      <c r="C100" s="267" t="s">
        <v>359</v>
      </c>
    </row>
    <row r="101" spans="1:3" s="53" customFormat="1" x14ac:dyDescent="0.2">
      <c r="A101" s="262" t="s">
        <v>305</v>
      </c>
      <c r="B101" s="283">
        <v>0.05</v>
      </c>
      <c r="C101" s="262" t="s">
        <v>361</v>
      </c>
    </row>
    <row r="102" spans="1:3" s="53" customFormat="1" x14ac:dyDescent="0.2">
      <c r="A102" s="262" t="s">
        <v>306</v>
      </c>
      <c r="B102" s="283">
        <v>0.05</v>
      </c>
      <c r="C102" s="262" t="s">
        <v>361</v>
      </c>
    </row>
    <row r="103" spans="1:3" s="53" customFormat="1" x14ac:dyDescent="0.2">
      <c r="A103" s="262" t="s">
        <v>362</v>
      </c>
      <c r="B103" s="284">
        <v>200</v>
      </c>
      <c r="C103" s="263" t="s">
        <v>54</v>
      </c>
    </row>
    <row r="104" spans="1:3" s="53" customFormat="1" x14ac:dyDescent="0.2">
      <c r="A104" s="262" t="s">
        <v>363</v>
      </c>
      <c r="B104" s="284">
        <v>100</v>
      </c>
      <c r="C104" s="263" t="s">
        <v>54</v>
      </c>
    </row>
    <row r="105" spans="1:3" s="53" customFormat="1" x14ac:dyDescent="0.2">
      <c r="A105" s="249" t="s">
        <v>187</v>
      </c>
      <c r="B105" s="284">
        <v>1</v>
      </c>
      <c r="C105" s="249" t="s">
        <v>254</v>
      </c>
    </row>
    <row r="106" spans="1:3" s="53" customFormat="1" x14ac:dyDescent="0.2">
      <c r="A106" s="249" t="s">
        <v>188</v>
      </c>
      <c r="B106" s="284">
        <v>1</v>
      </c>
      <c r="C106" s="249" t="s">
        <v>254</v>
      </c>
    </row>
    <row r="107" spans="1:3" s="53" customFormat="1" x14ac:dyDescent="0.2">
      <c r="A107" s="94" t="s">
        <v>373</v>
      </c>
      <c r="B107" s="283">
        <v>6</v>
      </c>
      <c r="C107" s="270" t="s">
        <v>69</v>
      </c>
    </row>
    <row r="108" spans="1:3" s="53" customFormat="1" x14ac:dyDescent="0.2">
      <c r="A108" s="94" t="s">
        <v>372</v>
      </c>
      <c r="B108" s="283">
        <f>B109-B107</f>
        <v>20</v>
      </c>
      <c r="C108" s="270" t="s">
        <v>69</v>
      </c>
    </row>
    <row r="109" spans="1:3" s="53" customFormat="1" x14ac:dyDescent="0.2">
      <c r="A109" s="94" t="s">
        <v>59</v>
      </c>
      <c r="B109" s="283">
        <v>26</v>
      </c>
      <c r="C109" s="270" t="s">
        <v>69</v>
      </c>
    </row>
    <row r="110" spans="1:3" s="53" customFormat="1" x14ac:dyDescent="0.2">
      <c r="A110" s="94" t="s">
        <v>371</v>
      </c>
      <c r="B110" s="107">
        <v>75</v>
      </c>
      <c r="C110" s="94" t="s">
        <v>26</v>
      </c>
    </row>
    <row r="111" spans="1:3" s="53" customFormat="1" x14ac:dyDescent="0.2">
      <c r="A111" s="94" t="s">
        <v>370</v>
      </c>
      <c r="B111" s="283">
        <v>75</v>
      </c>
      <c r="C111" s="94" t="s">
        <v>26</v>
      </c>
    </row>
    <row r="112" spans="1:3" s="53" customFormat="1" x14ac:dyDescent="0.2">
      <c r="A112" s="94" t="s">
        <v>157</v>
      </c>
      <c r="B112" s="283">
        <v>75</v>
      </c>
      <c r="C112" s="94" t="s">
        <v>26</v>
      </c>
    </row>
    <row r="113" spans="1:3" s="53" customFormat="1" x14ac:dyDescent="0.2">
      <c r="A113" s="94" t="s">
        <v>105</v>
      </c>
      <c r="B113" s="283">
        <v>1</v>
      </c>
      <c r="C113" s="92" t="s">
        <v>224</v>
      </c>
    </row>
    <row r="114" spans="1:3" s="53" customFormat="1" x14ac:dyDescent="0.2">
      <c r="A114" s="92" t="s">
        <v>368</v>
      </c>
      <c r="B114" s="284">
        <v>1</v>
      </c>
      <c r="C114" s="92" t="s">
        <v>224</v>
      </c>
    </row>
    <row r="115" spans="1:3" s="53" customFormat="1" x14ac:dyDescent="0.2">
      <c r="A115" s="92" t="s">
        <v>369</v>
      </c>
      <c r="B115" s="284">
        <v>1</v>
      </c>
      <c r="C115" s="92" t="s">
        <v>224</v>
      </c>
    </row>
    <row r="116" spans="1:3" s="53" customFormat="1" x14ac:dyDescent="0.2">
      <c r="A116" s="249" t="s">
        <v>366</v>
      </c>
      <c r="B116" s="284">
        <v>1</v>
      </c>
      <c r="C116" s="249" t="s">
        <v>104</v>
      </c>
    </row>
    <row r="117" spans="1:3" s="53" customFormat="1" x14ac:dyDescent="0.2">
      <c r="A117" s="249" t="s">
        <v>367</v>
      </c>
      <c r="B117" s="284">
        <v>1</v>
      </c>
      <c r="C117" s="249" t="s">
        <v>104</v>
      </c>
    </row>
    <row r="118" spans="1:3" s="53" customFormat="1" x14ac:dyDescent="0.2">
      <c r="A118" s="94" t="s">
        <v>364</v>
      </c>
      <c r="B118" s="284">
        <v>1</v>
      </c>
      <c r="C118" s="92" t="s">
        <v>98</v>
      </c>
    </row>
    <row r="119" spans="1:3" s="53" customFormat="1" x14ac:dyDescent="0.2">
      <c r="A119" s="94" t="s">
        <v>365</v>
      </c>
      <c r="B119" s="284">
        <v>1</v>
      </c>
      <c r="C119" s="92" t="s">
        <v>98</v>
      </c>
    </row>
    <row r="120" spans="1:3" s="53" customFormat="1" x14ac:dyDescent="0.2">
      <c r="A120" s="263" t="s">
        <v>192</v>
      </c>
      <c r="B120" s="283">
        <v>1</v>
      </c>
      <c r="C120" s="249" t="s">
        <v>283</v>
      </c>
    </row>
    <row r="121" spans="1:3" s="53" customFormat="1" x14ac:dyDescent="0.2">
      <c r="A121" s="263" t="s">
        <v>189</v>
      </c>
      <c r="B121" s="283">
        <v>1</v>
      </c>
      <c r="C121" s="249" t="s">
        <v>283</v>
      </c>
    </row>
    <row r="122" spans="1:3" s="53" customFormat="1" x14ac:dyDescent="0.2">
      <c r="A122" s="263" t="s">
        <v>190</v>
      </c>
      <c r="B122" s="283">
        <v>1</v>
      </c>
      <c r="C122" s="249" t="s">
        <v>47</v>
      </c>
    </row>
    <row r="123" spans="1:3" s="53" customFormat="1" x14ac:dyDescent="0.2">
      <c r="A123" s="263" t="s">
        <v>191</v>
      </c>
      <c r="B123" s="283">
        <v>1</v>
      </c>
      <c r="C123" s="249" t="s">
        <v>47</v>
      </c>
    </row>
    <row r="124" spans="1:3" s="53" customFormat="1" x14ac:dyDescent="0.2">
      <c r="A124" s="263" t="s">
        <v>199</v>
      </c>
      <c r="B124" s="283">
        <v>1</v>
      </c>
      <c r="C124" s="249" t="s">
        <v>30</v>
      </c>
    </row>
    <row r="125" spans="1:3" s="53" customFormat="1" x14ac:dyDescent="0.2">
      <c r="A125" s="249" t="s">
        <v>193</v>
      </c>
      <c r="B125" s="283">
        <v>1</v>
      </c>
      <c r="C125" s="249" t="s">
        <v>283</v>
      </c>
    </row>
    <row r="126" spans="1:3" s="53" customFormat="1" x14ac:dyDescent="0.2">
      <c r="A126" s="249" t="s">
        <v>196</v>
      </c>
      <c r="B126" s="283">
        <v>1</v>
      </c>
      <c r="C126" s="249" t="s">
        <v>283</v>
      </c>
    </row>
    <row r="127" spans="1:3" s="53" customFormat="1" x14ac:dyDescent="0.2">
      <c r="A127" s="268" t="s">
        <v>197</v>
      </c>
      <c r="B127" s="283">
        <v>1</v>
      </c>
      <c r="C127" s="249" t="s">
        <v>47</v>
      </c>
    </row>
    <row r="128" spans="1:3" s="53" customFormat="1" x14ac:dyDescent="0.2">
      <c r="A128" s="262" t="s">
        <v>198</v>
      </c>
      <c r="B128" s="283">
        <v>1</v>
      </c>
      <c r="C128" s="249" t="s">
        <v>47</v>
      </c>
    </row>
    <row r="129" spans="1:3" s="53" customFormat="1" x14ac:dyDescent="0.2">
      <c r="A129" s="263" t="s">
        <v>200</v>
      </c>
      <c r="B129" s="283">
        <v>1</v>
      </c>
      <c r="C129" s="249" t="s">
        <v>30</v>
      </c>
    </row>
    <row r="130" spans="1:3" s="53" customFormat="1" x14ac:dyDescent="0.2">
      <c r="A130" s="262" t="s">
        <v>255</v>
      </c>
      <c r="B130" s="284">
        <v>1</v>
      </c>
      <c r="C130" s="249"/>
    </row>
    <row r="131" spans="1:3" s="53" customFormat="1" x14ac:dyDescent="0.2">
      <c r="A131" s="249" t="s">
        <v>83</v>
      </c>
      <c r="B131" s="284">
        <v>0.5</v>
      </c>
      <c r="C131" s="249"/>
    </row>
    <row r="132" spans="1:3" s="53" customFormat="1" ht="15" x14ac:dyDescent="0.2">
      <c r="A132" s="518" t="s">
        <v>180</v>
      </c>
      <c r="B132" s="518"/>
      <c r="C132" s="518"/>
    </row>
    <row r="133" spans="1:3" s="53" customFormat="1" x14ac:dyDescent="0.2">
      <c r="A133" s="262" t="s">
        <v>374</v>
      </c>
      <c r="B133" s="283">
        <v>200</v>
      </c>
      <c r="C133" s="263" t="s">
        <v>54</v>
      </c>
    </row>
    <row r="134" spans="1:3" s="53" customFormat="1" x14ac:dyDescent="0.2">
      <c r="A134" s="262" t="s">
        <v>375</v>
      </c>
      <c r="B134" s="283">
        <v>100</v>
      </c>
      <c r="C134" s="263" t="s">
        <v>54</v>
      </c>
    </row>
    <row r="135" spans="1:3" s="53" customFormat="1" x14ac:dyDescent="0.2">
      <c r="A135" s="262" t="s">
        <v>376</v>
      </c>
      <c r="B135" s="283">
        <v>10</v>
      </c>
      <c r="C135" s="267" t="s">
        <v>359</v>
      </c>
    </row>
    <row r="136" spans="1:3" s="53" customFormat="1" x14ac:dyDescent="0.2">
      <c r="A136" s="262" t="s">
        <v>377</v>
      </c>
      <c r="B136" s="283">
        <v>20</v>
      </c>
      <c r="C136" s="267" t="s">
        <v>359</v>
      </c>
    </row>
    <row r="137" spans="1:3" s="53" customFormat="1" x14ac:dyDescent="0.2">
      <c r="A137" s="267" t="s">
        <v>378</v>
      </c>
      <c r="B137" s="284">
        <v>0.78</v>
      </c>
      <c r="C137" s="262" t="s">
        <v>30</v>
      </c>
    </row>
    <row r="138" spans="1:3" s="53" customFormat="1" x14ac:dyDescent="0.2">
      <c r="A138" s="267" t="s">
        <v>379</v>
      </c>
      <c r="B138" s="284">
        <v>2.5</v>
      </c>
      <c r="C138" s="262" t="s">
        <v>30</v>
      </c>
    </row>
    <row r="139" spans="1:3" s="53" customFormat="1" x14ac:dyDescent="0.2">
      <c r="A139" s="262" t="s">
        <v>380</v>
      </c>
      <c r="B139" s="283">
        <v>68.099999999999994</v>
      </c>
      <c r="C139" s="267" t="s">
        <v>254</v>
      </c>
    </row>
    <row r="140" spans="1:3" s="53" customFormat="1" x14ac:dyDescent="0.2">
      <c r="A140" s="262" t="s">
        <v>381</v>
      </c>
      <c r="B140" s="283">
        <v>176.8</v>
      </c>
      <c r="C140" s="267" t="s">
        <v>254</v>
      </c>
    </row>
    <row r="141" spans="1:3" s="53" customFormat="1" x14ac:dyDescent="0.2">
      <c r="A141" s="262" t="s">
        <v>382</v>
      </c>
      <c r="B141" s="283">
        <v>41.7</v>
      </c>
      <c r="C141" s="267" t="s">
        <v>254</v>
      </c>
    </row>
    <row r="142" spans="1:3" s="53" customFormat="1" x14ac:dyDescent="0.2">
      <c r="A142" s="262" t="s">
        <v>383</v>
      </c>
      <c r="B142" s="283">
        <v>125.7</v>
      </c>
      <c r="C142" s="267" t="s">
        <v>254</v>
      </c>
    </row>
    <row r="143" spans="1:3" s="53" customFormat="1" x14ac:dyDescent="0.2">
      <c r="A143" s="262" t="s">
        <v>479</v>
      </c>
      <c r="B143" s="283">
        <v>349.5</v>
      </c>
      <c r="C143" s="267" t="s">
        <v>254</v>
      </c>
    </row>
    <row r="144" spans="1:3" s="53" customFormat="1" x14ac:dyDescent="0.2">
      <c r="A144" s="262" t="s">
        <v>480</v>
      </c>
      <c r="B144" s="283">
        <v>445.6</v>
      </c>
      <c r="C144" s="267" t="s">
        <v>254</v>
      </c>
    </row>
    <row r="145" spans="1:3" s="53" customFormat="1" x14ac:dyDescent="0.2">
      <c r="A145" s="262" t="s">
        <v>481</v>
      </c>
      <c r="B145" s="283">
        <v>40.1</v>
      </c>
      <c r="C145" s="267" t="s">
        <v>254</v>
      </c>
    </row>
    <row r="146" spans="1:3" s="53" customFormat="1" x14ac:dyDescent="0.2">
      <c r="A146" s="262" t="s">
        <v>482</v>
      </c>
      <c r="B146" s="283">
        <v>178</v>
      </c>
      <c r="C146" s="267" t="s">
        <v>254</v>
      </c>
    </row>
    <row r="147" spans="1:3" s="53" customFormat="1" x14ac:dyDescent="0.2">
      <c r="A147" s="262" t="s">
        <v>326</v>
      </c>
      <c r="B147" s="283">
        <v>10.95</v>
      </c>
      <c r="C147" s="262" t="s">
        <v>254</v>
      </c>
    </row>
    <row r="148" spans="1:3" s="53" customFormat="1" x14ac:dyDescent="0.2">
      <c r="A148" s="262" t="s">
        <v>327</v>
      </c>
      <c r="B148" s="283">
        <v>53.4</v>
      </c>
      <c r="C148" s="262" t="s">
        <v>254</v>
      </c>
    </row>
    <row r="149" spans="1:3" s="53" customFormat="1" x14ac:dyDescent="0.2">
      <c r="A149" s="262" t="s">
        <v>483</v>
      </c>
      <c r="B149" s="283">
        <v>32.799999999999997</v>
      </c>
      <c r="C149" s="267" t="s">
        <v>254</v>
      </c>
    </row>
    <row r="150" spans="1:3" s="53" customFormat="1" x14ac:dyDescent="0.2">
      <c r="A150" s="262" t="s">
        <v>484</v>
      </c>
      <c r="B150" s="283">
        <v>155.4</v>
      </c>
      <c r="C150" s="267" t="s">
        <v>254</v>
      </c>
    </row>
    <row r="151" spans="1:3" s="53" customFormat="1" x14ac:dyDescent="0.2">
      <c r="A151" s="262" t="s">
        <v>324</v>
      </c>
      <c r="B151" s="283">
        <v>23.6</v>
      </c>
      <c r="C151" s="262" t="s">
        <v>254</v>
      </c>
    </row>
    <row r="152" spans="1:3" s="53" customFormat="1" x14ac:dyDescent="0.2">
      <c r="A152" s="262" t="s">
        <v>325</v>
      </c>
      <c r="B152" s="283">
        <v>106.6</v>
      </c>
      <c r="C152" s="262" t="s">
        <v>254</v>
      </c>
    </row>
    <row r="153" spans="1:3" s="53" customFormat="1" x14ac:dyDescent="0.2">
      <c r="A153" s="262" t="s">
        <v>328</v>
      </c>
      <c r="B153" s="283">
        <v>18.5</v>
      </c>
      <c r="C153" s="262" t="s">
        <v>254</v>
      </c>
    </row>
    <row r="154" spans="1:3" s="53" customFormat="1" x14ac:dyDescent="0.2">
      <c r="A154" s="262" t="s">
        <v>329</v>
      </c>
      <c r="B154" s="283">
        <v>97.9</v>
      </c>
      <c r="C154" s="262" t="s">
        <v>254</v>
      </c>
    </row>
    <row r="155" spans="1:3" s="53" customFormat="1" x14ac:dyDescent="0.2">
      <c r="A155" s="262" t="s">
        <v>384</v>
      </c>
      <c r="B155" s="284">
        <v>6</v>
      </c>
      <c r="C155" s="93" t="s">
        <v>69</v>
      </c>
    </row>
    <row r="156" spans="1:3" s="53" customFormat="1" x14ac:dyDescent="0.2">
      <c r="A156" s="262" t="s">
        <v>385</v>
      </c>
      <c r="B156" s="284">
        <v>34</v>
      </c>
      <c r="C156" s="93" t="s">
        <v>69</v>
      </c>
    </row>
    <row r="157" spans="1:3" s="53" customFormat="1" x14ac:dyDescent="0.2">
      <c r="A157" s="262" t="s">
        <v>386</v>
      </c>
      <c r="B157" s="284">
        <v>40</v>
      </c>
      <c r="C157" s="93" t="s">
        <v>69</v>
      </c>
    </row>
    <row r="158" spans="1:3" s="53" customFormat="1" x14ac:dyDescent="0.2">
      <c r="A158" s="262" t="s">
        <v>387</v>
      </c>
      <c r="B158" s="284">
        <v>350</v>
      </c>
      <c r="C158" s="262" t="s">
        <v>26</v>
      </c>
    </row>
    <row r="159" spans="1:3" s="53" customFormat="1" x14ac:dyDescent="0.2">
      <c r="A159" s="262" t="s">
        <v>388</v>
      </c>
      <c r="B159" s="284">
        <v>350</v>
      </c>
      <c r="C159" s="262" t="s">
        <v>26</v>
      </c>
    </row>
    <row r="160" spans="1:3" s="53" customFormat="1" x14ac:dyDescent="0.2">
      <c r="A160" s="262" t="s">
        <v>389</v>
      </c>
      <c r="B160" s="283">
        <v>24</v>
      </c>
      <c r="C160" s="263" t="s">
        <v>224</v>
      </c>
    </row>
    <row r="161" spans="1:3" s="53" customFormat="1" x14ac:dyDescent="0.2">
      <c r="A161" s="262" t="s">
        <v>390</v>
      </c>
      <c r="B161" s="283">
        <v>24</v>
      </c>
      <c r="C161" s="263" t="s">
        <v>224</v>
      </c>
    </row>
    <row r="162" spans="1:3" s="53" customFormat="1" x14ac:dyDescent="0.2">
      <c r="A162" s="262" t="s">
        <v>396</v>
      </c>
      <c r="B162" s="283">
        <v>24</v>
      </c>
      <c r="C162" s="263" t="s">
        <v>224</v>
      </c>
    </row>
    <row r="163" spans="1:3" s="53" customFormat="1" x14ac:dyDescent="0.2">
      <c r="A163" s="249" t="s">
        <v>393</v>
      </c>
      <c r="B163" s="283">
        <v>0.54</v>
      </c>
      <c r="C163" s="267" t="s">
        <v>395</v>
      </c>
    </row>
    <row r="164" spans="1:3" s="53" customFormat="1" x14ac:dyDescent="0.2">
      <c r="A164" s="249" t="s">
        <v>394</v>
      </c>
      <c r="B164" s="283">
        <v>0.71</v>
      </c>
      <c r="C164" s="267" t="s">
        <v>395</v>
      </c>
    </row>
    <row r="165" spans="1:3" s="53" customFormat="1" x14ac:dyDescent="0.2">
      <c r="A165" s="262" t="s">
        <v>391</v>
      </c>
      <c r="B165" s="283">
        <v>12.167999999999999</v>
      </c>
      <c r="C165" s="263" t="s">
        <v>224</v>
      </c>
    </row>
    <row r="166" spans="1:3" s="53" customFormat="1" x14ac:dyDescent="0.2">
      <c r="A166" s="262" t="s">
        <v>392</v>
      </c>
      <c r="B166" s="283">
        <v>10.007999999999999</v>
      </c>
      <c r="C166" s="263" t="s">
        <v>224</v>
      </c>
    </row>
    <row r="167" spans="1:3" s="53" customFormat="1" x14ac:dyDescent="0.2">
      <c r="A167" s="262" t="s">
        <v>397</v>
      </c>
      <c r="B167" s="283">
        <v>1</v>
      </c>
      <c r="C167" s="267" t="s">
        <v>166</v>
      </c>
    </row>
    <row r="168" spans="1:3" s="53" customFormat="1" x14ac:dyDescent="0.2">
      <c r="A168" s="262" t="s">
        <v>398</v>
      </c>
      <c r="B168" s="283">
        <v>1</v>
      </c>
      <c r="C168" s="267" t="s">
        <v>166</v>
      </c>
    </row>
    <row r="169" spans="1:3" s="53" customFormat="1" x14ac:dyDescent="0.2">
      <c r="A169" s="262" t="s">
        <v>103</v>
      </c>
      <c r="B169" s="283">
        <v>0.4</v>
      </c>
      <c r="C169" s="247"/>
    </row>
    <row r="170" spans="1:3" s="53" customFormat="1" x14ac:dyDescent="0.2">
      <c r="A170" s="262" t="s">
        <v>158</v>
      </c>
      <c r="B170" s="283">
        <v>0.4</v>
      </c>
      <c r="C170" s="247"/>
    </row>
    <row r="171" spans="1:3" s="53" customFormat="1" x14ac:dyDescent="0.2">
      <c r="A171" s="262" t="s">
        <v>159</v>
      </c>
      <c r="B171" s="283">
        <v>1</v>
      </c>
      <c r="C171" s="247"/>
    </row>
    <row r="172" spans="1:3" s="53" customFormat="1" x14ac:dyDescent="0.2">
      <c r="A172" s="262" t="s">
        <v>62</v>
      </c>
      <c r="B172" s="283">
        <v>1</v>
      </c>
      <c r="C172" s="247"/>
    </row>
    <row r="173" spans="1:3" s="53" customFormat="1" x14ac:dyDescent="0.2">
      <c r="A173" s="262" t="s">
        <v>255</v>
      </c>
      <c r="B173" s="284">
        <v>1</v>
      </c>
      <c r="C173" s="247"/>
    </row>
    <row r="174" spans="1:3" s="53" customFormat="1" x14ac:dyDescent="0.2">
      <c r="A174" s="267" t="s">
        <v>399</v>
      </c>
      <c r="B174" s="283">
        <v>1</v>
      </c>
      <c r="C174" s="247"/>
    </row>
    <row r="175" spans="1:3" s="53" customFormat="1" x14ac:dyDescent="0.2">
      <c r="A175" s="267" t="s">
        <v>400</v>
      </c>
      <c r="B175" s="283">
        <v>1</v>
      </c>
      <c r="C175" s="247"/>
    </row>
    <row r="176" spans="1:3" s="53" customFormat="1" x14ac:dyDescent="0.2">
      <c r="A176" s="267" t="s">
        <v>401</v>
      </c>
      <c r="B176" s="283">
        <v>1</v>
      </c>
      <c r="C176" s="247"/>
    </row>
    <row r="177" spans="1:3" s="53" customFormat="1" x14ac:dyDescent="0.2">
      <c r="A177" s="267" t="s">
        <v>402</v>
      </c>
      <c r="B177" s="283">
        <v>1</v>
      </c>
      <c r="C177" s="247"/>
    </row>
    <row r="178" spans="1:3" s="53" customFormat="1" x14ac:dyDescent="0.2">
      <c r="A178" s="267" t="s">
        <v>403</v>
      </c>
      <c r="B178" s="283">
        <v>1</v>
      </c>
      <c r="C178" s="247"/>
    </row>
    <row r="179" spans="1:3" s="53" customFormat="1" x14ac:dyDescent="0.2">
      <c r="A179" s="267" t="s">
        <v>404</v>
      </c>
      <c r="B179" s="283">
        <v>1</v>
      </c>
      <c r="C179" s="247"/>
    </row>
    <row r="180" spans="1:3" s="53" customFormat="1" x14ac:dyDescent="0.2">
      <c r="A180" s="267" t="s">
        <v>405</v>
      </c>
      <c r="B180" s="284">
        <v>1</v>
      </c>
      <c r="C180" s="247"/>
    </row>
    <row r="181" spans="1:3" s="53" customFormat="1" x14ac:dyDescent="0.2">
      <c r="A181" s="262" t="s">
        <v>41</v>
      </c>
      <c r="B181" s="284">
        <v>3.62</v>
      </c>
      <c r="C181" s="249" t="s">
        <v>42</v>
      </c>
    </row>
    <row r="182" spans="1:3" s="53" customFormat="1" x14ac:dyDescent="0.2">
      <c r="A182" s="262" t="s">
        <v>46</v>
      </c>
      <c r="B182" s="284">
        <v>0.25</v>
      </c>
      <c r="C182" s="249" t="s">
        <v>47</v>
      </c>
    </row>
    <row r="183" spans="1:3" s="53" customFormat="1" x14ac:dyDescent="0.2">
      <c r="A183" s="267" t="s">
        <v>60</v>
      </c>
      <c r="B183" s="284">
        <v>10950</v>
      </c>
      <c r="C183" s="249" t="s">
        <v>61</v>
      </c>
    </row>
    <row r="184" spans="1:3" s="53" customFormat="1" x14ac:dyDescent="0.2">
      <c r="A184" s="267" t="s">
        <v>65</v>
      </c>
      <c r="B184" s="284">
        <v>240</v>
      </c>
      <c r="C184" s="249" t="s">
        <v>66</v>
      </c>
    </row>
    <row r="185" spans="1:3" s="53" customFormat="1" x14ac:dyDescent="0.2">
      <c r="A185" s="267" t="s">
        <v>76</v>
      </c>
      <c r="B185" s="284">
        <v>0.42</v>
      </c>
      <c r="C185" s="249" t="s">
        <v>47</v>
      </c>
    </row>
    <row r="186" spans="1:3" s="53" customFormat="1" x14ac:dyDescent="0.2">
      <c r="A186" s="267" t="s">
        <v>85</v>
      </c>
      <c r="B186" s="284">
        <v>60</v>
      </c>
      <c r="C186" s="262" t="s">
        <v>61</v>
      </c>
    </row>
    <row r="187" spans="1:3" s="53" customFormat="1" x14ac:dyDescent="0.2">
      <c r="A187" s="267" t="s">
        <v>87</v>
      </c>
      <c r="B187" s="284">
        <v>2</v>
      </c>
      <c r="C187" s="262" t="s">
        <v>66</v>
      </c>
    </row>
    <row r="188" spans="1:3" s="53" customFormat="1" x14ac:dyDescent="0.2">
      <c r="A188" s="267" t="s">
        <v>89</v>
      </c>
      <c r="B188" s="284">
        <v>2.6999999999999999E-5</v>
      </c>
      <c r="C188" s="249" t="s">
        <v>82</v>
      </c>
    </row>
    <row r="189" spans="1:3" s="53" customFormat="1" x14ac:dyDescent="0.2">
      <c r="A189" s="267" t="s">
        <v>91</v>
      </c>
      <c r="B189" s="284">
        <v>1</v>
      </c>
      <c r="C189" s="249" t="s">
        <v>47</v>
      </c>
    </row>
    <row r="190" spans="1:3" s="53" customFormat="1" x14ac:dyDescent="0.2">
      <c r="A190" s="267" t="s">
        <v>92</v>
      </c>
      <c r="B190" s="284">
        <v>14</v>
      </c>
      <c r="C190" s="249" t="s">
        <v>93</v>
      </c>
    </row>
    <row r="191" spans="1:3" s="53" customFormat="1" x14ac:dyDescent="0.2">
      <c r="A191" s="262" t="s">
        <v>29</v>
      </c>
      <c r="B191" s="284">
        <v>92</v>
      </c>
      <c r="C191" s="262" t="s">
        <v>30</v>
      </c>
    </row>
    <row r="192" spans="1:3" s="53" customFormat="1" x14ac:dyDescent="0.2">
      <c r="A192" s="249" t="s">
        <v>287</v>
      </c>
      <c r="B192" s="283">
        <v>1.03</v>
      </c>
      <c r="C192" s="249" t="s">
        <v>288</v>
      </c>
    </row>
    <row r="193" spans="1:3" s="53" customFormat="1" x14ac:dyDescent="0.2">
      <c r="A193" s="262" t="s">
        <v>406</v>
      </c>
      <c r="B193" s="284">
        <v>20.3</v>
      </c>
      <c r="C193" s="249" t="s">
        <v>283</v>
      </c>
    </row>
    <row r="194" spans="1:3" s="53" customFormat="1" x14ac:dyDescent="0.2">
      <c r="A194" s="262" t="s">
        <v>407</v>
      </c>
      <c r="B194" s="284">
        <v>0.4</v>
      </c>
      <c r="C194" s="249" t="s">
        <v>283</v>
      </c>
    </row>
    <row r="195" spans="1:3" s="53" customFormat="1" x14ac:dyDescent="0.2">
      <c r="A195" s="262" t="s">
        <v>408</v>
      </c>
      <c r="B195" s="284">
        <v>1</v>
      </c>
      <c r="C195" s="247"/>
    </row>
    <row r="196" spans="1:3" s="53" customFormat="1" x14ac:dyDescent="0.2">
      <c r="A196" s="262" t="s">
        <v>409</v>
      </c>
      <c r="B196" s="284">
        <v>1</v>
      </c>
      <c r="C196" s="247"/>
    </row>
    <row r="197" spans="1:3" s="53" customFormat="1" x14ac:dyDescent="0.2">
      <c r="A197" s="262" t="s">
        <v>31</v>
      </c>
      <c r="B197" s="284">
        <v>53</v>
      </c>
      <c r="C197" s="262" t="s">
        <v>30</v>
      </c>
    </row>
    <row r="198" spans="1:3" s="53" customFormat="1" x14ac:dyDescent="0.2">
      <c r="A198" s="262" t="s">
        <v>410</v>
      </c>
      <c r="B198" s="284">
        <v>11.77</v>
      </c>
      <c r="C198" s="249" t="s">
        <v>283</v>
      </c>
    </row>
    <row r="199" spans="1:3" s="53" customFormat="1" x14ac:dyDescent="0.2">
      <c r="A199" s="262" t="s">
        <v>411</v>
      </c>
      <c r="B199" s="284">
        <v>0.5</v>
      </c>
      <c r="C199" s="249" t="s">
        <v>283</v>
      </c>
    </row>
    <row r="200" spans="1:3" s="53" customFormat="1" x14ac:dyDescent="0.2">
      <c r="A200" s="262" t="s">
        <v>412</v>
      </c>
      <c r="B200" s="284">
        <v>1</v>
      </c>
      <c r="C200" s="247"/>
    </row>
    <row r="201" spans="1:3" s="53" customFormat="1" x14ac:dyDescent="0.2">
      <c r="A201" s="262" t="s">
        <v>413</v>
      </c>
      <c r="B201" s="284">
        <v>1</v>
      </c>
      <c r="C201" s="247"/>
    </row>
    <row r="202" spans="1:3" s="53" customFormat="1" x14ac:dyDescent="0.2">
      <c r="A202" s="262" t="s">
        <v>173</v>
      </c>
      <c r="B202" s="283">
        <v>0.4</v>
      </c>
      <c r="C202" s="262" t="s">
        <v>30</v>
      </c>
    </row>
    <row r="203" spans="1:3" s="53" customFormat="1" x14ac:dyDescent="0.2">
      <c r="A203" s="262" t="s">
        <v>177</v>
      </c>
      <c r="B203" s="284">
        <v>0.2</v>
      </c>
      <c r="C203" s="249" t="s">
        <v>283</v>
      </c>
    </row>
    <row r="204" spans="1:3" s="53" customFormat="1" x14ac:dyDescent="0.2">
      <c r="A204" s="262" t="s">
        <v>176</v>
      </c>
      <c r="B204" s="284">
        <v>2.1999999999999999E-2</v>
      </c>
      <c r="C204" s="249" t="s">
        <v>283</v>
      </c>
    </row>
    <row r="205" spans="1:3" s="53" customFormat="1" x14ac:dyDescent="0.2">
      <c r="A205" s="262" t="s">
        <v>178</v>
      </c>
      <c r="B205" s="283">
        <v>1</v>
      </c>
      <c r="C205" s="247"/>
    </row>
    <row r="206" spans="1:3" s="53" customFormat="1" x14ac:dyDescent="0.2">
      <c r="A206" s="262" t="s">
        <v>179</v>
      </c>
      <c r="B206" s="283">
        <v>1</v>
      </c>
      <c r="C206" s="247"/>
    </row>
    <row r="207" spans="1:3" s="53" customFormat="1" x14ac:dyDescent="0.2">
      <c r="A207" s="262" t="s">
        <v>414</v>
      </c>
      <c r="B207" s="283">
        <v>0.4</v>
      </c>
      <c r="C207" s="262" t="s">
        <v>30</v>
      </c>
    </row>
    <row r="208" spans="1:3" s="53" customFormat="1" x14ac:dyDescent="0.2">
      <c r="A208" s="262" t="s">
        <v>415</v>
      </c>
      <c r="B208" s="284">
        <v>0.2</v>
      </c>
      <c r="C208" s="249" t="s">
        <v>283</v>
      </c>
    </row>
    <row r="209" spans="1:3" s="53" customFormat="1" x14ac:dyDescent="0.2">
      <c r="A209" s="262" t="s">
        <v>416</v>
      </c>
      <c r="B209" s="284">
        <v>2.1999999999999999E-2</v>
      </c>
      <c r="C209" s="249" t="s">
        <v>283</v>
      </c>
    </row>
    <row r="210" spans="1:3" s="53" customFormat="1" x14ac:dyDescent="0.2">
      <c r="A210" s="262" t="s">
        <v>417</v>
      </c>
      <c r="B210" s="284">
        <v>1</v>
      </c>
      <c r="C210" s="247"/>
    </row>
    <row r="211" spans="1:3" s="53" customFormat="1" x14ac:dyDescent="0.2">
      <c r="A211" s="262" t="s">
        <v>418</v>
      </c>
      <c r="B211" s="284">
        <v>1</v>
      </c>
      <c r="C211" s="247"/>
    </row>
    <row r="212" spans="1:3" s="53" customFormat="1" x14ac:dyDescent="0.2">
      <c r="A212" s="262" t="s">
        <v>174</v>
      </c>
      <c r="B212" s="284">
        <v>11.4</v>
      </c>
      <c r="C212" s="262" t="s">
        <v>30</v>
      </c>
    </row>
    <row r="213" spans="1:3" s="53" customFormat="1" x14ac:dyDescent="0.2">
      <c r="A213" s="262" t="s">
        <v>419</v>
      </c>
      <c r="B213" s="284">
        <v>4.7</v>
      </c>
      <c r="C213" s="249" t="s">
        <v>283</v>
      </c>
    </row>
    <row r="214" spans="1:3" s="53" customFormat="1" x14ac:dyDescent="0.2">
      <c r="A214" s="262" t="s">
        <v>420</v>
      </c>
      <c r="B214" s="284">
        <v>0.37</v>
      </c>
      <c r="C214" s="249" t="s">
        <v>283</v>
      </c>
    </row>
    <row r="215" spans="1:3" s="53" customFormat="1" x14ac:dyDescent="0.2">
      <c r="A215" s="262" t="s">
        <v>421</v>
      </c>
      <c r="B215" s="284">
        <v>1</v>
      </c>
      <c r="C215" s="247"/>
    </row>
    <row r="216" spans="1:3" s="53" customFormat="1" x14ac:dyDescent="0.2">
      <c r="A216" s="262" t="s">
        <v>422</v>
      </c>
      <c r="B216" s="284">
        <v>1</v>
      </c>
      <c r="C216" s="247"/>
    </row>
    <row r="217" spans="1:3" s="53" customFormat="1" x14ac:dyDescent="0.2">
      <c r="A217" s="249" t="s">
        <v>83</v>
      </c>
      <c r="B217" s="284">
        <v>0.5</v>
      </c>
      <c r="C217" s="249"/>
    </row>
    <row r="218" spans="1:3" s="53" customFormat="1" x14ac:dyDescent="0.2">
      <c r="A218" s="558" t="s">
        <v>423</v>
      </c>
      <c r="B218" s="558"/>
      <c r="C218" s="558"/>
    </row>
    <row r="219" spans="1:3" s="53" customFormat="1" x14ac:dyDescent="0.2">
      <c r="A219" s="249" t="s">
        <v>424</v>
      </c>
      <c r="B219" s="283">
        <v>60</v>
      </c>
      <c r="C219" s="263" t="s">
        <v>359</v>
      </c>
    </row>
    <row r="220" spans="1:3" s="53" customFormat="1" x14ac:dyDescent="0.2">
      <c r="A220" s="262" t="s">
        <v>425</v>
      </c>
      <c r="B220" s="283">
        <v>250</v>
      </c>
      <c r="C220" s="249" t="s">
        <v>26</v>
      </c>
    </row>
    <row r="221" spans="1:3" s="53" customFormat="1" x14ac:dyDescent="0.2">
      <c r="A221" s="262" t="s">
        <v>75</v>
      </c>
      <c r="B221" s="284">
        <v>25</v>
      </c>
      <c r="C221" s="249" t="s">
        <v>69</v>
      </c>
    </row>
    <row r="222" spans="1:3" s="53" customFormat="1" x14ac:dyDescent="0.2">
      <c r="A222" s="262" t="s">
        <v>426</v>
      </c>
      <c r="B222" s="283">
        <v>100</v>
      </c>
      <c r="C222" s="263" t="s">
        <v>54</v>
      </c>
    </row>
    <row r="223" spans="1:3" s="53" customFormat="1" x14ac:dyDescent="0.2">
      <c r="A223" s="249" t="s">
        <v>353</v>
      </c>
      <c r="B223" s="284">
        <v>1</v>
      </c>
      <c r="C223" s="247"/>
    </row>
    <row r="224" spans="1:3" s="53" customFormat="1" x14ac:dyDescent="0.2">
      <c r="A224" s="262" t="s">
        <v>56</v>
      </c>
      <c r="B224" s="284">
        <v>1</v>
      </c>
      <c r="C224" s="247"/>
    </row>
    <row r="225" spans="1:3" s="53" customFormat="1" x14ac:dyDescent="0.2">
      <c r="A225" s="262" t="s">
        <v>52</v>
      </c>
      <c r="B225" s="284">
        <v>0.4</v>
      </c>
      <c r="C225" s="247"/>
    </row>
    <row r="226" spans="1:3" s="53" customFormat="1" x14ac:dyDescent="0.2">
      <c r="A226" s="262" t="s">
        <v>62</v>
      </c>
      <c r="B226" s="284">
        <v>1</v>
      </c>
      <c r="C226" s="247"/>
    </row>
    <row r="227" spans="1:3" s="53" customFormat="1" x14ac:dyDescent="0.2">
      <c r="A227" s="262" t="s">
        <v>467</v>
      </c>
      <c r="B227" s="283">
        <v>4</v>
      </c>
      <c r="C227" s="249" t="s">
        <v>224</v>
      </c>
    </row>
    <row r="228" spans="1:3" s="53" customFormat="1" x14ac:dyDescent="0.2">
      <c r="A228" s="262" t="s">
        <v>468</v>
      </c>
      <c r="B228" s="283">
        <v>4</v>
      </c>
      <c r="C228" s="249" t="s">
        <v>224</v>
      </c>
    </row>
    <row r="229" spans="1:3" s="53" customFormat="1" x14ac:dyDescent="0.2">
      <c r="A229" s="262" t="s">
        <v>103</v>
      </c>
      <c r="B229" s="283">
        <v>0.4</v>
      </c>
      <c r="C229" s="247"/>
    </row>
    <row r="230" spans="1:3" s="53" customFormat="1" x14ac:dyDescent="0.2">
      <c r="A230" s="558" t="s">
        <v>427</v>
      </c>
      <c r="B230" s="558"/>
      <c r="C230" s="558"/>
    </row>
    <row r="231" spans="1:3" s="53" customFormat="1" x14ac:dyDescent="0.2">
      <c r="A231" s="249" t="s">
        <v>428</v>
      </c>
      <c r="B231" s="283">
        <v>60</v>
      </c>
      <c r="C231" s="263" t="s">
        <v>359</v>
      </c>
    </row>
    <row r="232" spans="1:3" s="53" customFormat="1" x14ac:dyDescent="0.2">
      <c r="A232" s="262" t="s">
        <v>40</v>
      </c>
      <c r="B232" s="283">
        <v>250</v>
      </c>
      <c r="C232" s="249" t="s">
        <v>26</v>
      </c>
    </row>
    <row r="233" spans="1:3" s="53" customFormat="1" x14ac:dyDescent="0.2">
      <c r="A233" s="262" t="s">
        <v>429</v>
      </c>
      <c r="B233" s="284">
        <v>25</v>
      </c>
      <c r="C233" s="249" t="s">
        <v>69</v>
      </c>
    </row>
    <row r="234" spans="1:3" s="53" customFormat="1" x14ac:dyDescent="0.2">
      <c r="A234" s="262" t="s">
        <v>79</v>
      </c>
      <c r="B234" s="283">
        <v>50</v>
      </c>
      <c r="C234" s="263" t="s">
        <v>54</v>
      </c>
    </row>
    <row r="235" spans="1:3" s="53" customFormat="1" x14ac:dyDescent="0.2">
      <c r="A235" s="249" t="s">
        <v>353</v>
      </c>
      <c r="B235" s="284">
        <v>1</v>
      </c>
      <c r="C235" s="247"/>
    </row>
    <row r="236" spans="1:3" s="53" customFormat="1" x14ac:dyDescent="0.2">
      <c r="A236" s="262" t="s">
        <v>56</v>
      </c>
      <c r="B236" s="284">
        <v>1</v>
      </c>
      <c r="C236" s="247"/>
    </row>
    <row r="237" spans="1:3" s="53" customFormat="1" x14ac:dyDescent="0.2">
      <c r="A237" s="262" t="s">
        <v>52</v>
      </c>
      <c r="B237" s="284">
        <v>0.4</v>
      </c>
      <c r="C237" s="247"/>
    </row>
    <row r="238" spans="1:3" s="53" customFormat="1" x14ac:dyDescent="0.2">
      <c r="A238" s="262" t="s">
        <v>62</v>
      </c>
      <c r="B238" s="284">
        <v>1</v>
      </c>
      <c r="C238" s="247"/>
    </row>
    <row r="239" spans="1:3" s="53" customFormat="1" x14ac:dyDescent="0.2">
      <c r="A239" s="262" t="s">
        <v>469</v>
      </c>
      <c r="B239" s="283">
        <v>0</v>
      </c>
      <c r="C239" s="249" t="s">
        <v>224</v>
      </c>
    </row>
    <row r="240" spans="1:3" s="53" customFormat="1" x14ac:dyDescent="0.2">
      <c r="A240" s="262" t="s">
        <v>470</v>
      </c>
      <c r="B240" s="283">
        <v>8</v>
      </c>
      <c r="C240" s="249" t="s">
        <v>224</v>
      </c>
    </row>
    <row r="241" spans="1:3" s="53" customFormat="1" x14ac:dyDescent="0.2">
      <c r="A241" s="262" t="s">
        <v>103</v>
      </c>
      <c r="B241" s="283">
        <v>0.4</v>
      </c>
      <c r="C241" s="247"/>
    </row>
    <row r="242" spans="1:3" s="53" customFormat="1" x14ac:dyDescent="0.2">
      <c r="A242" s="558" t="s">
        <v>430</v>
      </c>
      <c r="B242" s="558"/>
      <c r="C242" s="558"/>
    </row>
    <row r="243" spans="1:3" s="53" customFormat="1" x14ac:dyDescent="0.2">
      <c r="A243" s="249" t="s">
        <v>58</v>
      </c>
      <c r="B243" s="283">
        <v>60</v>
      </c>
      <c r="C243" s="263" t="s">
        <v>359</v>
      </c>
    </row>
    <row r="244" spans="1:3" s="53" customFormat="1" x14ac:dyDescent="0.2">
      <c r="A244" s="262" t="s">
        <v>431</v>
      </c>
      <c r="B244" s="283">
        <v>225</v>
      </c>
      <c r="C244" s="249" t="s">
        <v>26</v>
      </c>
    </row>
    <row r="245" spans="1:3" s="53" customFormat="1" x14ac:dyDescent="0.2">
      <c r="A245" s="262" t="s">
        <v>432</v>
      </c>
      <c r="B245" s="284">
        <v>25</v>
      </c>
      <c r="C245" s="249" t="s">
        <v>69</v>
      </c>
    </row>
    <row r="246" spans="1:3" s="53" customFormat="1" x14ac:dyDescent="0.2">
      <c r="A246" s="262" t="s">
        <v>433</v>
      </c>
      <c r="B246" s="283">
        <v>100</v>
      </c>
      <c r="C246" s="263" t="s">
        <v>54</v>
      </c>
    </row>
    <row r="247" spans="1:3" s="53" customFormat="1" x14ac:dyDescent="0.2">
      <c r="A247" s="249" t="s">
        <v>353</v>
      </c>
      <c r="B247" s="284">
        <v>1</v>
      </c>
      <c r="C247" s="247"/>
    </row>
    <row r="248" spans="1:3" s="53" customFormat="1" x14ac:dyDescent="0.2">
      <c r="A248" s="262" t="s">
        <v>56</v>
      </c>
      <c r="B248" s="284">
        <v>1</v>
      </c>
      <c r="C248" s="247"/>
    </row>
    <row r="249" spans="1:3" s="53" customFormat="1" x14ac:dyDescent="0.2">
      <c r="A249" s="262" t="s">
        <v>52</v>
      </c>
      <c r="B249" s="284">
        <v>0.4</v>
      </c>
      <c r="C249" s="247"/>
    </row>
    <row r="250" spans="1:3" s="53" customFormat="1" x14ac:dyDescent="0.2">
      <c r="A250" s="262" t="s">
        <v>62</v>
      </c>
      <c r="B250" s="284">
        <v>1</v>
      </c>
      <c r="C250" s="247"/>
    </row>
    <row r="251" spans="1:3" s="53" customFormat="1" x14ac:dyDescent="0.2">
      <c r="A251" s="262" t="s">
        <v>466</v>
      </c>
      <c r="B251" s="283">
        <v>8</v>
      </c>
      <c r="C251" s="249" t="s">
        <v>224</v>
      </c>
    </row>
    <row r="252" spans="1:3" s="53" customFormat="1" x14ac:dyDescent="0.2">
      <c r="A252" s="262" t="s">
        <v>465</v>
      </c>
      <c r="B252" s="283">
        <v>0</v>
      </c>
      <c r="C252" s="249" t="s">
        <v>224</v>
      </c>
    </row>
    <row r="253" spans="1:3" s="53" customFormat="1" x14ac:dyDescent="0.2">
      <c r="A253" s="262" t="s">
        <v>103</v>
      </c>
      <c r="B253" s="283">
        <v>0.4</v>
      </c>
      <c r="C253" s="247"/>
    </row>
    <row r="254" spans="1:3" s="53" customFormat="1" x14ac:dyDescent="0.2">
      <c r="A254" s="558" t="s">
        <v>434</v>
      </c>
      <c r="B254" s="558"/>
      <c r="C254" s="558"/>
    </row>
    <row r="255" spans="1:3" s="53" customFormat="1" x14ac:dyDescent="0.2">
      <c r="A255" s="249" t="s">
        <v>435</v>
      </c>
      <c r="B255" s="283">
        <v>60</v>
      </c>
      <c r="C255" s="263" t="s">
        <v>359</v>
      </c>
    </row>
    <row r="256" spans="1:3" s="53" customFormat="1" x14ac:dyDescent="0.2">
      <c r="A256" s="262" t="s">
        <v>221</v>
      </c>
      <c r="B256" s="283">
        <v>130</v>
      </c>
      <c r="C256" s="249" t="s">
        <v>26</v>
      </c>
    </row>
    <row r="257" spans="1:3" s="53" customFormat="1" x14ac:dyDescent="0.2">
      <c r="A257" s="262" t="s">
        <v>186</v>
      </c>
      <c r="B257" s="284">
        <v>1</v>
      </c>
      <c r="C257" s="249" t="s">
        <v>69</v>
      </c>
    </row>
    <row r="258" spans="1:3" s="53" customFormat="1" x14ac:dyDescent="0.2">
      <c r="A258" s="262" t="s">
        <v>436</v>
      </c>
      <c r="B258" s="283">
        <v>330</v>
      </c>
      <c r="C258" s="263" t="s">
        <v>54</v>
      </c>
    </row>
    <row r="259" spans="1:3" s="53" customFormat="1" x14ac:dyDescent="0.2">
      <c r="A259" s="249" t="s">
        <v>353</v>
      </c>
      <c r="B259" s="284">
        <v>1</v>
      </c>
      <c r="C259" s="247"/>
    </row>
    <row r="260" spans="1:3" s="53" customFormat="1" x14ac:dyDescent="0.2">
      <c r="A260" s="262" t="s">
        <v>56</v>
      </c>
      <c r="B260" s="284">
        <v>1</v>
      </c>
      <c r="C260" s="247"/>
    </row>
    <row r="261" spans="1:3" s="53" customFormat="1" x14ac:dyDescent="0.2">
      <c r="A261" s="262" t="s">
        <v>52</v>
      </c>
      <c r="B261" s="284">
        <v>0.4</v>
      </c>
      <c r="C261" s="247"/>
    </row>
    <row r="262" spans="1:3" s="53" customFormat="1" x14ac:dyDescent="0.2">
      <c r="A262" s="262" t="s">
        <v>62</v>
      </c>
      <c r="B262" s="284">
        <v>1</v>
      </c>
      <c r="C262" s="247"/>
    </row>
    <row r="263" spans="1:3" s="53" customFormat="1" x14ac:dyDescent="0.2">
      <c r="A263" s="262" t="s">
        <v>471</v>
      </c>
      <c r="B263" s="283">
        <v>8</v>
      </c>
      <c r="C263" s="249" t="s">
        <v>224</v>
      </c>
    </row>
    <row r="264" spans="1:3" s="53" customFormat="1" x14ac:dyDescent="0.2">
      <c r="A264" s="262" t="s">
        <v>472</v>
      </c>
      <c r="B264" s="283">
        <v>0</v>
      </c>
      <c r="C264" s="249" t="s">
        <v>224</v>
      </c>
    </row>
    <row r="265" spans="1:3" s="53" customFormat="1" x14ac:dyDescent="0.2">
      <c r="A265" s="262" t="s">
        <v>103</v>
      </c>
      <c r="B265" s="283">
        <v>0.4</v>
      </c>
      <c r="C265" s="247"/>
    </row>
    <row r="266" spans="1:3" s="53" customFormat="1" x14ac:dyDescent="0.2">
      <c r="A266" s="262" t="s">
        <v>220</v>
      </c>
      <c r="B266" s="283">
        <v>5</v>
      </c>
      <c r="C266" s="249" t="s">
        <v>129</v>
      </c>
    </row>
    <row r="267" spans="1:3" s="53" customFormat="1" x14ac:dyDescent="0.2">
      <c r="A267" s="262" t="s">
        <v>219</v>
      </c>
      <c r="B267" s="283">
        <v>26</v>
      </c>
      <c r="C267" s="249" t="s">
        <v>130</v>
      </c>
    </row>
    <row r="268" spans="1:3" s="53" customFormat="1" x14ac:dyDescent="0.2">
      <c r="A268" s="558" t="s">
        <v>437</v>
      </c>
      <c r="B268" s="558"/>
      <c r="C268" s="558"/>
    </row>
    <row r="269" spans="1:3" s="53" customFormat="1" x14ac:dyDescent="0.2">
      <c r="A269" s="249" t="s">
        <v>435</v>
      </c>
      <c r="B269" s="283">
        <v>60</v>
      </c>
      <c r="C269" s="263" t="s">
        <v>359</v>
      </c>
    </row>
    <row r="270" spans="1:3" s="53" customFormat="1" x14ac:dyDescent="0.2">
      <c r="A270" s="262" t="s">
        <v>221</v>
      </c>
      <c r="B270" s="283">
        <v>130</v>
      </c>
      <c r="C270" s="249" t="s">
        <v>26</v>
      </c>
    </row>
    <row r="271" spans="1:3" s="53" customFormat="1" x14ac:dyDescent="0.2">
      <c r="A271" s="262" t="s">
        <v>186</v>
      </c>
      <c r="B271" s="284">
        <v>1</v>
      </c>
      <c r="C271" s="249" t="s">
        <v>69</v>
      </c>
    </row>
    <row r="272" spans="1:3" s="53" customFormat="1" x14ac:dyDescent="0.2">
      <c r="A272" s="262" t="s">
        <v>436</v>
      </c>
      <c r="B272" s="283">
        <v>330</v>
      </c>
      <c r="C272" s="263" t="s">
        <v>54</v>
      </c>
    </row>
    <row r="273" spans="1:3" s="53" customFormat="1" x14ac:dyDescent="0.2">
      <c r="A273" s="262" t="s">
        <v>56</v>
      </c>
      <c r="B273" s="284">
        <v>1</v>
      </c>
      <c r="C273" s="247"/>
    </row>
    <row r="274" spans="1:3" s="53" customFormat="1" x14ac:dyDescent="0.2">
      <c r="A274" s="262" t="s">
        <v>52</v>
      </c>
      <c r="B274" s="284">
        <v>0.4</v>
      </c>
      <c r="C274" s="247"/>
    </row>
    <row r="275" spans="1:3" s="53" customFormat="1" x14ac:dyDescent="0.2">
      <c r="A275" s="262" t="s">
        <v>62</v>
      </c>
      <c r="B275" s="284">
        <v>1</v>
      </c>
      <c r="C275" s="247"/>
    </row>
    <row r="276" spans="1:3" s="53" customFormat="1" x14ac:dyDescent="0.2">
      <c r="A276" s="262" t="s">
        <v>471</v>
      </c>
      <c r="B276" s="283">
        <v>8</v>
      </c>
      <c r="C276" s="249" t="s">
        <v>224</v>
      </c>
    </row>
    <row r="277" spans="1:3" s="53" customFormat="1" x14ac:dyDescent="0.2">
      <c r="A277" s="262" t="s">
        <v>472</v>
      </c>
      <c r="B277" s="283">
        <v>0</v>
      </c>
      <c r="C277" s="249" t="s">
        <v>224</v>
      </c>
    </row>
    <row r="278" spans="1:3" s="53" customFormat="1" x14ac:dyDescent="0.2">
      <c r="A278" s="262" t="s">
        <v>103</v>
      </c>
      <c r="B278" s="283">
        <v>0.4</v>
      </c>
      <c r="C278" s="247"/>
    </row>
    <row r="279" spans="1:3" s="53" customFormat="1" x14ac:dyDescent="0.2">
      <c r="A279" s="262" t="s">
        <v>220</v>
      </c>
      <c r="B279" s="283">
        <v>5</v>
      </c>
      <c r="C279" s="249" t="s">
        <v>129</v>
      </c>
    </row>
    <row r="280" spans="1:3" s="53" customFormat="1" x14ac:dyDescent="0.2">
      <c r="A280" s="262" t="s">
        <v>219</v>
      </c>
      <c r="B280" s="283">
        <v>26</v>
      </c>
      <c r="C280" s="249" t="s">
        <v>130</v>
      </c>
    </row>
    <row r="281" spans="1:3" s="53" customFormat="1" x14ac:dyDescent="0.2">
      <c r="A281" s="663" t="s">
        <v>576</v>
      </c>
      <c r="B281" s="663"/>
      <c r="C281" s="663"/>
    </row>
    <row r="282" spans="1:3" s="53" customFormat="1" x14ac:dyDescent="0.2">
      <c r="A282" s="263" t="s">
        <v>577</v>
      </c>
      <c r="B282" s="283">
        <v>1.5</v>
      </c>
      <c r="C282" s="249"/>
    </row>
    <row r="283" spans="1:3" s="53" customFormat="1" x14ac:dyDescent="0.2">
      <c r="A283" s="249" t="s">
        <v>100</v>
      </c>
      <c r="B283" s="283">
        <v>0.3</v>
      </c>
      <c r="C283" s="249"/>
    </row>
    <row r="284" spans="1:3" s="53" customFormat="1" x14ac:dyDescent="0.2">
      <c r="A284" s="249" t="s">
        <v>107</v>
      </c>
      <c r="B284" s="283">
        <v>26</v>
      </c>
      <c r="C284" s="249" t="s">
        <v>69</v>
      </c>
    </row>
    <row r="285" spans="1:3" s="53" customFormat="1" x14ac:dyDescent="0.2">
      <c r="A285" s="263" t="s">
        <v>39</v>
      </c>
      <c r="B285" s="283">
        <v>70</v>
      </c>
      <c r="C285" s="249" t="s">
        <v>69</v>
      </c>
    </row>
    <row r="286" spans="1:3" s="53" customFormat="1" x14ac:dyDescent="0.2">
      <c r="A286" s="263" t="s">
        <v>83</v>
      </c>
      <c r="B286" s="283">
        <v>1</v>
      </c>
      <c r="C286" s="249" t="s">
        <v>108</v>
      </c>
    </row>
    <row r="287" spans="1:3" s="53" customFormat="1" x14ac:dyDescent="0.2">
      <c r="A287" s="249" t="s">
        <v>109</v>
      </c>
      <c r="B287" s="283">
        <v>1</v>
      </c>
      <c r="C287" s="249" t="s">
        <v>110</v>
      </c>
    </row>
    <row r="288" spans="1:3" s="53" customFormat="1" x14ac:dyDescent="0.2">
      <c r="A288" s="249" t="s">
        <v>114</v>
      </c>
      <c r="B288" s="283">
        <v>0.18</v>
      </c>
      <c r="C288" s="249" t="s">
        <v>108</v>
      </c>
    </row>
    <row r="289" spans="1:3" s="53" customFormat="1" x14ac:dyDescent="0.2">
      <c r="A289" s="249" t="s">
        <v>116</v>
      </c>
      <c r="B289" s="283">
        <v>1</v>
      </c>
      <c r="C289" s="249" t="s">
        <v>113</v>
      </c>
    </row>
    <row r="290" spans="1:3" s="53" customFormat="1" x14ac:dyDescent="0.2">
      <c r="A290" s="249" t="s">
        <v>118</v>
      </c>
      <c r="B290" s="283">
        <v>1</v>
      </c>
      <c r="C290" s="249" t="s">
        <v>113</v>
      </c>
    </row>
    <row r="291" spans="1:3" s="53" customFormat="1" x14ac:dyDescent="0.2">
      <c r="A291" s="249" t="s">
        <v>119</v>
      </c>
      <c r="B291" s="283">
        <v>1</v>
      </c>
      <c r="C291" s="249" t="s">
        <v>113</v>
      </c>
    </row>
    <row r="293" spans="1:3" s="53" customFormat="1" x14ac:dyDescent="0.2">
      <c r="A293" s="95" t="s">
        <v>299</v>
      </c>
      <c r="B293" s="284">
        <v>27.027027027027</v>
      </c>
      <c r="C293" s="249"/>
    </row>
  </sheetData>
  <mergeCells count="335">
    <mergeCell ref="HD21:HF21"/>
    <mergeCell ref="FW1:FY1"/>
    <mergeCell ref="D41:F41"/>
    <mergeCell ref="GY2:GY4"/>
    <mergeCell ref="GZ2:GZ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HD1:HF1"/>
    <mergeCell ref="DC2:DC4"/>
    <mergeCell ref="DD2:DD4"/>
    <mergeCell ref="DE2:DE4"/>
    <mergeCell ref="DF2:DF4"/>
    <mergeCell ref="DG2:DG4"/>
    <mergeCell ref="DH2:DH4"/>
    <mergeCell ref="DI2:DI4"/>
    <mergeCell ref="DJ2:DJ4"/>
    <mergeCell ref="DK2:DK4"/>
    <mergeCell ref="DL2:DL4"/>
    <mergeCell ref="DM2:DM4"/>
    <mergeCell ref="DN2:DN4"/>
    <mergeCell ref="DO2:DO4"/>
    <mergeCell ref="DP2:DP4"/>
    <mergeCell ref="DQ2:DQ4"/>
    <mergeCell ref="GO1:GQ1"/>
    <mergeCell ref="GR1:GT1"/>
    <mergeCell ref="GU1:GW1"/>
    <mergeCell ref="GX1:GZ1"/>
    <mergeCell ref="HA1:HC1"/>
    <mergeCell ref="FZ1:GB1"/>
    <mergeCell ref="GC1:GE1"/>
    <mergeCell ref="GF1:GH1"/>
    <mergeCell ref="GI1:GK1"/>
    <mergeCell ref="GL1:GN1"/>
    <mergeCell ref="FK1:FM1"/>
    <mergeCell ref="FN1:FP1"/>
    <mergeCell ref="FQ1:FS1"/>
    <mergeCell ref="FT1:FV1"/>
    <mergeCell ref="EV1:EX1"/>
    <mergeCell ref="EY1:FA1"/>
    <mergeCell ref="FB1:FD1"/>
    <mergeCell ref="FE1:FG1"/>
    <mergeCell ref="FH1:FJ1"/>
    <mergeCell ref="EG1:EI1"/>
    <mergeCell ref="EJ1:EL1"/>
    <mergeCell ref="EM1:EO1"/>
    <mergeCell ref="EP1:ER1"/>
    <mergeCell ref="ES1:EU1"/>
    <mergeCell ref="DR1:DT1"/>
    <mergeCell ref="DU1:DW1"/>
    <mergeCell ref="DX1:DZ1"/>
    <mergeCell ref="EA1:EC1"/>
    <mergeCell ref="ED1:EF1"/>
    <mergeCell ref="DC1:DE1"/>
    <mergeCell ref="DF1:DH1"/>
    <mergeCell ref="DI1:DK1"/>
    <mergeCell ref="DL1:DN1"/>
    <mergeCell ref="DO1:DQ1"/>
    <mergeCell ref="CC35:CG38"/>
    <mergeCell ref="A281:C281"/>
    <mergeCell ref="CT1:CV1"/>
    <mergeCell ref="CW1:CY1"/>
    <mergeCell ref="CZ1:DB1"/>
    <mergeCell ref="CO19:CO21"/>
    <mergeCell ref="CP19:CP21"/>
    <mergeCell ref="CQ19:CQ21"/>
    <mergeCell ref="CR19:CR21"/>
    <mergeCell ref="CS19:CS21"/>
    <mergeCell ref="CG19:CG21"/>
    <mergeCell ref="CK19:CK21"/>
    <mergeCell ref="CL19:CL21"/>
    <mergeCell ref="CM19:CM21"/>
    <mergeCell ref="CN19:CN21"/>
    <mergeCell ref="CB19:CB21"/>
    <mergeCell ref="CC19:CC21"/>
    <mergeCell ref="CD19:CD21"/>
    <mergeCell ref="CE19:CE21"/>
    <mergeCell ref="CF19:CF21"/>
    <mergeCell ref="CP2:CP4"/>
    <mergeCell ref="CQ2:CQ4"/>
    <mergeCell ref="CR2:CR4"/>
    <mergeCell ref="CS2:CS4"/>
    <mergeCell ref="CB18:CD18"/>
    <mergeCell ref="CE18:CG18"/>
    <mergeCell ref="CK18:CM18"/>
    <mergeCell ref="CN18:CP18"/>
    <mergeCell ref="CQ18:CS18"/>
    <mergeCell ref="CK2:CK4"/>
    <mergeCell ref="CL2:CL4"/>
    <mergeCell ref="CM2:CM4"/>
    <mergeCell ref="CN2:CN4"/>
    <mergeCell ref="CO2:CO4"/>
    <mergeCell ref="CQ1:CS1"/>
    <mergeCell ref="BV2:BV4"/>
    <mergeCell ref="BW2:BW4"/>
    <mergeCell ref="BX2:BX4"/>
    <mergeCell ref="BY2:BY4"/>
    <mergeCell ref="BZ2:BZ4"/>
    <mergeCell ref="CA2:CA4"/>
    <mergeCell ref="CB2:CB4"/>
    <mergeCell ref="CC2:CC4"/>
    <mergeCell ref="CD2:CD4"/>
    <mergeCell ref="CE2:CE4"/>
    <mergeCell ref="CF2:CF4"/>
    <mergeCell ref="CG2:CG4"/>
    <mergeCell ref="CH2:CH4"/>
    <mergeCell ref="CI2:CI4"/>
    <mergeCell ref="CJ2:CJ4"/>
    <mergeCell ref="CB1:CD1"/>
    <mergeCell ref="CE1:CG1"/>
    <mergeCell ref="CH1:CJ1"/>
    <mergeCell ref="CK1:CM1"/>
    <mergeCell ref="CN1:CP1"/>
    <mergeCell ref="BK40:BO43"/>
    <mergeCell ref="AF42:AH44"/>
    <mergeCell ref="BS1:BU1"/>
    <mergeCell ref="BV1:BX1"/>
    <mergeCell ref="BY1:CA1"/>
    <mergeCell ref="BL21:BL23"/>
    <mergeCell ref="BM21:BM23"/>
    <mergeCell ref="BN21:BN23"/>
    <mergeCell ref="BO21:BO23"/>
    <mergeCell ref="BR2:BR4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BM2:BM4"/>
    <mergeCell ref="BN2:BN4"/>
    <mergeCell ref="BO2:BO4"/>
    <mergeCell ref="BP2:BP4"/>
    <mergeCell ref="BQ2:BQ4"/>
    <mergeCell ref="BH2:BH4"/>
    <mergeCell ref="BF2:BF4"/>
    <mergeCell ref="BG2:BG4"/>
    <mergeCell ref="V23:X23"/>
    <mergeCell ref="Y23:AA23"/>
    <mergeCell ref="BD21:BD23"/>
    <mergeCell ref="BE21:BE23"/>
    <mergeCell ref="BF21:BF23"/>
    <mergeCell ref="BJ21:BJ23"/>
    <mergeCell ref="BK21:BK23"/>
    <mergeCell ref="AV21:AV23"/>
    <mergeCell ref="AW21:AW23"/>
    <mergeCell ref="BA21:BA23"/>
    <mergeCell ref="BB21:BB23"/>
    <mergeCell ref="BC21:BC23"/>
    <mergeCell ref="AN21:AN23"/>
    <mergeCell ref="AR21:AR23"/>
    <mergeCell ref="AS21:AS23"/>
    <mergeCell ref="AT21:AT23"/>
    <mergeCell ref="AU21:AU23"/>
    <mergeCell ref="AI21:AI23"/>
    <mergeCell ref="AJ21:AJ23"/>
    <mergeCell ref="AK21:AK23"/>
    <mergeCell ref="AL21:AL23"/>
    <mergeCell ref="AM21:AM23"/>
    <mergeCell ref="AP2:AP4"/>
    <mergeCell ref="AQ2:AQ4"/>
    <mergeCell ref="AR2:AR4"/>
    <mergeCell ref="BD1:BF1"/>
    <mergeCell ref="BG1:BI1"/>
    <mergeCell ref="BJ1:BL1"/>
    <mergeCell ref="BM1:BO1"/>
    <mergeCell ref="AX2:AX4"/>
    <mergeCell ref="AY2:AY4"/>
    <mergeCell ref="AZ2:AZ4"/>
    <mergeCell ref="BA2:BA4"/>
    <mergeCell ref="BB2:BB4"/>
    <mergeCell ref="AS2:AS4"/>
    <mergeCell ref="AT2:AT4"/>
    <mergeCell ref="AU2:AU4"/>
    <mergeCell ref="AV2:AV4"/>
    <mergeCell ref="AW2:AW4"/>
    <mergeCell ref="BI2:BI4"/>
    <mergeCell ref="BJ2:BJ4"/>
    <mergeCell ref="BK2:BK4"/>
    <mergeCell ref="BL2:BL4"/>
    <mergeCell ref="BC2:BC4"/>
    <mergeCell ref="BD2:BD4"/>
    <mergeCell ref="BE2:BE4"/>
    <mergeCell ref="BP1:BR1"/>
    <mergeCell ref="AO1:AQ1"/>
    <mergeCell ref="AR1:AT1"/>
    <mergeCell ref="AU1:AW1"/>
    <mergeCell ref="AX1:AZ1"/>
    <mergeCell ref="BA1:BC1"/>
    <mergeCell ref="V1:X1"/>
    <mergeCell ref="Y1:AA1"/>
    <mergeCell ref="AB1:AB4"/>
    <mergeCell ref="AI1:AK1"/>
    <mergeCell ref="AL1:AN1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  <mergeCell ref="AL2:AL4"/>
    <mergeCell ref="AM2:AM4"/>
    <mergeCell ref="AN2:AN4"/>
    <mergeCell ref="AO2:AO4"/>
    <mergeCell ref="M20:O20"/>
    <mergeCell ref="P20:R20"/>
    <mergeCell ref="M21:M23"/>
    <mergeCell ref="N21:N23"/>
    <mergeCell ref="O21:O23"/>
    <mergeCell ref="P21:P23"/>
    <mergeCell ref="Q21:Q23"/>
    <mergeCell ref="R21:R23"/>
    <mergeCell ref="O2:O4"/>
    <mergeCell ref="P2:P4"/>
    <mergeCell ref="Q2:Q4"/>
    <mergeCell ref="R2:R4"/>
    <mergeCell ref="A242:C242"/>
    <mergeCell ref="A254:C254"/>
    <mergeCell ref="A268:C268"/>
    <mergeCell ref="D1:F1"/>
    <mergeCell ref="G1:I1"/>
    <mergeCell ref="G2:G4"/>
    <mergeCell ref="H2:H4"/>
    <mergeCell ref="I2:I4"/>
    <mergeCell ref="D29:F29"/>
    <mergeCell ref="A50:C50"/>
    <mergeCell ref="A98:C98"/>
    <mergeCell ref="A132:C132"/>
    <mergeCell ref="A218:C218"/>
    <mergeCell ref="A230:C230"/>
    <mergeCell ref="A1:C1"/>
    <mergeCell ref="A14:C17"/>
    <mergeCell ref="A2:C2"/>
    <mergeCell ref="J1:L1"/>
    <mergeCell ref="M1:O1"/>
    <mergeCell ref="P1:R1"/>
    <mergeCell ref="S1:U1"/>
    <mergeCell ref="J2:J4"/>
    <mergeCell ref="K2:K4"/>
    <mergeCell ref="L2:L4"/>
    <mergeCell ref="M2:M4"/>
    <mergeCell ref="N2:N4"/>
    <mergeCell ref="T2:T4"/>
    <mergeCell ref="U2:U4"/>
    <mergeCell ref="S2:S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Instructions</vt:lpstr>
      <vt:lpstr>Am-241 Default</vt:lpstr>
      <vt:lpstr>Cs-137+D Default</vt:lpstr>
      <vt:lpstr>Ra-226+D Default</vt:lpstr>
      <vt:lpstr>Rn-222+D Default</vt:lpstr>
      <vt:lpstr>Am-241 D_bq</vt:lpstr>
      <vt:lpstr>Cs-137+D D_bq</vt:lpstr>
      <vt:lpstr>Ra-226+D D_bq</vt:lpstr>
      <vt:lpstr>Rn-222+D D_bq</vt:lpstr>
      <vt:lpstr>Am-241 D_mass</vt:lpstr>
      <vt:lpstr>Cs-137+D D_mass</vt:lpstr>
      <vt:lpstr>Ra-226+D D_mass</vt:lpstr>
      <vt:lpstr>Rn-222+D D_mass</vt:lpstr>
      <vt:lpstr>AM-241 SS</vt:lpstr>
      <vt:lpstr>Cs-137+D SS</vt:lpstr>
      <vt:lpstr>Ra-226+D SS</vt:lpstr>
      <vt:lpstr>Rn-222+D SS</vt:lpstr>
      <vt:lpstr>Am-241 SS_bq</vt:lpstr>
      <vt:lpstr>Cs-137+D SS_bq</vt:lpstr>
      <vt:lpstr>Ra-226+D SS_bq</vt:lpstr>
      <vt:lpstr>Rn-222 SS_bq</vt:lpstr>
      <vt:lpstr>Am-241 SS_mass</vt:lpstr>
      <vt:lpstr>Cs-137+D SS_mass</vt:lpstr>
      <vt:lpstr>Ra-226+D SS_mass</vt:lpstr>
      <vt:lpstr>Rn-222+D SS_mass</vt:lpstr>
      <vt:lpstr>PEF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Dolislager, Fredrick G.</dc:creator>
  <cp:lastModifiedBy>Manning, Karessa L.</cp:lastModifiedBy>
  <dcterms:created xsi:type="dcterms:W3CDTF">2014-05-12T17:24:56Z</dcterms:created>
  <dcterms:modified xsi:type="dcterms:W3CDTF">2015-12-30T20:04:05Z</dcterms:modified>
</cp:coreProperties>
</file>